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 5\pratice exams\BA_Exam_A01\"/>
    </mc:Choice>
  </mc:AlternateContent>
  <bookViews>
    <workbookView xWindow="0" yWindow="0" windowWidth="24000" windowHeight="9735" tabRatio="681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40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4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27" r:id="rId27"/>
    <sheet name="26" sheetId="69" r:id="rId28"/>
    <sheet name="27" sheetId="68" r:id="rId29"/>
    <sheet name="28" sheetId="67" r:id="rId30"/>
    <sheet name="29" sheetId="66" r:id="rId31"/>
    <sheet name="30" sheetId="65" r:id="rId3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65" l="1"/>
  <c r="S17" i="65"/>
  <c r="S16" i="65"/>
  <c r="S15" i="65"/>
  <c r="S14" i="65"/>
  <c r="W37" i="65" l="1"/>
  <c r="T37" i="65"/>
  <c r="S32" i="65"/>
  <c r="U28" i="65"/>
  <c r="S27" i="65"/>
  <c r="S28" i="65" s="1"/>
  <c r="W23" i="65"/>
  <c r="R18" i="65"/>
  <c r="T18" i="65" s="1"/>
  <c r="Q18" i="65"/>
  <c r="Q17" i="65" s="1"/>
  <c r="Q16" i="65" s="1"/>
  <c r="Q15" i="65" s="1"/>
  <c r="Q14" i="65" s="1"/>
  <c r="R17" i="65"/>
  <c r="R16" i="65"/>
  <c r="R15" i="65"/>
  <c r="R14" i="65"/>
  <c r="S13" i="65"/>
  <c r="S12" i="65"/>
  <c r="Q10" i="65"/>
  <c r="T36" i="66"/>
  <c r="S36" i="66"/>
  <c r="R36" i="66"/>
  <c r="R33" i="66"/>
  <c r="V24" i="66"/>
  <c r="U24" i="66"/>
  <c r="T24" i="66"/>
  <c r="S24" i="66"/>
  <c r="V23" i="66"/>
  <c r="U23" i="66"/>
  <c r="T23" i="66"/>
  <c r="S23" i="66"/>
  <c r="B22" i="66"/>
  <c r="S22" i="66" s="1"/>
  <c r="X20" i="66"/>
  <c r="X19" i="66"/>
  <c r="V18" i="66"/>
  <c r="V19" i="66" s="1"/>
  <c r="R17" i="66"/>
  <c r="X14" i="66"/>
  <c r="V13" i="66"/>
  <c r="U13" i="66"/>
  <c r="T13" i="66"/>
  <c r="S13" i="66"/>
  <c r="H14" i="66"/>
  <c r="B13" i="66"/>
  <c r="B12" i="66" s="1"/>
  <c r="S9" i="66"/>
  <c r="R9" i="66"/>
  <c r="R8" i="66" s="1"/>
  <c r="T8" i="66"/>
  <c r="S8" i="66"/>
  <c r="U7" i="66"/>
  <c r="T7" i="66"/>
  <c r="S7" i="66"/>
  <c r="V6" i="66"/>
  <c r="U14" i="66" s="1"/>
  <c r="U18" i="66" s="1"/>
  <c r="U6" i="66"/>
  <c r="T6" i="66"/>
  <c r="S6" i="66"/>
  <c r="K6" i="66"/>
  <c r="U36" i="66" s="1"/>
  <c r="R54" i="67"/>
  <c r="M54" i="67"/>
  <c r="M46" i="67"/>
  <c r="R43" i="67"/>
  <c r="R42" i="67"/>
  <c r="M42" i="67"/>
  <c r="R39" i="67"/>
  <c r="R47" i="67" s="1"/>
  <c r="P48" i="67" s="1"/>
  <c r="P39" i="67"/>
  <c r="P38" i="67"/>
  <c r="T34" i="67"/>
  <c r="R38" i="67" s="1"/>
  <c r="P34" i="67"/>
  <c r="N34" i="67"/>
  <c r="T17" i="65" l="1"/>
  <c r="T14" i="65"/>
  <c r="T16" i="65"/>
  <c r="T15" i="65"/>
  <c r="S29" i="65"/>
  <c r="U32" i="65" s="1"/>
  <c r="S33" i="65" s="1"/>
  <c r="AA37" i="65" s="1"/>
  <c r="X37" i="65"/>
  <c r="S14" i="66"/>
  <c r="S15" i="66"/>
  <c r="S16" i="66"/>
  <c r="T14" i="66"/>
  <c r="T15" i="66"/>
  <c r="B11" i="66"/>
  <c r="H12" i="66"/>
  <c r="B20" i="66"/>
  <c r="U22" i="66" s="1"/>
  <c r="R16" i="66"/>
  <c r="R7" i="66"/>
  <c r="R6" i="66" s="1"/>
  <c r="R14" i="66" s="1"/>
  <c r="U19" i="66"/>
  <c r="U20" i="66" s="1"/>
  <c r="S31" i="66" s="1"/>
  <c r="T31" i="66" s="1"/>
  <c r="H13" i="66"/>
  <c r="B21" i="66"/>
  <c r="R32" i="66" s="1"/>
  <c r="B19" i="66"/>
  <c r="H11" i="66"/>
  <c r="T18" i="66"/>
  <c r="T19" i="66" s="1"/>
  <c r="V20" i="66"/>
  <c r="S30" i="66" s="1"/>
  <c r="T22" i="66"/>
  <c r="P40" i="67"/>
  <c r="P43" i="67" s="1"/>
  <c r="P44" i="67" s="1"/>
  <c r="P61" i="67" s="1"/>
  <c r="T61" i="67"/>
  <c r="R55" i="67"/>
  <c r="P56" i="67" s="1"/>
  <c r="V61" i="67" s="1"/>
  <c r="R46" i="67"/>
  <c r="V34" i="67"/>
  <c r="O36" i="68"/>
  <c r="O35" i="68"/>
  <c r="O31" i="68"/>
  <c r="O32" i="68" s="1"/>
  <c r="Q31" i="68"/>
  <c r="P26" i="68"/>
  <c r="P24" i="68"/>
  <c r="R26" i="68" s="1"/>
  <c r="P27" i="68" s="1"/>
  <c r="S23" i="68"/>
  <c r="P23" i="68"/>
  <c r="N13" i="68"/>
  <c r="N12" i="68"/>
  <c r="O5" i="68"/>
  <c r="O4" i="68"/>
  <c r="S68" i="69"/>
  <c r="R68" i="69"/>
  <c r="Q68" i="69"/>
  <c r="U64" i="69"/>
  <c r="U62" i="69"/>
  <c r="U61" i="69"/>
  <c r="T61" i="69"/>
  <c r="S61" i="69"/>
  <c r="R61" i="69"/>
  <c r="T58" i="69"/>
  <c r="S58" i="69"/>
  <c r="T57" i="69"/>
  <c r="Q55" i="69"/>
  <c r="Q56" i="69" s="1"/>
  <c r="Q57" i="69" s="1"/>
  <c r="Q58" i="69" s="1"/>
  <c r="T54" i="69"/>
  <c r="S54" i="69"/>
  <c r="R54" i="69"/>
  <c r="R50" i="69"/>
  <c r="R65" i="69" s="1"/>
  <c r="S49" i="69"/>
  <c r="S65" i="69" s="1"/>
  <c r="T48" i="69"/>
  <c r="T65" i="69" s="1"/>
  <c r="U47" i="69"/>
  <c r="U65" i="69" s="1"/>
  <c r="Q47" i="69"/>
  <c r="Q48" i="69" s="1"/>
  <c r="Q49" i="69" s="1"/>
  <c r="Q50" i="69" s="1"/>
  <c r="Q38" i="69"/>
  <c r="Q39" i="69" s="1"/>
  <c r="T32" i="69"/>
  <c r="AA39" i="69" s="1"/>
  <c r="AA29" i="69"/>
  <c r="Z29" i="69"/>
  <c r="U29" i="69"/>
  <c r="T29" i="69"/>
  <c r="AA28" i="69"/>
  <c r="U28" i="69"/>
  <c r="W26" i="69"/>
  <c r="W27" i="69" s="1"/>
  <c r="W28" i="69" s="1"/>
  <c r="W29" i="69" s="1"/>
  <c r="Q26" i="69"/>
  <c r="Q27" i="69" s="1"/>
  <c r="Q28" i="69" s="1"/>
  <c r="Q29" i="69" s="1"/>
  <c r="H25" i="69"/>
  <c r="H26" i="69" s="1"/>
  <c r="H27" i="69" s="1"/>
  <c r="H28" i="69" s="1"/>
  <c r="B25" i="69"/>
  <c r="B26" i="69" s="1"/>
  <c r="B27" i="69" s="1"/>
  <c r="B28" i="69" s="1"/>
  <c r="B19" i="69"/>
  <c r="T64" i="69" s="1"/>
  <c r="Z19" i="69"/>
  <c r="T19" i="69"/>
  <c r="H18" i="69"/>
  <c r="H19" i="69" s="1"/>
  <c r="H20" i="69" s="1"/>
  <c r="H21" i="69" s="1"/>
  <c r="X17" i="69"/>
  <c r="Y39" i="69" s="1"/>
  <c r="R17" i="69"/>
  <c r="Y16" i="69"/>
  <c r="X16" i="69"/>
  <c r="S16" i="69"/>
  <c r="S28" i="69" s="1"/>
  <c r="R16" i="69"/>
  <c r="Z15" i="69"/>
  <c r="Y15" i="69"/>
  <c r="X15" i="69"/>
  <c r="X19" i="69" s="1"/>
  <c r="T15" i="69"/>
  <c r="S15" i="69"/>
  <c r="R15" i="69"/>
  <c r="R19" i="69" s="1"/>
  <c r="AA14" i="69"/>
  <c r="Z14" i="69"/>
  <c r="Y14" i="69"/>
  <c r="Y27" i="69" s="1"/>
  <c r="X14" i="69"/>
  <c r="W14" i="69"/>
  <c r="W15" i="69" s="1"/>
  <c r="W16" i="69" s="1"/>
  <c r="W17" i="69" s="1"/>
  <c r="U14" i="69"/>
  <c r="T14" i="69"/>
  <c r="S14" i="69"/>
  <c r="R14" i="69"/>
  <c r="Q14" i="69"/>
  <c r="Q15" i="69" s="1"/>
  <c r="Q16" i="69" s="1"/>
  <c r="Q17" i="69" s="1"/>
  <c r="P27" i="27"/>
  <c r="U19" i="27"/>
  <c r="Q17" i="27"/>
  <c r="P17" i="27"/>
  <c r="N16" i="27"/>
  <c r="Q16" i="27" s="1"/>
  <c r="M13" i="27"/>
  <c r="S12" i="27"/>
  <c r="R12" i="27"/>
  <c r="T38" i="65" l="1"/>
  <c r="R15" i="66"/>
  <c r="R31" i="66"/>
  <c r="S18" i="66"/>
  <c r="S19" i="66" s="1"/>
  <c r="S20" i="66" s="1"/>
  <c r="S33" i="66" s="1"/>
  <c r="R30" i="66"/>
  <c r="V22" i="66"/>
  <c r="T30" i="66"/>
  <c r="T20" i="66"/>
  <c r="S32" i="66" s="1"/>
  <c r="T32" i="66" s="1"/>
  <c r="M50" i="67"/>
  <c r="P60" i="67" s="1"/>
  <c r="R51" i="67"/>
  <c r="P52" i="67" s="1"/>
  <c r="R61" i="67" s="1"/>
  <c r="P62" i="67" s="1"/>
  <c r="R50" i="67"/>
  <c r="R29" i="69"/>
  <c r="Z27" i="69"/>
  <c r="T27" i="69"/>
  <c r="B20" i="69"/>
  <c r="B21" i="69" s="1"/>
  <c r="R64" i="69" s="1"/>
  <c r="U66" i="69"/>
  <c r="X28" i="69"/>
  <c r="S27" i="69"/>
  <c r="X27" i="69"/>
  <c r="R28" i="69"/>
  <c r="R27" i="69"/>
  <c r="Q40" i="69"/>
  <c r="Q41" i="69" s="1"/>
  <c r="R41" i="69" s="1"/>
  <c r="T39" i="69"/>
  <c r="T38" i="69"/>
  <c r="T47" i="69" s="1"/>
  <c r="X29" i="69"/>
  <c r="U38" i="69"/>
  <c r="S64" i="69"/>
  <c r="Y28" i="69"/>
  <c r="N15" i="27"/>
  <c r="Q15" i="27" s="1"/>
  <c r="P16" i="27"/>
  <c r="S13" i="27"/>
  <c r="M14" i="27"/>
  <c r="P15" i="27"/>
  <c r="N14" i="27"/>
  <c r="R13" i="27"/>
  <c r="W36" i="66" l="1"/>
  <c r="T33" i="66"/>
  <c r="S34" i="66"/>
  <c r="T34" i="66"/>
  <c r="S40" i="69"/>
  <c r="R40" i="69"/>
  <c r="R49" i="69" s="1"/>
  <c r="R57" i="69" s="1"/>
  <c r="S39" i="69"/>
  <c r="S48" i="69" s="1"/>
  <c r="S56" i="69" s="1"/>
  <c r="R39" i="69"/>
  <c r="Y48" i="69" s="1"/>
  <c r="R38" i="69"/>
  <c r="R47" i="69" s="1"/>
  <c r="S38" i="69"/>
  <c r="S47" i="69" s="1"/>
  <c r="S55" i="69" s="1"/>
  <c r="T55" i="69"/>
  <c r="T59" i="69" s="1"/>
  <c r="T62" i="69" s="1"/>
  <c r="R55" i="69"/>
  <c r="M15" i="27"/>
  <c r="S14" i="27"/>
  <c r="R14" i="27"/>
  <c r="N13" i="27"/>
  <c r="Q14" i="27"/>
  <c r="P14" i="27"/>
  <c r="S59" i="69" l="1"/>
  <c r="W39" i="69"/>
  <c r="R48" i="69"/>
  <c r="W48" i="69" s="1"/>
  <c r="R56" i="69"/>
  <c r="R59" i="69" s="1"/>
  <c r="S62" i="69"/>
  <c r="T66" i="69"/>
  <c r="Q13" i="27"/>
  <c r="N12" i="27"/>
  <c r="P13" i="27"/>
  <c r="M16" i="27"/>
  <c r="S15" i="27"/>
  <c r="R15" i="27"/>
  <c r="R62" i="69" l="1"/>
  <c r="R66" i="69" s="1"/>
  <c r="U68" i="69" s="1"/>
  <c r="S66" i="69"/>
  <c r="U23" i="27"/>
  <c r="U22" i="27"/>
  <c r="P12" i="27"/>
  <c r="Q12" i="27"/>
  <c r="M17" i="27"/>
  <c r="S16" i="27"/>
  <c r="R16" i="27"/>
  <c r="Q22" i="27"/>
  <c r="Q23" i="27"/>
  <c r="P24" i="27" s="1"/>
  <c r="S27" i="27" s="1"/>
  <c r="P28" i="27" s="1"/>
  <c r="S17" i="27" l="1"/>
  <c r="R17" i="27"/>
  <c r="O37" i="28" l="1"/>
  <c r="O52" i="28"/>
  <c r="S51" i="28"/>
  <c r="Q51" i="28"/>
  <c r="O51" i="28"/>
  <c r="Q46" i="28"/>
  <c r="Q44" i="28"/>
  <c r="Q45" i="28"/>
  <c r="Q43" i="28"/>
  <c r="O45" i="28"/>
  <c r="O44" i="28"/>
  <c r="O43" i="28"/>
  <c r="M45" i="28"/>
  <c r="M44" i="28"/>
  <c r="M43" i="28"/>
  <c r="W44" i="29"/>
  <c r="N30" i="29"/>
  <c r="Q32" i="29"/>
  <c r="Q31" i="29"/>
  <c r="N31" i="29"/>
  <c r="Q23" i="29"/>
  <c r="Q30" i="29"/>
  <c r="O30" i="29"/>
  <c r="Q24" i="29"/>
  <c r="N23" i="29"/>
  <c r="N24" i="29" s="1"/>
  <c r="Q22" i="29"/>
  <c r="O22" i="29"/>
  <c r="R41" i="29"/>
  <c r="Q23" i="30"/>
  <c r="P23" i="30"/>
  <c r="O23" i="30"/>
  <c r="T20" i="30"/>
  <c r="Q20" i="30"/>
  <c r="Q19" i="30"/>
  <c r="O18" i="30"/>
  <c r="R14" i="30"/>
  <c r="Q14" i="30"/>
  <c r="T11" i="30"/>
  <c r="R11" i="30"/>
  <c r="U16" i="23"/>
  <c r="T16" i="23"/>
  <c r="S16" i="23"/>
  <c r="R16" i="23"/>
  <c r="U13" i="23"/>
  <c r="U12" i="23"/>
  <c r="T12" i="23"/>
  <c r="S12" i="23"/>
  <c r="R12" i="23"/>
  <c r="Q5" i="23"/>
  <c r="Q6" i="23" s="1"/>
  <c r="Q7" i="23" s="1"/>
  <c r="Q8" i="23" s="1"/>
  <c r="T4" i="23"/>
  <c r="S4" i="23"/>
  <c r="R4" i="23"/>
  <c r="C12" i="23"/>
  <c r="D12" i="23" s="1"/>
  <c r="E12" i="23" s="1"/>
  <c r="T17" i="23" s="1"/>
  <c r="B12" i="23"/>
  <c r="B13" i="23" s="1"/>
  <c r="B14" i="23" s="1"/>
  <c r="I6" i="23" s="1"/>
  <c r="D11" i="23"/>
  <c r="E11" i="23" s="1"/>
  <c r="F11" i="23" s="1"/>
  <c r="U17" i="23" s="1"/>
  <c r="U18" i="23" s="1"/>
  <c r="Q44" i="22"/>
  <c r="R44" i="22" s="1"/>
  <c r="S44" i="22" s="1"/>
  <c r="T44" i="22" s="1"/>
  <c r="U44" i="22" s="1"/>
  <c r="T40" i="22"/>
  <c r="O37" i="22"/>
  <c r="O38" i="22" s="1"/>
  <c r="O39" i="22" s="1"/>
  <c r="O40" i="22" s="1"/>
  <c r="O41" i="22" s="1"/>
  <c r="Q35" i="22"/>
  <c r="R35" i="22" s="1"/>
  <c r="S35" i="22" s="1"/>
  <c r="T35" i="22" s="1"/>
  <c r="U35" i="22" s="1"/>
  <c r="Q32" i="22"/>
  <c r="R32" i="22" s="1"/>
  <c r="S32" i="22" s="1"/>
  <c r="T32" i="22" s="1"/>
  <c r="U32" i="22" s="1"/>
  <c r="U29" i="22"/>
  <c r="U41" i="22" s="1"/>
  <c r="U28" i="22"/>
  <c r="U40" i="22" s="1"/>
  <c r="T28" i="22"/>
  <c r="U27" i="22"/>
  <c r="U39" i="22" s="1"/>
  <c r="T27" i="22"/>
  <c r="T39" i="22" s="1"/>
  <c r="S27" i="22"/>
  <c r="S39" i="22" s="1"/>
  <c r="U26" i="22"/>
  <c r="U38" i="22" s="1"/>
  <c r="T26" i="22"/>
  <c r="T38" i="22" s="1"/>
  <c r="S26" i="22"/>
  <c r="S38" i="22" s="1"/>
  <c r="R26" i="22"/>
  <c r="R38" i="22" s="1"/>
  <c r="U25" i="22"/>
  <c r="U37" i="22" s="1"/>
  <c r="T25" i="22"/>
  <c r="T37" i="22" s="1"/>
  <c r="S25" i="22"/>
  <c r="S37" i="22" s="1"/>
  <c r="R25" i="22"/>
  <c r="R37" i="22" s="1"/>
  <c r="Q25" i="22"/>
  <c r="Q37" i="22" s="1"/>
  <c r="O25" i="22"/>
  <c r="O26" i="22" s="1"/>
  <c r="O27" i="22" s="1"/>
  <c r="O28" i="22" s="1"/>
  <c r="O29" i="22" s="1"/>
  <c r="U24" i="22"/>
  <c r="U36" i="22" s="1"/>
  <c r="T24" i="22"/>
  <c r="T30" i="22" s="1"/>
  <c r="S24" i="22"/>
  <c r="R24" i="22"/>
  <c r="R36" i="22" s="1"/>
  <c r="Q24" i="22"/>
  <c r="Q36" i="22" s="1"/>
  <c r="P24" i="22"/>
  <c r="P30" i="22" s="1"/>
  <c r="P31" i="22" s="1"/>
  <c r="R23" i="22"/>
  <c r="S23" i="22" s="1"/>
  <c r="T23" i="22" s="1"/>
  <c r="U23" i="22" s="1"/>
  <c r="Q23" i="22"/>
  <c r="B43" i="22"/>
  <c r="B52" i="22" s="1"/>
  <c r="B35" i="22"/>
  <c r="D33" i="22"/>
  <c r="E33" i="22" s="1"/>
  <c r="F33" i="22" s="1"/>
  <c r="G33" i="22" s="1"/>
  <c r="H33" i="22" s="1"/>
  <c r="S5" i="22"/>
  <c r="R64" i="22"/>
  <c r="S64" i="22" s="1"/>
  <c r="T64" i="22" s="1"/>
  <c r="U64" i="22" s="1"/>
  <c r="Q64" i="22"/>
  <c r="O58" i="22"/>
  <c r="O59" i="22" s="1"/>
  <c r="O60" i="22" s="1"/>
  <c r="O61" i="22" s="1"/>
  <c r="O57" i="22"/>
  <c r="Q55" i="22"/>
  <c r="R55" i="22" s="1"/>
  <c r="S55" i="22" s="1"/>
  <c r="T55" i="22" s="1"/>
  <c r="U55" i="22" s="1"/>
  <c r="R52" i="22"/>
  <c r="S52" i="22" s="1"/>
  <c r="T52" i="22" s="1"/>
  <c r="U52" i="22" s="1"/>
  <c r="Q52" i="22"/>
  <c r="U49" i="22"/>
  <c r="U61" i="22" s="1"/>
  <c r="U48" i="22"/>
  <c r="U60" i="22" s="1"/>
  <c r="T48" i="22"/>
  <c r="T60" i="22" s="1"/>
  <c r="U47" i="22"/>
  <c r="U59" i="22" s="1"/>
  <c r="T47" i="22"/>
  <c r="T59" i="22" s="1"/>
  <c r="S47" i="22"/>
  <c r="S59" i="22" s="1"/>
  <c r="U46" i="22"/>
  <c r="U58" i="22" s="1"/>
  <c r="T46" i="22"/>
  <c r="T58" i="22" s="1"/>
  <c r="S46" i="22"/>
  <c r="S58" i="22" s="1"/>
  <c r="R46" i="22"/>
  <c r="R58" i="22" s="1"/>
  <c r="U45" i="22"/>
  <c r="U57" i="22" s="1"/>
  <c r="T45" i="22"/>
  <c r="T57" i="22" s="1"/>
  <c r="S45" i="22"/>
  <c r="S57" i="22" s="1"/>
  <c r="R45" i="22"/>
  <c r="R57" i="22" s="1"/>
  <c r="Q45" i="22"/>
  <c r="Q57" i="22" s="1"/>
  <c r="O45" i="22"/>
  <c r="O46" i="22" s="1"/>
  <c r="O47" i="22" s="1"/>
  <c r="O48" i="22" s="1"/>
  <c r="O49" i="22" s="1"/>
  <c r="U56" i="22"/>
  <c r="T50" i="22"/>
  <c r="S56" i="22"/>
  <c r="R56" i="22"/>
  <c r="R62" i="22" s="1"/>
  <c r="R63" i="22" s="1"/>
  <c r="Q56" i="22"/>
  <c r="Q62" i="22" s="1"/>
  <c r="P50" i="22"/>
  <c r="P51" i="22" s="1"/>
  <c r="S22" i="29" l="1"/>
  <c r="R35" i="29"/>
  <c r="T38" i="29" s="1"/>
  <c r="S44" i="29"/>
  <c r="S30" i="29"/>
  <c r="T37" i="29"/>
  <c r="R12" i="30"/>
  <c r="V20" i="30" s="1"/>
  <c r="Q21" i="30" s="1"/>
  <c r="S23" i="30" s="1"/>
  <c r="R5" i="23"/>
  <c r="S6" i="23"/>
  <c r="R6" i="23"/>
  <c r="S5" i="23"/>
  <c r="S9" i="23" s="1"/>
  <c r="T5" i="23"/>
  <c r="T9" i="23" s="1"/>
  <c r="T13" i="23" s="1"/>
  <c r="C13" i="23"/>
  <c r="Q42" i="22"/>
  <c r="Q30" i="22"/>
  <c r="Q31" i="22" s="1"/>
  <c r="S30" i="22"/>
  <c r="T31" i="22" s="1"/>
  <c r="R42" i="22"/>
  <c r="R43" i="22" s="1"/>
  <c r="Q9" i="22"/>
  <c r="B61" i="22"/>
  <c r="U42" i="22"/>
  <c r="R30" i="22"/>
  <c r="R31" i="22" s="1"/>
  <c r="S36" i="22"/>
  <c r="S42" i="22" s="1"/>
  <c r="B36" i="22"/>
  <c r="P36" i="22"/>
  <c r="P42" i="22" s="1"/>
  <c r="P43" i="22" s="1"/>
  <c r="T36" i="22"/>
  <c r="T42" i="22" s="1"/>
  <c r="B44" i="22"/>
  <c r="U30" i="22"/>
  <c r="U31" i="22" s="1"/>
  <c r="S62" i="22"/>
  <c r="S63" i="22" s="1"/>
  <c r="U62" i="22"/>
  <c r="Q50" i="22"/>
  <c r="Q51" i="22" s="1"/>
  <c r="R50" i="22"/>
  <c r="P56" i="22"/>
  <c r="P62" i="22" s="1"/>
  <c r="P63" i="22" s="1"/>
  <c r="T56" i="22"/>
  <c r="T62" i="22" s="1"/>
  <c r="T63" i="22" s="1"/>
  <c r="S50" i="22"/>
  <c r="U50" i="22"/>
  <c r="U51" i="22" s="1"/>
  <c r="O23" i="29" l="1"/>
  <c r="S23" i="29" s="1"/>
  <c r="O31" i="29"/>
  <c r="S31" i="29" s="1"/>
  <c r="N32" i="29"/>
  <c r="P44" i="29"/>
  <c r="S13" i="23"/>
  <c r="T18" i="23"/>
  <c r="C14" i="23"/>
  <c r="R17" i="23" s="1"/>
  <c r="D13" i="23"/>
  <c r="T43" i="22"/>
  <c r="S51" i="22"/>
  <c r="S43" i="22"/>
  <c r="S31" i="22"/>
  <c r="O13" i="22" s="1"/>
  <c r="R51" i="22"/>
  <c r="U43" i="22"/>
  <c r="B45" i="22"/>
  <c r="B54" i="22" s="1"/>
  <c r="B63" i="22" s="1"/>
  <c r="B37" i="22"/>
  <c r="Q7" i="22"/>
  <c r="W9" i="22"/>
  <c r="B53" i="22"/>
  <c r="U9" i="22"/>
  <c r="Q43" i="22"/>
  <c r="Q63" i="22"/>
  <c r="T51" i="22"/>
  <c r="U63" i="22"/>
  <c r="O24" i="29" l="1"/>
  <c r="S24" i="29" s="1"/>
  <c r="S25" i="29" s="1"/>
  <c r="P38" i="29" s="1"/>
  <c r="O32" i="29"/>
  <c r="S32" i="29" s="1"/>
  <c r="S33" i="29" s="1"/>
  <c r="R38" i="29" s="1"/>
  <c r="R7" i="23"/>
  <c r="R9" i="23" s="1"/>
  <c r="R13" i="23" s="1"/>
  <c r="R18" i="23" s="1"/>
  <c r="S17" i="23"/>
  <c r="S18" i="23" s="1"/>
  <c r="S9" i="22"/>
  <c r="S7" i="22"/>
  <c r="O7" i="22" s="1"/>
  <c r="O9" i="22"/>
  <c r="B38" i="22"/>
  <c r="B46" i="22"/>
  <c r="B55" i="22" s="1"/>
  <c r="B64" i="22" s="1"/>
  <c r="Q5" i="22"/>
  <c r="O5" i="22" s="1"/>
  <c r="B62" i="22"/>
  <c r="S11" i="22" s="1"/>
  <c r="Q11" i="22"/>
  <c r="O3" i="22"/>
  <c r="P39" i="29" l="1"/>
  <c r="U44" i="29" s="1"/>
  <c r="P45" i="29" s="1"/>
  <c r="O11" i="22"/>
  <c r="B39" i="22"/>
  <c r="B48" i="22" s="1"/>
  <c r="B57" i="22" s="1"/>
  <c r="B66" i="22" s="1"/>
  <c r="B47" i="22"/>
  <c r="B56" i="22" s="1"/>
  <c r="B65" i="22" s="1"/>
  <c r="V8" i="20" l="1"/>
  <c r="V7" i="20"/>
  <c r="T8" i="20"/>
  <c r="X8" i="20" s="1"/>
  <c r="T7" i="20"/>
  <c r="V4" i="20"/>
  <c r="R4" i="20"/>
  <c r="P4" i="20"/>
  <c r="X7" i="20"/>
  <c r="O5" i="20" l="1"/>
  <c r="O11" i="20" s="1"/>
  <c r="Q30" i="54"/>
  <c r="Q23" i="54"/>
  <c r="O23" i="54"/>
  <c r="S23" i="54" s="1"/>
  <c r="M23" i="54"/>
  <c r="Q22" i="54"/>
  <c r="O22" i="54"/>
  <c r="S22" i="54" s="1"/>
  <c r="M22" i="54"/>
  <c r="Q21" i="54"/>
  <c r="O21" i="54"/>
  <c r="M21" i="54"/>
  <c r="Q20" i="54"/>
  <c r="O20" i="54"/>
  <c r="S20" i="54" s="1"/>
  <c r="M20" i="54"/>
  <c r="Q19" i="54"/>
  <c r="O19" i="54"/>
  <c r="M19" i="54"/>
  <c r="U47" i="35"/>
  <c r="S43" i="35"/>
  <c r="Q43" i="35"/>
  <c r="O39" i="35"/>
  <c r="N32" i="35"/>
  <c r="M32" i="35"/>
  <c r="P32" i="35" s="1"/>
  <c r="Q32" i="35" s="1"/>
  <c r="O31" i="35"/>
  <c r="N31" i="35"/>
  <c r="P31" i="35" s="1"/>
  <c r="Q31" i="35" s="1"/>
  <c r="M31" i="35"/>
  <c r="A19" i="35"/>
  <c r="P23" i="1"/>
  <c r="R29" i="36"/>
  <c r="O29" i="36"/>
  <c r="M29" i="36"/>
  <c r="S23" i="36"/>
  <c r="O22" i="36"/>
  <c r="M22" i="36"/>
  <c r="S19" i="36"/>
  <c r="O18" i="36"/>
  <c r="M18" i="36"/>
  <c r="N12" i="36"/>
  <c r="M12" i="36"/>
  <c r="N10" i="36"/>
  <c r="M10" i="36"/>
  <c r="N8" i="36"/>
  <c r="M8" i="36"/>
  <c r="N7" i="36"/>
  <c r="N11" i="36" s="1"/>
  <c r="M7" i="36"/>
  <c r="M11" i="36" s="1"/>
  <c r="S34" i="38"/>
  <c r="O34" i="38"/>
  <c r="N34" i="38"/>
  <c r="S33" i="38"/>
  <c r="O33" i="38"/>
  <c r="P33" i="38" s="1"/>
  <c r="N33" i="38"/>
  <c r="S32" i="38"/>
  <c r="O32" i="38"/>
  <c r="O35" i="38" s="1"/>
  <c r="N32" i="38"/>
  <c r="R53" i="39"/>
  <c r="R50" i="39"/>
  <c r="V46" i="39"/>
  <c r="T46" i="39"/>
  <c r="R46" i="39"/>
  <c r="U34" i="39"/>
  <c r="R26" i="39"/>
  <c r="Q26" i="39"/>
  <c r="R25" i="39"/>
  <c r="Q25" i="39"/>
  <c r="P25" i="39"/>
  <c r="P26" i="39" s="1"/>
  <c r="R24" i="39"/>
  <c r="Q24" i="39"/>
  <c r="P24" i="39"/>
  <c r="R23" i="39"/>
  <c r="Q23" i="39"/>
  <c r="AN10" i="39"/>
  <c r="Z10" i="39" s="1"/>
  <c r="AM10" i="39"/>
  <c r="AL10" i="39"/>
  <c r="AN9" i="39"/>
  <c r="AM9" i="39"/>
  <c r="X9" i="39"/>
  <c r="AL9" i="39" s="1"/>
  <c r="T7" i="39"/>
  <c r="R9" i="39" s="1"/>
  <c r="O24" i="54" l="1"/>
  <c r="S21" i="54"/>
  <c r="S19" i="54"/>
  <c r="S24" i="54" s="1"/>
  <c r="O30" i="54" s="1"/>
  <c r="O31" i="54" s="1"/>
  <c r="O32" i="35"/>
  <c r="Q33" i="35" s="1"/>
  <c r="Q39" i="35" s="1"/>
  <c r="O40" i="35" s="1"/>
  <c r="O43" i="35" s="1"/>
  <c r="O44" i="35" s="1"/>
  <c r="M9" i="36"/>
  <c r="M13" i="36" s="1"/>
  <c r="O19" i="36" s="1"/>
  <c r="O20" i="36" s="1"/>
  <c r="R30" i="36" s="1"/>
  <c r="N9" i="36"/>
  <c r="N13" i="36" s="1"/>
  <c r="O23" i="36" s="1"/>
  <c r="O24" i="36" s="1"/>
  <c r="O30" i="36" s="1"/>
  <c r="O31" i="36" s="1"/>
  <c r="N35" i="38"/>
  <c r="P34" i="38"/>
  <c r="P35" i="38"/>
  <c r="Q35" i="38" s="1"/>
  <c r="Q33" i="38"/>
  <c r="P32" i="38"/>
  <c r="R47" i="39"/>
  <c r="X10" i="39"/>
  <c r="Y10" i="39"/>
  <c r="Q32" i="38" l="1"/>
  <c r="R39" i="38"/>
  <c r="R32" i="38" s="1"/>
  <c r="R35" i="38"/>
  <c r="Q34" i="38"/>
  <c r="R34" i="38" s="1"/>
  <c r="R13" i="39"/>
  <c r="V23" i="39" s="1"/>
  <c r="S24" i="39"/>
  <c r="V25" i="39"/>
  <c r="S26" i="39"/>
  <c r="S25" i="39"/>
  <c r="V26" i="39"/>
  <c r="V24" i="39"/>
  <c r="Q34" i="39" s="1"/>
  <c r="Q35" i="39" s="1"/>
  <c r="R57" i="39" s="1"/>
  <c r="S23" i="39"/>
  <c r="R33" i="38" l="1"/>
  <c r="R13" i="40" l="1"/>
  <c r="O6" i="40"/>
  <c r="Q6" i="40"/>
  <c r="Q5" i="40"/>
  <c r="S5" i="40" s="1"/>
  <c r="O5" i="40"/>
  <c r="S6" i="40"/>
  <c r="O19" i="41"/>
  <c r="U18" i="41"/>
  <c r="O12" i="41"/>
  <c r="O11" i="41"/>
  <c r="O10" i="41"/>
  <c r="R16" i="42"/>
  <c r="M19" i="42"/>
  <c r="P15" i="42"/>
  <c r="P14" i="42"/>
  <c r="P13" i="42"/>
  <c r="P11" i="42"/>
  <c r="E12" i="42"/>
  <c r="O15" i="42"/>
  <c r="N15" i="42"/>
  <c r="M15" i="42"/>
  <c r="O14" i="42"/>
  <c r="N14" i="42"/>
  <c r="M14" i="42"/>
  <c r="O13" i="42"/>
  <c r="N13" i="42"/>
  <c r="M13" i="42"/>
  <c r="O12" i="42"/>
  <c r="N12" i="42"/>
  <c r="M12" i="42"/>
  <c r="M16" i="42" s="1"/>
  <c r="L13" i="42"/>
  <c r="L14" i="42" s="1"/>
  <c r="L15" i="42" s="1"/>
  <c r="S7" i="40" l="1"/>
  <c r="O13" i="40" s="1"/>
  <c r="O14" i="40" s="1"/>
  <c r="O18" i="41"/>
  <c r="N16" i="42"/>
  <c r="P12" i="42"/>
  <c r="Q12" i="42" s="1"/>
  <c r="O16" i="42"/>
  <c r="R12" i="42" l="1"/>
  <c r="Q13" i="42" l="1"/>
  <c r="R13" i="42" s="1"/>
  <c r="Q14" i="42" l="1"/>
  <c r="Q15" i="42"/>
  <c r="R15" i="42" s="1"/>
  <c r="R14" i="42"/>
  <c r="P16" i="42" l="1"/>
  <c r="Q16" i="42"/>
  <c r="M6" i="51" l="1"/>
  <c r="R5" i="51"/>
  <c r="M5" i="51"/>
  <c r="A7" i="51"/>
  <c r="M6" i="52"/>
  <c r="Q5" i="52"/>
  <c r="M5" i="52"/>
  <c r="A7" i="53"/>
  <c r="A7" i="5"/>
  <c r="A7" i="4"/>
  <c r="A11" i="65"/>
  <c r="A38" i="67"/>
  <c r="A26" i="67"/>
  <c r="A22" i="67"/>
  <c r="A23" i="68"/>
  <c r="A15" i="68"/>
  <c r="A11" i="68"/>
  <c r="A15" i="69"/>
  <c r="A11" i="69"/>
  <c r="A14" i="27"/>
  <c r="A15" i="28"/>
  <c r="A11" i="28"/>
  <c r="A15" i="29"/>
  <c r="A11" i="29"/>
  <c r="A15" i="30"/>
  <c r="A11" i="30"/>
  <c r="A25" i="23"/>
  <c r="A21" i="23"/>
  <c r="A27" i="22"/>
  <c r="A23" i="22"/>
  <c r="A19" i="22"/>
  <c r="A15" i="22"/>
  <c r="A11" i="22"/>
  <c r="A17" i="20"/>
  <c r="A15" i="54"/>
  <c r="A11" i="54"/>
  <c r="A15" i="35"/>
  <c r="A11" i="35"/>
  <c r="A30" i="38"/>
  <c r="A11" i="38"/>
  <c r="A15" i="39"/>
  <c r="A11" i="39"/>
  <c r="A15" i="40"/>
  <c r="A11" i="41"/>
  <c r="A11" i="42"/>
  <c r="A14" i="49"/>
  <c r="A15" i="50"/>
  <c r="A11" i="50"/>
  <c r="N37" i="1"/>
  <c r="M37" i="1"/>
  <c r="M36" i="1"/>
  <c r="P35" i="1"/>
  <c r="O35" i="1"/>
  <c r="N35" i="1"/>
  <c r="M35" i="1"/>
  <c r="P34" i="1"/>
  <c r="O34" i="1"/>
  <c r="N34" i="1"/>
  <c r="M34" i="1"/>
  <c r="O33" i="1"/>
  <c r="N33" i="1"/>
  <c r="M33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R27" i="1"/>
  <c r="Q27" i="1"/>
  <c r="P27" i="1"/>
  <c r="O27" i="1"/>
  <c r="N27" i="1"/>
  <c r="M27" i="1"/>
  <c r="M26" i="1"/>
  <c r="N25" i="1"/>
  <c r="M25" i="1"/>
  <c r="O24" i="1"/>
  <c r="N24" i="1"/>
  <c r="M24" i="1"/>
  <c r="O23" i="1"/>
  <c r="N23" i="1"/>
  <c r="M23" i="1"/>
  <c r="M22" i="1"/>
  <c r="M21" i="1"/>
  <c r="O20" i="1"/>
  <c r="N20" i="1"/>
  <c r="M20" i="1"/>
  <c r="O19" i="1"/>
  <c r="N19" i="1"/>
  <c r="M19" i="1"/>
  <c r="N18" i="1"/>
  <c r="M18" i="1"/>
  <c r="N17" i="1"/>
  <c r="M17" i="1"/>
  <c r="N16" i="1"/>
  <c r="M16" i="1"/>
  <c r="N15" i="1"/>
  <c r="M15" i="1"/>
  <c r="O14" i="1"/>
  <c r="N14" i="1"/>
  <c r="M14" i="1"/>
  <c r="M13" i="1"/>
  <c r="M12" i="1"/>
  <c r="M11" i="1"/>
  <c r="M10" i="1"/>
  <c r="M9" i="1"/>
  <c r="M8" i="1"/>
  <c r="A7" i="2" l="1"/>
  <c r="J35" i="1"/>
  <c r="J34" i="1"/>
  <c r="J37" i="1"/>
  <c r="J33" i="1"/>
  <c r="J36" i="1"/>
  <c r="A7" i="52" l="1"/>
  <c r="A7" i="50" l="1"/>
  <c r="A7" i="49" l="1"/>
  <c r="A7" i="42" l="1"/>
  <c r="A7" i="41" l="1"/>
  <c r="A7" i="40" l="1"/>
  <c r="A7" i="39" l="1"/>
  <c r="A7" i="38" l="1"/>
  <c r="A7" i="37" l="1"/>
  <c r="A7" i="36" l="1"/>
  <c r="A7" i="35" l="1"/>
  <c r="A7" i="54" l="1"/>
  <c r="M2" i="1" a="1"/>
  <c r="M2" i="1" s="1"/>
  <c r="P2" i="1" s="1"/>
  <c r="A7" i="20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8" i="1"/>
  <c r="Y11" i="1" l="1"/>
  <c r="A4" i="53"/>
  <c r="Y14" i="1"/>
  <c r="A4" i="50"/>
  <c r="Y10" i="1"/>
  <c r="A4" i="5"/>
  <c r="Y13" i="1"/>
  <c r="A4" i="51"/>
  <c r="Y9" i="1"/>
  <c r="A4" i="4"/>
  <c r="Y12" i="1"/>
  <c r="A4" i="52"/>
  <c r="Y26" i="1"/>
  <c r="A4" i="21"/>
  <c r="Y25" i="1"/>
  <c r="A4" i="20"/>
  <c r="Y24" i="1"/>
  <c r="A4" i="54"/>
  <c r="Y23" i="1"/>
  <c r="A4" i="35"/>
  <c r="Y22" i="1"/>
  <c r="A4" i="36"/>
  <c r="Y21" i="1"/>
  <c r="A4" i="37"/>
  <c r="Y20" i="1"/>
  <c r="A4" i="38"/>
  <c r="Y19" i="1"/>
  <c r="A4" i="39"/>
  <c r="Y18" i="1"/>
  <c r="A4" i="40"/>
  <c r="Y17" i="1"/>
  <c r="A4" i="41"/>
  <c r="Y16" i="1"/>
  <c r="A4" i="42"/>
  <c r="Y15" i="1"/>
  <c r="A4" i="49"/>
  <c r="A7" i="21"/>
  <c r="Y8" i="1"/>
  <c r="A7" i="22" l="1"/>
  <c r="B27" i="1"/>
  <c r="L26" i="1"/>
  <c r="L32" i="1"/>
  <c r="L31" i="1"/>
  <c r="L30" i="1"/>
  <c r="L29" i="1"/>
  <c r="L28" i="1"/>
  <c r="L27" i="1"/>
  <c r="J10" i="1"/>
  <c r="J22" i="1"/>
  <c r="J9" i="1"/>
  <c r="J12" i="1"/>
  <c r="J25" i="1"/>
  <c r="J30" i="1"/>
  <c r="J32" i="1"/>
  <c r="J19" i="1"/>
  <c r="J17" i="1"/>
  <c r="J18" i="1"/>
  <c r="J15" i="1"/>
  <c r="J14" i="1"/>
  <c r="J23" i="1"/>
  <c r="J31" i="1"/>
  <c r="J13" i="1"/>
  <c r="J26" i="1"/>
  <c r="J29" i="1"/>
  <c r="J11" i="1"/>
  <c r="J27" i="1"/>
  <c r="J28" i="1"/>
  <c r="J24" i="1"/>
  <c r="J20" i="1"/>
  <c r="J21" i="1"/>
  <c r="J16" i="1"/>
  <c r="A4" i="22" l="1"/>
  <c r="Y27" i="1"/>
  <c r="A7" i="23"/>
  <c r="B2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J8" i="1"/>
  <c r="L1" i="5" l="1"/>
  <c r="L1" i="50"/>
  <c r="L1" i="40"/>
  <c r="L1" i="36"/>
  <c r="L1" i="21"/>
  <c r="M1" i="29"/>
  <c r="L1" i="68"/>
  <c r="L1" i="53"/>
  <c r="L1" i="49"/>
  <c r="P1" i="39"/>
  <c r="L1" i="35"/>
  <c r="O1" i="22"/>
  <c r="L1" i="28"/>
  <c r="L1" i="67"/>
  <c r="L1" i="2"/>
  <c r="L1" i="52"/>
  <c r="L1" i="42"/>
  <c r="L1" i="38"/>
  <c r="L1" i="54"/>
  <c r="O1" i="23"/>
  <c r="L1" i="27"/>
  <c r="Q1" i="66"/>
  <c r="L1" i="4"/>
  <c r="L1" i="51"/>
  <c r="L1" i="41"/>
  <c r="P1" i="37"/>
  <c r="L1" i="20"/>
  <c r="N1" i="30"/>
  <c r="P1" i="69"/>
  <c r="P1" i="65"/>
  <c r="Y28" i="1"/>
  <c r="A4" i="23"/>
  <c r="A7" i="30"/>
  <c r="B29" i="1"/>
  <c r="A4" i="30" s="1"/>
  <c r="A4" i="2"/>
  <c r="Y29" i="1" l="1"/>
  <c r="A7" i="29"/>
  <c r="B30" i="1"/>
  <c r="Y30" i="1" l="1"/>
  <c r="A4" i="29"/>
  <c r="A7" i="28"/>
  <c r="B31" i="1"/>
  <c r="Y31" i="1" l="1"/>
  <c r="A4" i="28"/>
  <c r="A7" i="27"/>
  <c r="B32" i="1"/>
  <c r="A4" i="27" l="1"/>
  <c r="Y32" i="1"/>
  <c r="A7" i="69"/>
  <c r="B33" i="1"/>
  <c r="Y33" i="1" l="1"/>
  <c r="A4" i="69"/>
  <c r="A7" i="68"/>
  <c r="B34" i="1"/>
  <c r="Y34" i="1" l="1"/>
  <c r="A4" i="68"/>
  <c r="A7" i="67"/>
  <c r="B35" i="1"/>
  <c r="Y35" i="1" l="1"/>
  <c r="A4" i="67"/>
  <c r="A7" i="66"/>
  <c r="B36" i="1"/>
  <c r="Y36" i="1" l="1"/>
  <c r="A4" i="66"/>
  <c r="A7" i="65"/>
  <c r="B37" i="1"/>
  <c r="Y37" i="1" l="1"/>
  <c r="A4" i="65"/>
  <c r="Y7" i="1" l="1"/>
  <c r="M3" i="1"/>
</calcChain>
</file>

<file path=xl/sharedStrings.xml><?xml version="1.0" encoding="utf-8"?>
<sst xmlns="http://schemas.openxmlformats.org/spreadsheetml/2006/main" count="1979" uniqueCount="968">
  <si>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</si>
  <si>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</si>
  <si>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</si>
  <si>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</si>
  <si>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</si>
  <si>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</si>
  <si>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</si>
  <si>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</si>
  <si>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</si>
  <si>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</si>
  <si>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</si>
  <si>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</si>
  <si>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</si>
  <si>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</si>
  <si>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</si>
  <si>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</si>
  <si>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</si>
  <si>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t>3.) Answer each question either to the side or below the grey question area.</t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</si>
  <si>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</si>
  <si>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</si>
  <si>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</si>
  <si>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</si>
  <si>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</si>
  <si>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t>slay the beast</t>
  </si>
  <si>
    <t>Return to Point Grid</t>
  </si>
  <si>
    <t>Pts Achieved</t>
  </si>
  <si>
    <t>Pts Available</t>
  </si>
  <si>
    <t>F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</si>
  <si>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</si>
  <si>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</si>
  <si>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</si>
  <si>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</si>
  <si>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</si>
  <si>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t>Answers:</t>
  </si>
  <si>
    <t>=</t>
  </si>
  <si>
    <t>+</t>
  </si>
  <si>
    <t>/</t>
  </si>
  <si>
    <t>Answer:</t>
  </si>
  <si>
    <t>Exam 5 - Practice 01 - Answers</t>
  </si>
  <si>
    <t>Select the best answer to the following question.</t>
  </si>
  <si>
    <t xml:space="preserve">(B)    </t>
  </si>
  <si>
    <t xml:space="preserve">(A)    </t>
  </si>
  <si>
    <t xml:space="preserve">(C)    </t>
  </si>
  <si>
    <t xml:space="preserve">(D)    </t>
  </si>
  <si>
    <t>General Pricing</t>
  </si>
  <si>
    <t>General Reserving</t>
  </si>
  <si>
    <t>Reserving  - Chap 2: The Claims Process</t>
  </si>
  <si>
    <t>Pricing - Chap 1: Introduction to Pricing</t>
  </si>
  <si>
    <t>Enter your answer in the space provided.</t>
  </si>
  <si>
    <t>counts</t>
  </si>
  <si>
    <t>Exposures (X)</t>
  </si>
  <si>
    <t>Losses (L)</t>
  </si>
  <si>
    <t>Earned Premium (EP)</t>
  </si>
  <si>
    <t>Written Premium (WP)</t>
  </si>
  <si>
    <t>Loss Adjustment Expense (LAE)</t>
  </si>
  <si>
    <t>Comm, Other, TLF</t>
  </si>
  <si>
    <t>General Expense</t>
  </si>
  <si>
    <t># of policies renewed</t>
  </si>
  <si>
    <t># of potential renewals</t>
  </si>
  <si>
    <t># of accepted quotes</t>
  </si>
  <si>
    <t># of quotes</t>
  </si>
  <si>
    <t>Calculate the retention ratio.</t>
  </si>
  <si>
    <t>retention ratio</t>
  </si>
  <si>
    <t>( # of policies renewed )</t>
  </si>
  <si>
    <t>( # of potential renewal policies )</t>
  </si>
  <si>
    <t>cumulative reported loss at time t1</t>
  </si>
  <si>
    <t>incremental reported loss from time t1 to time t2</t>
  </si>
  <si>
    <t>Calculate the cumulative reported loss at time t2.</t>
  </si>
  <si>
    <t>cumulative reported loss at time t2</t>
  </si>
  <si>
    <t>( cumulative reported loss at time t1 )</t>
  </si>
  <si>
    <t>( incremental reported loss from time t1 to time t2 )</t>
  </si>
  <si>
    <t>Calendar year aggregation is one way of aggregating loss data. Identify 3 other common ways</t>
  </si>
  <si>
    <t>of aggregating loss data.</t>
  </si>
  <si>
    <t>Accident year</t>
  </si>
  <si>
    <t>Policy year</t>
  </si>
  <si>
    <t>Report year</t>
  </si>
  <si>
    <t>Identify 3 criteria that a good exposure base should satisfy.</t>
  </si>
  <si>
    <t>proportional to expected loss</t>
  </si>
  <si>
    <t>practical</t>
  </si>
  <si>
    <t>precedents (consider historical precedents)</t>
  </si>
  <si>
    <t>Calculate the following quantities:</t>
  </si>
  <si>
    <t>(i)</t>
  </si>
  <si>
    <t>(ii)</t>
  </si>
  <si>
    <t>Written exposures for calendar year 2023</t>
  </si>
  <si>
    <t>In-force exposures as of July 15, 2025</t>
  </si>
  <si>
    <t>(c-i)</t>
  </si>
  <si>
    <t>(c-ii)</t>
  </si>
  <si>
    <t>Pricing - Chap 3,4: Data, Exposures</t>
  </si>
  <si>
    <t>Pricing - Chap 5: Premiums</t>
  </si>
  <si>
    <t>EP for CY 2020</t>
  </si>
  <si>
    <t>EP for CY 2021</t>
  </si>
  <si>
    <t>rate change</t>
  </si>
  <si>
    <t>rate change date</t>
  </si>
  <si>
    <t>EP 2020 @ CRL</t>
  </si>
  <si>
    <t>EP 2021 @ CRL</t>
  </si>
  <si>
    <t>Diagram</t>
  </si>
  <si>
    <t>There are 2 rate levels indicated by the labels 1 and 2. They are separated by the red diagonal.</t>
  </si>
  <si>
    <t>CRL</t>
  </si>
  <si>
    <t>A1</t>
  </si>
  <si>
    <t>A2</t>
  </si>
  <si>
    <t>A3</t>
  </si>
  <si>
    <t>A4</t>
  </si>
  <si>
    <t>=  product of all rate changes</t>
  </si>
  <si>
    <t>=  Σ [ area x (rate level) ]</t>
  </si>
  <si>
    <r>
      <t>= CRL / ARL</t>
    </r>
    <r>
      <rPr>
        <vertAlign val="subscript"/>
        <sz val="11"/>
        <color theme="1"/>
        <rFont val="Calibri"/>
        <family val="2"/>
        <scheme val="minor"/>
      </rPr>
      <t>CY</t>
    </r>
  </si>
  <si>
    <r>
      <t>ARL</t>
    </r>
    <r>
      <rPr>
        <vertAlign val="subscript"/>
        <sz val="11"/>
        <color theme="1"/>
        <rFont val="Calibri"/>
        <family val="2"/>
        <scheme val="minor"/>
      </rPr>
      <t>CY</t>
    </r>
  </si>
  <si>
    <r>
      <t>CRLF</t>
    </r>
    <r>
      <rPr>
        <vertAlign val="subscript"/>
        <sz val="11"/>
        <color theme="1"/>
        <rFont val="Calibri"/>
        <family val="2"/>
        <scheme val="minor"/>
      </rPr>
      <t>CY</t>
    </r>
  </si>
  <si>
    <r>
      <t>ARL</t>
    </r>
    <r>
      <rPr>
        <vertAlign val="subscript"/>
        <sz val="11"/>
        <color theme="1"/>
        <rFont val="Calibri"/>
        <family val="2"/>
        <scheme val="minor"/>
      </rPr>
      <t>20</t>
    </r>
  </si>
  <si>
    <r>
      <t>ARL</t>
    </r>
    <r>
      <rPr>
        <vertAlign val="subscript"/>
        <sz val="11"/>
        <color theme="1"/>
        <rFont val="Calibri"/>
        <family val="2"/>
        <scheme val="minor"/>
      </rPr>
      <t>21</t>
    </r>
  </si>
  <si>
    <r>
      <t>CRLF</t>
    </r>
    <r>
      <rPr>
        <vertAlign val="subscript"/>
        <sz val="11"/>
        <color theme="1"/>
        <rFont val="Calibri"/>
        <family val="2"/>
        <scheme val="minor"/>
      </rPr>
      <t>20</t>
    </r>
  </si>
  <si>
    <r>
      <t>CRLF</t>
    </r>
    <r>
      <rPr>
        <vertAlign val="subscript"/>
        <sz val="11"/>
        <color theme="1"/>
        <rFont val="Calibri"/>
        <family val="2"/>
        <scheme val="minor"/>
      </rPr>
      <t>21</t>
    </r>
  </si>
  <si>
    <r>
      <t>The relevant areas within each square (CY) are labelled A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.</t>
    </r>
  </si>
  <si>
    <t>Identify 2 adjustments, other than bringing premiums to curent rate level, that may be required</t>
  </si>
  <si>
    <t>before using premium in a rate indication.</t>
  </si>
  <si>
    <t>trending of earned premium</t>
  </si>
  <si>
    <t>premium development</t>
  </si>
  <si>
    <t>Large individual losses, also called shock losses, happen infrequently but can cause instability in</t>
  </si>
  <si>
    <t>the ratemaking process. Identify 2 principles in determining a shock loss threshold.</t>
  </si>
  <si>
    <t>• maximize number of losses included</t>
  </si>
  <si>
    <t>• minimize volatility in the ratemaking process</t>
  </si>
  <si>
    <t>AY</t>
  </si>
  <si>
    <t>reported</t>
  </si>
  <si>
    <t>losses</t>
  </si>
  <si>
    <t># of</t>
  </si>
  <si>
    <t>excess</t>
  </si>
  <si>
    <t>claims</t>
  </si>
  <si>
    <t>ground-up</t>
  </si>
  <si>
    <t>Total</t>
  </si>
  <si>
    <t>Reported</t>
  </si>
  <si>
    <t>Loss</t>
  </si>
  <si>
    <t># of Excess</t>
  </si>
  <si>
    <t>Claims</t>
  </si>
  <si>
    <t>Ground-up</t>
  </si>
  <si>
    <t>Excess Losses</t>
  </si>
  <si>
    <t>Pricing - Chap 6: Loss &amp; LAE</t>
  </si>
  <si>
    <t>excess loss factor:</t>
  </si>
  <si>
    <t>Given the following loss information, calculate the excess loss factor (excess ratio) for AY 2025.</t>
  </si>
  <si>
    <t>excess of</t>
  </si>
  <si>
    <t>non</t>
  </si>
  <si>
    <t>ratio</t>
  </si>
  <si>
    <t>(1)</t>
  </si>
  <si>
    <t>(2)</t>
  </si>
  <si>
    <t>(3)</t>
  </si>
  <si>
    <t>(4)</t>
  </si>
  <si>
    <t>(5)</t>
  </si>
  <si>
    <t>(6)</t>
  </si>
  <si>
    <t>Totals</t>
  </si>
  <si>
    <t>Large Loss Threshold:</t>
  </si>
  <si>
    <t>(4)  =  (3) -</t>
  </si>
  <si>
    <t>(5)  =  (1) - (4)</t>
  </si>
  <si>
    <t>(6)  =  (4) / (5)</t>
  </si>
  <si>
    <t>Total Excess Loss Factor (Totals row)  =  (Total 4) / (Total 5)</t>
  </si>
  <si>
    <t>(1), (2), (3) are given information</t>
  </si>
  <si>
    <t>Pricing - Chap 7: Other Expenses</t>
  </si>
  <si>
    <t>Calculate the average premium an insurer must charge to balance the Fundamental Insurance Equation.</t>
  </si>
  <si>
    <r>
      <rPr>
        <b/>
        <sz val="11"/>
        <color theme="1"/>
        <rFont val="Calibri"/>
        <family val="2"/>
        <scheme val="minor"/>
      </rPr>
      <t>General</t>
    </r>
    <r>
      <rPr>
        <sz val="11"/>
        <color theme="1"/>
        <rFont val="Calibri"/>
        <family val="2"/>
        <scheme val="minor"/>
      </rPr>
      <t>: all remaining expenses (Ex: building maintenance, salaries)</t>
    </r>
  </si>
  <si>
    <r>
      <rPr>
        <b/>
        <sz val="11"/>
        <color theme="1"/>
        <rFont val="Calibri"/>
        <family val="2"/>
        <scheme val="minor"/>
      </rPr>
      <t>Taxes, Licenses &amp; Fees</t>
    </r>
    <r>
      <rPr>
        <sz val="11"/>
        <color theme="1"/>
        <rFont val="Calibri"/>
        <family val="2"/>
        <scheme val="minor"/>
      </rPr>
      <t>: all taxes and fees excluding federal income tax (Ex: premium taxes)</t>
    </r>
  </si>
  <si>
    <r>
      <rPr>
        <b/>
        <sz val="11"/>
        <color theme="1"/>
        <rFont val="Calibri"/>
        <family val="2"/>
        <scheme val="minor"/>
      </rPr>
      <t>Other Acquisition</t>
    </r>
    <r>
      <rPr>
        <sz val="11"/>
        <color theme="1"/>
        <rFont val="Calibri"/>
        <family val="2"/>
        <scheme val="minor"/>
      </rPr>
      <t>: expenses for generating business, other Commissions and Brokerage</t>
    </r>
  </si>
  <si>
    <r>
      <rPr>
        <b/>
        <sz val="11"/>
        <color theme="1"/>
        <rFont val="Calibri"/>
        <family val="2"/>
        <scheme val="minor"/>
      </rPr>
      <t>Commissions &amp; Brokerage</t>
    </r>
    <r>
      <rPr>
        <sz val="11"/>
        <color theme="1"/>
        <rFont val="Calibri"/>
        <family val="2"/>
        <scheme val="minor"/>
      </rPr>
      <t>: payment to agents or brokers for generating business</t>
    </r>
  </si>
  <si>
    <t>Identify and briefly describe the 4 categories of underwriting expenses relevant to performing a rate</t>
  </si>
  <si>
    <t>indication.</t>
  </si>
  <si>
    <t>loss</t>
  </si>
  <si>
    <t>LAE</t>
  </si>
  <si>
    <t>fixed U/W expense</t>
  </si>
  <si>
    <t>exposures</t>
  </si>
  <si>
    <t>variable expense provision</t>
  </si>
  <si>
    <t xml:space="preserve"> = V</t>
  </si>
  <si>
    <t>target profit percentage</t>
  </si>
  <si>
    <t xml:space="preserve"> = QT</t>
  </si>
  <si>
    <t>Step 1</t>
  </si>
  <si>
    <t xml:space="preserve"> calculate average loss, average LAE, average fix U/W expense BY dividing by exposures</t>
  </si>
  <si>
    <t>avg loss</t>
  </si>
  <si>
    <t>avg LAE</t>
  </si>
  <si>
    <t>avg EF</t>
  </si>
  <si>
    <t>Step 2</t>
  </si>
  <si>
    <t xml:space="preserve"> apply the formula for average premium</t>
  </si>
  <si>
    <t>avg P</t>
  </si>
  <si>
    <t>(avg loss  +  avg LAE  +  avg fixed U/W expense)</t>
  </si>
  <si>
    <t>(1 - V - QT)</t>
  </si>
  <si>
    <t>(final answer)</t>
  </si>
  <si>
    <t xml:space="preserve"> (EF stands for Expenses that are Fixed)</t>
  </si>
  <si>
    <t>Calculate the indicated average rate level change.</t>
  </si>
  <si>
    <t>experience period on-level trended EP</t>
  </si>
  <si>
    <t>experience period trended &amp; developed Loss &amp; LAE</t>
  </si>
  <si>
    <t>experience period fixed expenses</t>
  </si>
  <si>
    <t xml:space="preserve"> calculate the loss ratio L &amp; F (Loss &amp; LAE ratio, Fixed expense ratio)</t>
  </si>
  <si>
    <t>L&amp;LAE ratio</t>
  </si>
  <si>
    <t xml:space="preserve"> apply the formula for the indicated rate change</t>
  </si>
  <si>
    <t>(L&amp;LAE Ratio  +  F)</t>
  </si>
  <si>
    <t>-</t>
  </si>
  <si>
    <r>
      <t xml:space="preserve">The loss ratio method for calculating an indicated rate change requires </t>
    </r>
    <r>
      <rPr>
        <u/>
        <sz val="11"/>
        <rFont val="Calibri"/>
        <family val="2"/>
        <scheme val="minor"/>
      </rPr>
      <t>premium data</t>
    </r>
    <r>
      <rPr>
        <sz val="11"/>
        <rFont val="Calibri"/>
        <family val="2"/>
        <scheme val="minor"/>
      </rPr>
      <t xml:space="preserve"> and provides</t>
    </r>
  </si>
  <si>
    <r>
      <t xml:space="preserve">the indicated percentage rate </t>
    </r>
    <r>
      <rPr>
        <u/>
        <sz val="11"/>
        <rFont val="Calibri"/>
        <family val="2"/>
        <scheme val="minor"/>
      </rPr>
      <t>change</t>
    </r>
    <r>
      <rPr>
        <sz val="11"/>
        <rFont val="Calibri"/>
        <family val="2"/>
        <scheme val="minor"/>
      </rPr>
      <t xml:space="preserve">. What data does the pure premium method require, and what </t>
    </r>
  </si>
  <si>
    <t>output result does it provide?</t>
  </si>
  <si>
    <t>dollar value.</t>
  </si>
  <si>
    <r>
      <t xml:space="preserve">The pure premium method required </t>
    </r>
    <r>
      <rPr>
        <u/>
        <sz val="11"/>
        <color theme="1"/>
        <rFont val="Calibri"/>
        <family val="2"/>
        <scheme val="minor"/>
      </rPr>
      <t>exposure data</t>
    </r>
    <r>
      <rPr>
        <sz val="11"/>
        <color theme="1"/>
        <rFont val="Calibri"/>
        <family val="2"/>
        <scheme val="minor"/>
      </rPr>
      <t xml:space="preserve">, and provides the </t>
    </r>
    <r>
      <rPr>
        <u/>
        <sz val="11"/>
        <color theme="1"/>
        <rFont val="Calibri"/>
        <family val="2"/>
        <scheme val="minor"/>
      </rPr>
      <t>actual rate</t>
    </r>
    <r>
      <rPr>
        <sz val="11"/>
        <color theme="1"/>
        <rFont val="Calibri"/>
        <family val="2"/>
        <scheme val="minor"/>
      </rPr>
      <t xml:space="preserve"> expressed as a</t>
    </r>
  </si>
  <si>
    <t>Pricing - Chap 8: Indication</t>
  </si>
  <si>
    <r>
      <t xml:space="preserve">Using the information shown further down, calculate the </t>
    </r>
    <r>
      <rPr>
        <b/>
        <sz val="11"/>
        <rFont val="Calibri"/>
        <family val="2"/>
        <scheme val="minor"/>
      </rPr>
      <t>developed and trended losses &amp; LAE by</t>
    </r>
  </si>
  <si>
    <r>
      <rPr>
        <b/>
        <sz val="11"/>
        <rFont val="Calibri"/>
        <family val="2"/>
        <scheme val="minor"/>
      </rPr>
      <t>accident year</t>
    </r>
    <r>
      <rPr>
        <sz val="11"/>
        <rFont val="Calibri"/>
        <family val="2"/>
        <scheme val="minor"/>
      </rPr>
      <t>.</t>
    </r>
  </si>
  <si>
    <r>
      <t>Using the information shown further down, calculate the i</t>
    </r>
    <r>
      <rPr>
        <b/>
        <sz val="11"/>
        <rFont val="Calibri"/>
        <family val="2"/>
        <scheme val="minor"/>
      </rPr>
      <t>ndicated rate</t>
    </r>
    <r>
      <rPr>
        <sz val="11"/>
        <rFont val="Calibri"/>
        <family val="2"/>
        <scheme val="minor"/>
      </rPr>
      <t>.</t>
    </r>
  </si>
  <si>
    <r>
      <t>Using the information shown further down, calculate the i</t>
    </r>
    <r>
      <rPr>
        <b/>
        <sz val="11"/>
        <rFont val="Calibri"/>
        <family val="2"/>
        <scheme val="minor"/>
      </rPr>
      <t>ndicated pure premium</t>
    </r>
    <r>
      <rPr>
        <sz val="11"/>
        <rFont val="Calibri"/>
        <family val="2"/>
        <scheme val="minor"/>
      </rPr>
      <t>.</t>
    </r>
  </si>
  <si>
    <t>Losses as of yr-end:</t>
  </si>
  <si>
    <t>LDFs (Loss &amp; LAE):</t>
  </si>
  <si>
    <t>Expenses / Profit:</t>
  </si>
  <si>
    <t>Earned</t>
  </si>
  <si>
    <t>CY / AY</t>
  </si>
  <si>
    <t>Loss &amp; LAE</t>
  </si>
  <si>
    <t>Exposures</t>
  </si>
  <si>
    <t>12-Ult</t>
  </si>
  <si>
    <t>Commission</t>
  </si>
  <si>
    <t>24-Ult</t>
  </si>
  <si>
    <t>Taxes</t>
  </si>
  <si>
    <t>36-Ult</t>
  </si>
  <si>
    <t>48-Ult</t>
  </si>
  <si>
    <t>Fixed Expense</t>
  </si>
  <si>
    <t>60-Ult</t>
  </si>
  <si>
    <t>Profit</t>
  </si>
  <si>
    <t>Trends are Exponential</t>
  </si>
  <si>
    <t>Other Information:</t>
  </si>
  <si>
    <t xml:space="preserve">   and other acquisition expenses.</t>
  </si>
  <si>
    <t>Frequency Trend</t>
  </si>
  <si>
    <t>Severity Trend</t>
  </si>
  <si>
    <t>effective date:</t>
  </si>
  <si>
    <t>rates in effect for</t>
  </si>
  <si>
    <t>months</t>
  </si>
  <si>
    <t>policy term:</t>
  </si>
  <si>
    <r>
      <t xml:space="preserve">Variable Expenses </t>
    </r>
    <r>
      <rPr>
        <b/>
        <vertAlign val="superscript"/>
        <sz val="11"/>
        <color rgb="FFFF0000"/>
        <rFont val="Calibri"/>
        <family val="2"/>
        <scheme val="minor"/>
      </rPr>
      <t>1</t>
    </r>
  </si>
  <si>
    <r>
      <rPr>
        <b/>
        <vertAlign val="superscript"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Refers to variable portion of general</t>
    </r>
  </si>
  <si>
    <t>&lt;== (year, month, day)</t>
  </si>
  <si>
    <t>Strategy</t>
  </si>
  <si>
    <t xml:space="preserve"> Since we are given exposures, we will use the pure premium method to calculate the new rate.</t>
  </si>
  <si>
    <t>|</t>
  </si>
  <si>
    <t xml:space="preserve"> Just do parts (a), (b), and (c) in order but note that the problem won't always break it down like this.</t>
  </si>
  <si>
    <t>side calc</t>
  </si>
  <si>
    <t xml:space="preserve"> Sometimes they will ask only for the indicated rate and YOU WOULD HAVE TO KNOW TO DO THESE STEPS.</t>
  </si>
  <si>
    <t>Step (a)-1</t>
  </si>
  <si>
    <t xml:space="preserve"> Calculate the appropriate trend period for AY:</t>
  </si>
  <si>
    <t>AWD</t>
  </si>
  <si>
    <t xml:space="preserve"> AWD for historical and effective period</t>
  </si>
  <si>
    <t>year</t>
  </si>
  <si>
    <t>month</t>
  </si>
  <si>
    <t>day</t>
  </si>
  <si>
    <t>AAD 1</t>
  </si>
  <si>
    <t>07</t>
  </si>
  <si>
    <t>01</t>
  </si>
  <si>
    <t>AWD 1</t>
  </si>
  <si>
    <t>(mid-point of historical period) - 0.5 x (term)</t>
  </si>
  <si>
    <t>AAD 2</t>
  </si>
  <si>
    <t>(mid-point of effective period) + 0.5 x (term)</t>
  </si>
  <si>
    <t>AWD 2</t>
  </si>
  <si>
    <t>(mid-point of effective period)</t>
  </si>
  <si>
    <t>AY trend period</t>
  </si>
  <si>
    <t xml:space="preserve"> &lt;== years</t>
  </si>
  <si>
    <t>(Then the trend period is increased by 1 year for each prior AY.)</t>
  </si>
  <si>
    <t>Step (a)-2</t>
  </si>
  <si>
    <t xml:space="preserve"> Develop and trend losses &amp; LAE. (We are directly given all the necessary information.)</t>
  </si>
  <si>
    <t>Trended</t>
  </si>
  <si>
    <t>Ultimate</t>
  </si>
  <si>
    <t>LDF</t>
  </si>
  <si>
    <t>Trend</t>
  </si>
  <si>
    <t>final answers for part (a)</t>
  </si>
  <si>
    <t>Step (b)</t>
  </si>
  <si>
    <t xml:space="preserve"> There is no single correct way to estimate the INDICATED PURE PREMIUM from step (a) but unless there are</t>
  </si>
  <si>
    <t xml:space="preserve"> clear outliers in the data, it is reasonable to use a weighted average.</t>
  </si>
  <si>
    <t>INDICATED PURE PREMIUM</t>
  </si>
  <si>
    <t>SUM(Trended Ultimate Loss &amp;LAE)</t>
  </si>
  <si>
    <t>SUM(Earned Exposures)</t>
  </si>
  <si>
    <t>final answer for part (b)</t>
  </si>
  <si>
    <t>Step (c)</t>
  </si>
  <si>
    <t xml:space="preserve"> Calculate the INDICATED RATE using the indicated pure premium from step (a) in the pure premium method.</t>
  </si>
  <si>
    <t>INDICATED RATE</t>
  </si>
  <si>
    <t>(indicated pure premium  +  avg fixed U/W expense)</t>
  </si>
  <si>
    <t>(1 - V - Q)</t>
  </si>
  <si>
    <t>From the given information:</t>
  </si>
  <si>
    <t>V</t>
  </si>
  <si>
    <t>total variable portion of expenses</t>
  </si>
  <si>
    <t>Variable Portion of General &amp; Other Acquisition</t>
  </si>
  <si>
    <t>Q</t>
  </si>
  <si>
    <t>profit</t>
  </si>
  <si>
    <t>avg fixed U/W expense</t>
  </si>
  <si>
    <t>Then substitute these values in the formula for the INDICATED RATE:</t>
  </si>
  <si>
    <t>final answer for part (c)</t>
  </si>
  <si>
    <t>Comm.</t>
  </si>
  <si>
    <t>"Legal criteria" are ways of evaluating rating variables. For example, a rating variable must follow all</t>
  </si>
  <si>
    <t>appropriate laws and regulations. Identify 2 other criteria and provide a brief description of each.</t>
  </si>
  <si>
    <t>Any 2 of:</t>
  </si>
  <si>
    <t>- objective</t>
  </si>
  <si>
    <t>- inexpensive to administer</t>
  </si>
  <si>
    <t>- verifiable</t>
  </si>
  <si>
    <t>- affordability</t>
  </si>
  <si>
    <t>- causality</t>
  </si>
  <si>
    <t>- controllability</t>
  </si>
  <si>
    <t>- privacy concerns</t>
  </si>
  <si>
    <t>- statistical significance</t>
  </si>
  <si>
    <t>- homogeneity</t>
  </si>
  <si>
    <t>- credibility</t>
  </si>
  <si>
    <r>
      <t>O</t>
    </r>
    <r>
      <rPr>
        <sz val="11"/>
        <color rgb="FF222222"/>
        <rFont val="Calibri"/>
        <family val="2"/>
        <scheme val="minor"/>
      </rPr>
      <t>perational criteria</t>
    </r>
  </si>
  <si>
    <r>
      <t>S</t>
    </r>
    <r>
      <rPr>
        <sz val="11"/>
        <color rgb="FF222222"/>
        <rFont val="Calibri"/>
        <family val="2"/>
        <scheme val="minor"/>
      </rPr>
      <t>ocial criteria</t>
    </r>
  </si>
  <si>
    <r>
      <t>S</t>
    </r>
    <r>
      <rPr>
        <sz val="11"/>
        <color rgb="FF222222"/>
        <rFont val="Calibri"/>
        <family val="2"/>
        <scheme val="minor"/>
      </rPr>
      <t>tatistical criteria</t>
    </r>
  </si>
  <si>
    <t>Homeowners</t>
  </si>
  <si>
    <t>Workers Compensation</t>
  </si>
  <si>
    <t>Commercial General Liability</t>
  </si>
  <si>
    <t>Medical Malpractice</t>
  </si>
  <si>
    <t>Commercial Auto</t>
  </si>
  <si>
    <t>Personal Auto</t>
  </si>
  <si>
    <t>Type of Insurance</t>
  </si>
  <si>
    <t>Rating Variables</t>
  </si>
  <si>
    <t>A</t>
  </si>
  <si>
    <t>B</t>
  </si>
  <si>
    <t>C</t>
  </si>
  <si>
    <t>D</t>
  </si>
  <si>
    <t>E</t>
  </si>
  <si>
    <t>Driver Age &amp; Gender, Model Year, Accident History</t>
  </si>
  <si>
    <t>Amount of Insurance, Age of Home, Construction Type</t>
  </si>
  <si>
    <t>Occupation Class Code</t>
  </si>
  <si>
    <t>Classification, Territory, Limit of Liability</t>
  </si>
  <si>
    <t>Specialty, Territory, Limit of Liability</t>
  </si>
  <si>
    <t>Driver Class, Territory, Limit of Liability</t>
  </si>
  <si>
    <t>Match each type of insurance listed below with the rating variable list that best goes with each. For</t>
  </si>
  <si>
    <t>example, "Commercial Auto" corresponds to "Driver Class, Territory, Limit of Liability" so you would</t>
  </si>
  <si>
    <t>answer "6-B".</t>
  </si>
  <si>
    <t>1-C</t>
  </si>
  <si>
    <t>6-B</t>
  </si>
  <si>
    <t>2-F</t>
  </si>
  <si>
    <t>3-A</t>
  </si>
  <si>
    <t>5-D</t>
  </si>
  <si>
    <t>4-E</t>
  </si>
  <si>
    <t>Propose rating factors for the given rating variable relative to the base class:</t>
  </si>
  <si>
    <t>level</t>
  </si>
  <si>
    <t>of</t>
  </si>
  <si>
    <t>variable</t>
  </si>
  <si>
    <t>EE</t>
  </si>
  <si>
    <t>L + ALAE</t>
  </si>
  <si>
    <t xml:space="preserve"> complete columns (4), (5), (6) in the following table</t>
  </si>
  <si>
    <t>rebased</t>
  </si>
  <si>
    <t>pure</t>
  </si>
  <si>
    <t>indicated</t>
  </si>
  <si>
    <t>premium</t>
  </si>
  <si>
    <t>relativity</t>
  </si>
  <si>
    <t>(final answers in green)</t>
  </si>
  <si>
    <t>= (3) / (2)</t>
  </si>
  <si>
    <t>= (4) / (Tot4)</t>
  </si>
  <si>
    <t>= (5) / (Base5)</t>
  </si>
  <si>
    <t xml:space="preserve">where Base5 = </t>
  </si>
  <si>
    <t>(0.25 pts)</t>
  </si>
  <si>
    <t>no points because this was given</t>
  </si>
  <si>
    <t>Pricing - Chap 9: Risk Classification</t>
  </si>
  <si>
    <t>data from a generalized linear model:</t>
  </si>
  <si>
    <t xml:space="preserve">An insurer is considering using credit score to further segment its homeowners book of business. </t>
  </si>
  <si>
    <t>The insurer has developed a generalized linear model to evaluate different variables’ contribution to</t>
  </si>
  <si>
    <t>expected frequency of wind claims.</t>
  </si>
  <si>
    <t>Pricing - Chap 10: Multivariate Analysis</t>
  </si>
  <si>
    <r>
      <t xml:space="preserve">The </t>
    </r>
    <r>
      <rPr>
        <b/>
        <sz val="11"/>
        <rFont val="Calibri"/>
        <family val="2"/>
        <scheme val="minor"/>
      </rPr>
      <t>first diagnostic chart</t>
    </r>
    <r>
      <rPr>
        <sz val="11"/>
        <rFont val="Calibri"/>
        <family val="2"/>
        <scheme val="minor"/>
      </rPr>
      <t xml:space="preserve"> displays the results of a countrywide analysis performed on </t>
    </r>
    <r>
      <rPr>
        <u/>
        <sz val="11"/>
        <rFont val="Calibri"/>
        <family val="2"/>
        <scheme val="minor"/>
      </rPr>
      <t>1 year</t>
    </r>
    <r>
      <rPr>
        <sz val="11"/>
        <rFont val="Calibri"/>
        <family val="2"/>
        <scheme val="minor"/>
      </rPr>
      <t xml:space="preserve"> of</t>
    </r>
  </si>
  <si>
    <r>
      <t xml:space="preserve">The </t>
    </r>
    <r>
      <rPr>
        <b/>
        <sz val="11"/>
        <rFont val="Calibri"/>
        <family val="2"/>
        <scheme val="minor"/>
      </rPr>
      <t>second diagnostic chart</t>
    </r>
    <r>
      <rPr>
        <sz val="11"/>
        <rFont val="Calibri"/>
        <family val="2"/>
        <scheme val="minor"/>
      </rPr>
      <t xml:space="preserve"> displays the results of a countrywide analysis performed on </t>
    </r>
    <r>
      <rPr>
        <u/>
        <sz val="11"/>
        <rFont val="Calibri"/>
        <family val="2"/>
        <scheme val="minor"/>
      </rPr>
      <t>5 years</t>
    </r>
    <r>
      <rPr>
        <sz val="11"/>
        <rFont val="Calibri"/>
        <family val="2"/>
        <scheme val="minor"/>
      </rPr>
      <t xml:space="preserve"> of</t>
    </r>
  </si>
  <si>
    <t xml:space="preserve">data from a generalized linear model. (The year of the 5 years of data incorporate the same 1 year of </t>
  </si>
  <si>
    <t>data used for the original multivaraite analysis.)</t>
  </si>
  <si>
    <r>
      <t xml:space="preserve">Based on the first chart, the actuarial department recommended that credit score </t>
    </r>
    <r>
      <rPr>
        <u/>
        <sz val="11"/>
        <color theme="1"/>
        <rFont val="Calibri"/>
        <family val="2"/>
        <scheme val="minor"/>
      </rPr>
      <t>should not</t>
    </r>
    <r>
      <rPr>
        <sz val="11"/>
        <color theme="1"/>
        <rFont val="Calibri"/>
        <family val="2"/>
        <scheme val="minor"/>
      </rPr>
      <t xml:space="preserve"> be used as a rating</t>
    </r>
  </si>
  <si>
    <t>variable. Based on the second analysis 4 years later however, the actuarial department changed their</t>
  </si>
  <si>
    <r>
      <t xml:space="preserve">recommendation and now advise that credit score </t>
    </r>
    <r>
      <rPr>
        <u/>
        <sz val="11"/>
        <color theme="1"/>
        <rFont val="Calibri"/>
        <family val="2"/>
        <scheme val="minor"/>
      </rPr>
      <t>should</t>
    </r>
    <r>
      <rPr>
        <sz val="11"/>
        <color theme="1"/>
        <rFont val="Calibri"/>
        <family val="2"/>
        <scheme val="minor"/>
      </rPr>
      <t xml:space="preserve"> be used as a rating variable.</t>
    </r>
  </si>
  <si>
    <t>Identify and briefly describe 2 reasons for the actuarial's departement change in recommendation.</t>
  </si>
  <si>
    <t>First analysis using 1 year of data:</t>
  </si>
  <si>
    <t xml:space="preserve">1.0 </t>
  </si>
  <si>
    <t>Frequency</t>
  </si>
  <si>
    <t xml:space="preserve">0.5 </t>
  </si>
  <si>
    <t>x</t>
  </si>
  <si>
    <t xml:space="preserve">0.0 </t>
  </si>
  <si>
    <t>Good</t>
  </si>
  <si>
    <t>Fair</t>
  </si>
  <si>
    <t>Poor</t>
  </si>
  <si>
    <t>CREDIT SCORE</t>
  </si>
  <si>
    <t>(Exposures)</t>
  </si>
  <si>
    <t>(Indicated Relativity)</t>
  </si>
  <si>
    <t>(+/- 2 Standard Errors)</t>
  </si>
  <si>
    <t>Second analysis using 5 years of data:</t>
  </si>
  <si>
    <t>Reason #1: Data is more credible (must provide at least one of these descriptions)</t>
  </si>
  <si>
    <t>*</t>
  </si>
  <si>
    <t>more years of data were used in the second analysis (5 years versus 1 year) so the</t>
  </si>
  <si>
    <t>data has more credibility</t>
  </si>
  <si>
    <t>the business seems to be growing as evidenced by the exposures being roughly</t>
  </si>
  <si>
    <t>8 times what was available for the first analysis, again increasing the credibility of the data</t>
  </si>
  <si>
    <t>Reason #2: Error range indicates greater statistically significance (must provide at least one of these descriptions)</t>
  </si>
  <si>
    <t>tighter range for the standard error indicating a more reliable value for the indicated relativity</t>
  </si>
  <si>
    <t xml:space="preserve">there is no longer an overlap of the standard error ranges which means the differences in </t>
  </si>
  <si>
    <t>indicated relativities are statistically significant</t>
  </si>
  <si>
    <t>Basic policy limit:</t>
  </si>
  <si>
    <t>loss range</t>
  </si>
  <si>
    <t>lower</t>
  </si>
  <si>
    <t>upper</t>
  </si>
  <si>
    <t>limit</t>
  </si>
  <si>
    <t>Calculate the increased limits factors for a a limit of:</t>
  </si>
  <si>
    <t xml:space="preserve"> cap the reported losses at the basic limit and at the increased limit</t>
  </si>
  <si>
    <t>capped</t>
  </si>
  <si>
    <t>at</t>
  </si>
  <si>
    <r>
      <t xml:space="preserve"> </t>
    </r>
    <r>
      <rPr>
        <b/>
        <sz val="11"/>
        <color theme="1"/>
        <rFont val="Calibri"/>
        <family val="2"/>
        <scheme val="minor"/>
      </rPr>
      <t>&lt;==</t>
    </r>
    <r>
      <rPr>
        <sz val="11"/>
        <color theme="1"/>
        <rFont val="Calibri"/>
        <family val="2"/>
        <scheme val="minor"/>
      </rPr>
      <t xml:space="preserve"> total</t>
    </r>
  </si>
  <si>
    <t xml:space="preserve"> calculate the Limited Average Severity for both limits</t>
  </si>
  <si>
    <t>(total counts)</t>
  </si>
  <si>
    <t>Step 3</t>
  </si>
  <si>
    <t xml:space="preserve"> calculate the Increased Limits Factor for the higher limit</t>
  </si>
  <si>
    <t>Pricing - Chap 11: Special Classification</t>
  </si>
  <si>
    <t>Define the term "Insurance-to-Value" as given in the Werner and Modlin text.</t>
  </si>
  <si>
    <t>Insurance-to-Value indicates how the level of insurance chosen relates to the overall value or</t>
  </si>
  <si>
    <t>replacement cost of the item.</t>
  </si>
  <si>
    <t>(In other words, it's the ratio of AOI to replacement value, where AOI is Amount of Insurance.)</t>
  </si>
  <si>
    <t>The Werner &amp; Modlin source text discusses different way insurers can encourage customers to properly</t>
  </si>
  <si>
    <t>insure their properties. In other words, to buy a policy with a face value equal to the value of the</t>
  </si>
  <si>
    <t>properly. The source text calls these ITV-initiatives. Identify and briefly describe 3 of these initiatives.</t>
  </si>
  <si>
    <t>→ allows replacement cost to exceed the policy limit if the property is 100% insured to value</t>
  </si>
  <si>
    <t>insurers use more sophisticated property estimation tools</t>
  </si>
  <si>
    <t>→ so insurers know more accurately whether a property is appropriately insured</t>
  </si>
  <si>
    <t>insurers educate customers:</t>
  </si>
  <si>
    <t>insurers inspect property and use indexation clauses</t>
  </si>
  <si>
    <t>→ more information allows insurers to better price a policy</t>
  </si>
  <si>
    <t>→ indexation clauses ensure the face value of a policy keeps up with the value of the home</t>
  </si>
  <si>
    <t>insurers use a coinsurance clause</t>
  </si>
  <si>
    <t>→ assigns a penalty if the coinsurance requirement is not met</t>
  </si>
  <si>
    <r>
      <t>insurers offer GRC </t>
    </r>
    <r>
      <rPr>
        <b/>
        <i/>
        <sz val="11"/>
        <color rgb="FF222222"/>
        <rFont val="Calibri"/>
        <family val="2"/>
        <scheme val="minor"/>
      </rPr>
      <t>(Guaranteed Replacement cost)</t>
    </r>
  </si>
  <si>
    <r>
      <t>→ coverage is better if F/V is closer to 100% </t>
    </r>
    <r>
      <rPr>
        <i/>
        <sz val="11"/>
        <color rgb="FF222222"/>
        <rFont val="Calibri"/>
        <family val="2"/>
        <scheme val="minor"/>
      </rPr>
      <t>(for both insurer and insureds)</t>
    </r>
  </si>
  <si>
    <r>
      <t xml:space="preserve">A coinsurance penalty clause </t>
    </r>
    <r>
      <rPr>
        <u/>
        <sz val="11"/>
        <color theme="1"/>
        <rFont val="Calibri"/>
        <family val="2"/>
        <scheme val="minor"/>
      </rPr>
      <t>corrects for inequity</t>
    </r>
    <r>
      <rPr>
        <sz val="11"/>
        <color theme="1"/>
        <rFont val="Calibri"/>
        <family val="2"/>
        <scheme val="minor"/>
      </rPr>
      <t xml:space="preserve"> caused by two homes being insured to different levels of ITV</t>
    </r>
  </si>
  <si>
    <r>
      <rPr>
        <u/>
        <sz val="11"/>
        <color theme="1"/>
        <rFont val="Calibri"/>
        <family val="2"/>
        <scheme val="minor"/>
      </rPr>
      <t>by adjusting the indemnity payment</t>
    </r>
    <r>
      <rPr>
        <sz val="11"/>
        <color theme="1"/>
        <rFont val="Calibri"/>
        <family val="2"/>
        <scheme val="minor"/>
      </rPr>
      <t xml:space="preserve"> in the event of a loss.</t>
    </r>
  </si>
  <si>
    <t>(For the full 0.5 pts, your answer requires something similar to the underlined phrases above.)</t>
  </si>
  <si>
    <t>Briefly explain the concept of a "coninsurance penalty".</t>
  </si>
  <si>
    <t>Any 3 of there ITV initiatives:</t>
  </si>
  <si>
    <t>Calculate the rate per $1,000 of coverage.</t>
  </si>
  <si>
    <t>value of home</t>
  </si>
  <si>
    <t>AOI</t>
  </si>
  <si>
    <t>frequency of loss</t>
  </si>
  <si>
    <t>The severity of loss is uniformly distributed between 0 and the value of the home.</t>
  </si>
  <si>
    <t xml:space="preserve"> calculate the average expected payment subject to the maximum payment of AOI</t>
  </si>
  <si>
    <t>average</t>
  </si>
  <si>
    <t>size of loss</t>
  </si>
  <si>
    <t>dist.</t>
  </si>
  <si>
    <t>payment</t>
  </si>
  <si>
    <r>
      <t xml:space="preserve"> </t>
    </r>
    <r>
      <rPr>
        <b/>
        <i/>
        <sz val="11"/>
        <color theme="1"/>
        <rFont val="Calibri"/>
        <family val="2"/>
        <scheme val="minor"/>
      </rPr>
      <t>&lt;==</t>
    </r>
    <r>
      <rPr>
        <i/>
        <sz val="11"/>
        <color theme="1"/>
        <rFont val="Calibri"/>
        <family val="2"/>
        <scheme val="minor"/>
      </rPr>
      <t xml:space="preserve"> weighted by loss distribution</t>
    </r>
  </si>
  <si>
    <t xml:space="preserve"> calculate the pure premium and the premium rate per $1,000</t>
  </si>
  <si>
    <t>pure premium</t>
  </si>
  <si>
    <t>frequency</t>
  </si>
  <si>
    <t>severity</t>
  </si>
  <si>
    <t>rate per $1,000</t>
  </si>
  <si>
    <t>pure prem</t>
  </si>
  <si>
    <t>/      (</t>
  </si>
  <si>
    <t>)</t>
  </si>
  <si>
    <t>Note</t>
  </si>
  <si>
    <r>
      <t xml:space="preserve"> If the home is insured to </t>
    </r>
    <r>
      <rPr>
        <u/>
        <sz val="11"/>
        <color theme="1"/>
        <rFont val="Calibri"/>
        <family val="2"/>
        <scheme val="minor"/>
      </rPr>
      <t>full value</t>
    </r>
    <r>
      <rPr>
        <sz val="11"/>
        <color theme="1"/>
        <rFont val="Calibri"/>
        <family val="2"/>
        <scheme val="minor"/>
      </rPr>
      <t>, the rate per $1,000 of coverage would be:</t>
    </r>
  </si>
  <si>
    <t>Pricing - Chap 14: Implementation</t>
  </si>
  <si>
    <t>State the Fundamental Insurance Equation.</t>
  </si>
  <si>
    <t>premium    =    (Losses   +   LAE   +   U/W Expenses)   +   U/W profit</t>
  </si>
  <si>
    <t>Identify and briefly describe 3 distinct non-pricing solutions for rebalancing the Fundamental</t>
  </si>
  <si>
    <t>Insurance Equation.</t>
  </si>
  <si>
    <t>Each main bullet point, and 1 further point under each is required for full credit.</t>
  </si>
  <si>
    <t>reduce losses</t>
  </si>
  <si>
    <t>→ tighten U/W requirements to eliminate policies that are underpriced</t>
  </si>
  <si>
    <t>reduce LAE</t>
  </si>
  <si>
    <t>→ Ex: reduce staffing levels in claims department</t>
  </si>
  <si>
    <t>reduce U/W expenses</t>
  </si>
  <si>
    <t>→ Ex: reduce agent commission</t>
  </si>
  <si>
    <r>
      <t>→ reduce coverage levels </t>
    </r>
    <r>
      <rPr>
        <i/>
        <sz val="11"/>
        <color rgb="FF222222"/>
        <rFont val="Calibri"/>
        <family val="2"/>
        <scheme val="minor"/>
      </rPr>
      <t>(Ex: reduce limits or insert coverage exclusions)</t>
    </r>
  </si>
  <si>
    <r>
      <t>→ implement better loss controls </t>
    </r>
    <r>
      <rPr>
        <i/>
        <sz val="11"/>
        <color rgb="FF222222"/>
        <rFont val="Calibri"/>
        <family val="2"/>
        <scheme val="minor"/>
      </rPr>
      <t>(Ex: safety programs for WC)</t>
    </r>
  </si>
  <si>
    <t>Calculate the fixed expense ratio:</t>
  </si>
  <si>
    <t>countrywide premium ($000s)</t>
  </si>
  <si>
    <t>profit provision</t>
  </si>
  <si>
    <t>average loss cost</t>
  </si>
  <si>
    <t>expense</t>
  </si>
  <si>
    <t>countrywide</t>
  </si>
  <si>
    <t>category</t>
  </si>
  <si>
    <t>expenses ($000s)</t>
  </si>
  <si>
    <t>%-fixed</t>
  </si>
  <si>
    <t>commissions</t>
  </si>
  <si>
    <t>general expenses</t>
  </si>
  <si>
    <t>other acquisition</t>
  </si>
  <si>
    <t>taxes</t>
  </si>
  <si>
    <t>licenses &amp; fees</t>
  </si>
  <si>
    <t>TOTAL</t>
  </si>
  <si>
    <t xml:space="preserve"> calculate $-fixed based on %-fixed</t>
  </si>
  <si>
    <t>$-total</t>
  </si>
  <si>
    <t>$-fixed</t>
  </si>
  <si>
    <t>Step 2a</t>
  </si>
  <si>
    <t xml:space="preserve"> calculate the fixed expense ratio F</t>
  </si>
  <si>
    <t>CW prem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</si>
  <si>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final answer</t>
    </r>
  </si>
  <si>
    <t>Given the following information for a retrospectively rated worker's compensation policy, calculate the</t>
  </si>
  <si>
    <t>final retrospective premium.</t>
  </si>
  <si>
    <t>converted losses</t>
  </si>
  <si>
    <t>Maximum retrospective premium ratio</t>
  </si>
  <si>
    <t>Minimum retrospective premium ratio</t>
  </si>
  <si>
    <t>Tax multiplier</t>
  </si>
  <si>
    <t>Converted losses</t>
  </si>
  <si>
    <t>Basic premium</t>
  </si>
  <si>
    <t>preliminary RP</t>
  </si>
  <si>
    <t>(</t>
  </si>
  <si>
    <t>BP</t>
  </si>
  <si>
    <t>Tax Multiplier</t>
  </si>
  <si>
    <t>min RP</t>
  </si>
  <si>
    <t>min retro ratio</t>
  </si>
  <si>
    <t>SP</t>
  </si>
  <si>
    <t>max RP</t>
  </si>
  <si>
    <t>max retro ratio</t>
  </si>
  <si>
    <t>final RP</t>
  </si>
  <si>
    <t>apply (min RP) &amp; (max RP) lower/upper bounds to preliminary RP</t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</si>
  <si>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final answer</t>
    </r>
  </si>
  <si>
    <t>Standard premium</t>
  </si>
  <si>
    <t>One of the following statements applies to large deductible policies and the other to small</t>
  </si>
  <si>
    <t>deductible policies. Which is which?</t>
  </si>
  <si>
    <t>policies where the insured bears a significant portion of the risk</t>
  </si>
  <si>
    <t>policies that eliminate costs to the insurer for handling nuisance claims</t>
  </si>
  <si>
    <t>Statement (i) applies to small deductible policies.</t>
  </si>
  <si>
    <t>Statement (ii) applies to LARGE deductible policies.</t>
  </si>
  <si>
    <t>Which category of expenses directly relates to investigating and settling insurance claims?</t>
  </si>
  <si>
    <t>Loss Adjustment Expenses</t>
  </si>
  <si>
    <t>Underwriting Expenses</t>
  </si>
  <si>
    <t>Taxes, Licenses, and Fees</t>
  </si>
  <si>
    <t>Administrative Costs</t>
  </si>
  <si>
    <t>What is the primary reason that ratemaking is considered prospective in property and casualty insurance?</t>
  </si>
  <si>
    <t>It is calculated after the transfer of risk.</t>
  </si>
  <si>
    <t>It focuses only on past incidents.</t>
  </si>
  <si>
    <t>It must be developed prior to the transfer of risk.</t>
  </si>
  <si>
    <t>It is based on arbitrary numbers.</t>
  </si>
  <si>
    <t>What is an unpaid claims estimate or reserve in insurance?</t>
  </si>
  <si>
    <t>The total income received from policyholders.</t>
  </si>
  <si>
    <t>The insurer's estimate for future administrative costs.</t>
  </si>
  <si>
    <t>The total value of assets held by the insurer.</t>
  </si>
  <si>
    <t>The actuary’s estimate of the obligation for future payment resulting from claims</t>
  </si>
  <si>
    <t>due to past events.</t>
  </si>
  <si>
    <t>For whom are accurate reserve estimates important, and why is accuracy crucial ?</t>
  </si>
  <si>
    <t>Policyholders - for getting lower premiums.</t>
  </si>
  <si>
    <t>Internal management - for proper decision-making like pricing and strategic plans.</t>
  </si>
  <si>
    <t>Competitors - to understand market trends.</t>
  </si>
  <si>
    <t>Government - for tax purposes.</t>
  </si>
  <si>
    <t>(iii)</t>
  </si>
  <si>
    <t>management</t>
  </si>
  <si>
    <t>investors</t>
  </si>
  <si>
    <t>regulators</t>
  </si>
  <si>
    <t>How can a redundant claim estimate impact:</t>
  </si>
  <si>
    <t>internal management may take unnecessary rate increases</t>
  </si>
  <si>
    <t>investors may sell shares</t>
  </si>
  <si>
    <t>regulators may take unnecessary steps to protect solvency</t>
  </si>
  <si>
    <r>
      <t xml:space="preserve">A redundant claim estimate makes the business look </t>
    </r>
    <r>
      <rPr>
        <u/>
        <sz val="11"/>
        <color theme="1"/>
        <rFont val="Calibri"/>
        <family val="2"/>
        <scheme val="minor"/>
      </rPr>
      <t>less profitable</t>
    </r>
    <r>
      <rPr>
        <sz val="11"/>
        <color theme="1"/>
        <rFont val="Calibri"/>
        <family val="2"/>
        <scheme val="minor"/>
      </rPr>
      <t xml:space="preserve"> than it really is.</t>
    </r>
  </si>
  <si>
    <t>Reserving - Chap 1: Overview</t>
  </si>
  <si>
    <t>Given the triangles shown further down, compute the following quantities:</t>
  </si>
  <si>
    <t>cumulative paid loss for AY</t>
  </si>
  <si>
    <t>@</t>
  </si>
  <si>
    <t>incremental paid loss for AY</t>
  </si>
  <si>
    <t>incremental reported loss for AY</t>
  </si>
  <si>
    <t>Amounts</t>
  </si>
  <si>
    <t>Paid Loss</t>
  </si>
  <si>
    <t>Development Age</t>
  </si>
  <si>
    <t>O/S Loss</t>
  </si>
  <si>
    <t xml:space="preserve"> &lt;==</t>
  </si>
  <si>
    <t>same as Case O/S</t>
  </si>
  <si>
    <t>Paid Count</t>
  </si>
  <si>
    <t>O/S Count</t>
  </si>
  <si>
    <t>Here is the triangle information:</t>
  </si>
  <si>
    <t xml:space="preserve">  &lt;==</t>
  </si>
  <si>
    <t>directly from paid loss triangle</t>
  </si>
  <si>
    <t>directly from alternate format of paid loss triangle below</t>
  </si>
  <si>
    <t>side calc for CY loss:</t>
  </si>
  <si>
    <t>express triangles in alternate format</t>
  </si>
  <si>
    <t>as of Calendar Year End</t>
  </si>
  <si>
    <t>CY paid</t>
  </si>
  <si>
    <t>CY</t>
  </si>
  <si>
    <t>Rptd Loss</t>
  </si>
  <si>
    <t>CY rptd</t>
  </si>
  <si>
    <t>cumulative reported loss for AY</t>
  </si>
  <si>
    <t>cumulative reported count for AY</t>
  </si>
  <si>
    <t>total paid loss for CY</t>
  </si>
  <si>
    <t>Reserving - Chap 5: Triangles</t>
  </si>
  <si>
    <t>Reserving - Chap 7: Development Method</t>
  </si>
  <si>
    <t>Reserving - Chap 10: Cape Cod Method</t>
  </si>
  <si>
    <t>Reserving - Chap 11: Frequency/Severity Methods</t>
  </si>
  <si>
    <t>Reserving - Chap 9: Bornhuetter Ferguson Method</t>
  </si>
  <si>
    <t>Reserving - Chap 12: Case O/S Methods</t>
  </si>
  <si>
    <t>Reserving - Chap 13: Berquist-Sherman Methods</t>
  </si>
  <si>
    <t>Reserving - Chap 14: Recoveries</t>
  </si>
  <si>
    <t>Reserving - Chap 15: Evaluation of Methods</t>
  </si>
  <si>
    <t>Reserving - Chap 16: ALAE</t>
  </si>
  <si>
    <t>Reserving - Chap 17: ULAE</t>
  </si>
  <si>
    <t>cumulative paid claims</t>
  </si>
  <si>
    <t>Assume no development past 48 months. In other words, the triangle is fully dveloped by 48 months.</t>
  </si>
  <si>
    <r>
      <t xml:space="preserve">The paid claims on the latest diagonal are in </t>
    </r>
    <r>
      <rPr>
        <i/>
        <sz val="11"/>
        <color theme="5" tint="-0.249977111117893"/>
        <rFont val="Calibri"/>
        <family val="2"/>
        <scheme val="minor"/>
      </rPr>
      <t>brown font</t>
    </r>
    <r>
      <rPr>
        <i/>
        <sz val="11"/>
        <color theme="1"/>
        <rFont val="Calibri"/>
        <family val="2"/>
        <scheme val="minor"/>
      </rPr>
      <t xml:space="preserve"> for instructional purposes within the solution.</t>
    </r>
  </si>
  <si>
    <t>Step A</t>
  </si>
  <si>
    <t>=====&gt;</t>
  </si>
  <si>
    <t>link ratios for paid claim triangle</t>
  </si>
  <si>
    <t>48-ult</t>
  </si>
  <si>
    <r>
      <rPr>
        <b/>
        <sz val="11"/>
        <color rgb="FFFF0000"/>
        <rFont val="Calibri"/>
        <family val="2"/>
        <scheme val="minor"/>
      </rPr>
      <t>Tail Factor: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The triangle is fully developed as of</t>
    </r>
  </si>
  <si>
    <r>
      <t xml:space="preserve">48 months. That means the 48-ult </t>
    </r>
    <r>
      <rPr>
        <u/>
        <sz val="11"/>
        <rFont val="Calibri"/>
        <family val="2"/>
        <scheme val="minor"/>
      </rPr>
      <t>tail factor</t>
    </r>
  </si>
  <si>
    <t>is equal to 1.0</t>
  </si>
  <si>
    <t>Step B</t>
  </si>
  <si>
    <t>selected</t>
  </si>
  <si>
    <t>Step C</t>
  </si>
  <si>
    <t>calculate age-to-ultimate LDFs</t>
  </si>
  <si>
    <t>age -&gt; ult</t>
  </si>
  <si>
    <t>&lt;======</t>
  </si>
  <si>
    <r>
      <t>(</t>
    </r>
    <r>
      <rPr>
        <b/>
        <sz val="11"/>
        <color rgb="FF00B050"/>
        <rFont val="Calibri"/>
        <family val="2"/>
        <scheme val="minor"/>
      </rPr>
      <t>selected</t>
    </r>
    <r>
      <rPr>
        <sz val="11"/>
        <rFont val="Calibri"/>
        <family val="2"/>
        <scheme val="minor"/>
      </rPr>
      <t>)  x  (prior [age -&gt; ult])</t>
    </r>
  </si>
  <si>
    <t>(calculate from right-to-left)</t>
  </si>
  <si>
    <t>Step D</t>
  </si>
  <si>
    <t>calculate ultimate losses based on latest paid losses</t>
  </si>
  <si>
    <t>diagonal</t>
  </si>
  <si>
    <t xml:space="preserve">  final answers ===&gt;</t>
  </si>
  <si>
    <t>ultimate</t>
  </si>
  <si>
    <r>
      <t>(</t>
    </r>
    <r>
      <rPr>
        <b/>
        <sz val="11"/>
        <color theme="5" tint="-0.249977111117893"/>
        <rFont val="Calibri"/>
        <family val="2"/>
        <scheme val="minor"/>
      </rPr>
      <t>diagonal</t>
    </r>
    <r>
      <rPr>
        <sz val="11"/>
        <rFont val="Calibri"/>
        <family val="2"/>
        <scheme val="minor"/>
      </rPr>
      <t>)  x  (</t>
    </r>
    <r>
      <rPr>
        <sz val="11"/>
        <color rgb="FF0070C0"/>
        <rFont val="Calibri"/>
        <family val="2"/>
        <scheme val="minor"/>
      </rPr>
      <t>age -&gt; ult</t>
    </r>
    <r>
      <rPr>
        <sz val="11"/>
        <rFont val="Calibri"/>
        <family val="2"/>
        <scheme val="minor"/>
      </rPr>
      <t>)</t>
    </r>
  </si>
  <si>
    <t>Calculate ultimate claims for all accident years using data as of year-end:</t>
  </si>
  <si>
    <t>Identify the key assumption underlying the development method for estimating unpaid claims estimates.</t>
  </si>
  <si>
    <r>
      <t xml:space="preserve">The development method assumes future loss development </t>
    </r>
    <r>
      <rPr>
        <u/>
        <sz val="11"/>
        <color theme="1"/>
        <rFont val="Calibri"/>
        <family val="2"/>
        <scheme val="minor"/>
      </rPr>
      <t>is similar</t>
    </r>
    <r>
      <rPr>
        <sz val="11"/>
        <color theme="1"/>
        <rFont val="Calibri"/>
        <family val="2"/>
        <scheme val="minor"/>
      </rPr>
      <t xml:space="preserve"> to development in prior years</t>
    </r>
  </si>
  <si>
    <t>Triangle 1</t>
  </si>
  <si>
    <t>Triangle 2</t>
  </si>
  <si>
    <t>Triangle 3</t>
  </si>
  <si>
    <t>Triangle 4</t>
  </si>
  <si>
    <t>24-36</t>
  </si>
  <si>
    <t>36-48</t>
  </si>
  <si>
    <t>12-24</t>
  </si>
  <si>
    <t>One way of investigating this is to calculate the triangle of LDFs and look for consistency.</t>
  </si>
  <si>
    <r>
      <t>Triangle 1</t>
    </r>
    <r>
      <rPr>
        <sz val="11"/>
        <color rgb="FF222222"/>
        <rFont val="Calibri"/>
        <family val="2"/>
        <scheme val="minor"/>
      </rPr>
      <t>: </t>
    </r>
    <r>
      <rPr>
        <b/>
        <sz val="11"/>
        <color rgb="FF008000"/>
        <rFont val="Calibri"/>
        <family val="2"/>
        <scheme val="minor"/>
      </rPr>
      <t>satisfies</t>
    </r>
    <r>
      <rPr>
        <sz val="11"/>
        <color rgb="FF222222"/>
        <rFont val="Calibri"/>
        <family val="2"/>
        <scheme val="minor"/>
      </rPr>
      <t> stability/consistency assumption for loss development to work reasonably well</t>
    </r>
  </si>
  <si>
    <r>
      <t>Triangle 2</t>
    </r>
    <r>
      <rPr>
        <sz val="11"/>
        <color rgb="FF222222"/>
        <rFont val="Calibri"/>
        <family val="2"/>
        <scheme val="minor"/>
      </rPr>
      <t>: </t>
    </r>
    <r>
      <rPr>
        <b/>
        <sz val="11"/>
        <color rgb="FFFF0000"/>
        <rFont val="Calibri"/>
        <family val="2"/>
        <scheme val="minor"/>
      </rPr>
      <t>doesn't satisfy</t>
    </r>
    <r>
      <rPr>
        <sz val="11"/>
        <color rgb="FF222222"/>
        <rFont val="Calibri"/>
        <family val="2"/>
        <scheme val="minor"/>
      </rPr>
      <t> stability/consistency assumption </t>
    </r>
    <r>
      <rPr>
        <i/>
        <sz val="11"/>
        <color rgb="FF222222"/>
        <rFont val="Calibri"/>
        <family val="2"/>
        <scheme val="minor"/>
      </rPr>
      <t>(LDFs are increasing significantly within columns)</t>
    </r>
  </si>
  <si>
    <r>
      <t>Triangle 3</t>
    </r>
    <r>
      <rPr>
        <sz val="11"/>
        <color rgb="FF222222"/>
        <rFont val="Calibri"/>
        <family val="2"/>
        <scheme val="minor"/>
      </rPr>
      <t>: </t>
    </r>
    <r>
      <rPr>
        <b/>
        <sz val="11"/>
        <color rgb="FFFF0000"/>
        <rFont val="Calibri"/>
        <family val="2"/>
        <scheme val="minor"/>
      </rPr>
      <t>doesn't satisfy</t>
    </r>
    <r>
      <rPr>
        <sz val="11"/>
        <color rgb="FF222222"/>
        <rFont val="Calibri"/>
        <family val="2"/>
        <scheme val="minor"/>
      </rPr>
      <t> stability/consistency assumption </t>
    </r>
    <r>
      <rPr>
        <i/>
        <sz val="11"/>
        <color rgb="FF222222"/>
        <rFont val="Calibri"/>
        <family val="2"/>
        <scheme val="minor"/>
      </rPr>
      <t>(LDFs are decreasing in the 12-24 column)</t>
    </r>
  </si>
  <si>
    <r>
      <t>Triangle 4</t>
    </r>
    <r>
      <rPr>
        <sz val="11"/>
        <color rgb="FF222222"/>
        <rFont val="Calibri"/>
        <family val="2"/>
        <scheme val="minor"/>
      </rPr>
      <t>: </t>
    </r>
    <r>
      <rPr>
        <b/>
        <sz val="11"/>
        <color rgb="FF008000"/>
        <rFont val="Calibri"/>
        <family val="2"/>
        <scheme val="minor"/>
      </rPr>
      <t>satisfies</t>
    </r>
    <r>
      <rPr>
        <sz val="11"/>
        <color rgb="FF222222"/>
        <rFont val="Calibri"/>
        <family val="2"/>
        <scheme val="minor"/>
      </rPr>
      <t> stability/consistency assumption for loss development to work reasonably well. (Losses increased year-over-year but the development pattern didn't change.</t>
    </r>
  </si>
  <si>
    <r>
      <t xml:space="preserve">Identify whether each of the following triangles either </t>
    </r>
    <r>
      <rPr>
        <b/>
        <sz val="11"/>
        <color rgb="FF00B050"/>
        <rFont val="Calibri"/>
        <family val="2"/>
        <scheme val="minor"/>
      </rPr>
      <t>satisfy</t>
    </r>
    <r>
      <rPr>
        <sz val="11"/>
        <rFont val="Calibri"/>
        <family val="2"/>
        <scheme val="minor"/>
      </rPr>
      <t xml:space="preserve"> or </t>
    </r>
    <r>
      <rPr>
        <b/>
        <sz val="11"/>
        <color rgb="FFFF0000"/>
        <rFont val="Calibri"/>
        <family val="2"/>
        <scheme val="minor"/>
      </rPr>
      <t>don't satisfy</t>
    </r>
    <r>
      <rPr>
        <sz val="11"/>
        <rFont val="Calibri"/>
        <family val="2"/>
        <scheme val="minor"/>
      </rPr>
      <t xml:space="preserve"> the key assumption of the development method.</t>
    </r>
  </si>
  <si>
    <t>unreported (or unpaid) claims will emerge in accordance with expected claims</t>
  </si>
  <si>
    <t>Identify the key assumption of the Bornhuetter-Ferguson method for estimating unpaid claims.</t>
  </si>
  <si>
    <t>Identify 2 situations where the key assumption of the Bornhuetter-Ferguson method is likely to be</t>
  </si>
  <si>
    <t>satisfied.</t>
  </si>
  <si>
    <t xml:space="preserve"> - New line or territory (where data is thin or volatile)</t>
  </si>
  <si>
    <t xml:space="preserve"> - less mature development periods (because LDFs could be highly leveraged for less mature</t>
  </si>
  <si>
    <t xml:space="preserve">   ratio provides stability)</t>
  </si>
  <si>
    <t xml:space="preserve">   development so the pure development method may be volatile whereas the expected claims</t>
  </si>
  <si>
    <t xml:space="preserve">  ECR ultimate</t>
  </si>
  <si>
    <t>ECR</t>
  </si>
  <si>
    <t>EP</t>
  </si>
  <si>
    <t xml:space="preserve">Calculate the </t>
  </si>
  <si>
    <t>for AY</t>
  </si>
  <si>
    <t>using the Bornhuetter-Ferguson method.</t>
  </si>
  <si>
    <t xml:space="preserve">  The CDF we need is:</t>
  </si>
  <si>
    <t>All data is as of Dec 31, 2025</t>
  </si>
  <si>
    <t xml:space="preserve">paid loss @ </t>
  </si>
  <si>
    <t>12 mths</t>
  </si>
  <si>
    <t xml:space="preserve">reported loss @ </t>
  </si>
  <si>
    <t>EP for CY</t>
  </si>
  <si>
    <t>12-ult</t>
  </si>
  <si>
    <t>Step 2b</t>
  </si>
  <si>
    <t>ECR for AY</t>
  </si>
  <si>
    <t>24 mths</t>
  </si>
  <si>
    <t>(1 - 1/CDF)</t>
  </si>
  <si>
    <t>ECR ultimate</t>
  </si>
  <si>
    <t>24-ult</t>
  </si>
  <si>
    <t>Final</t>
  </si>
  <si>
    <t>Answer</t>
  </si>
  <si>
    <r>
      <rPr>
        <u/>
        <sz val="11"/>
        <color theme="1"/>
        <rFont val="Calibri"/>
        <family val="2"/>
        <scheme val="minor"/>
      </rPr>
      <t>Recall</t>
    </r>
    <r>
      <rPr>
        <sz val="11"/>
        <color theme="1"/>
        <rFont val="Calibri"/>
        <family val="2"/>
        <scheme val="minor"/>
      </rPr>
      <t>:</t>
    </r>
  </si>
  <si>
    <t>unpaid</t>
  </si>
  <si>
    <t>paid</t>
  </si>
  <si>
    <t>IBNR</t>
  </si>
  <si>
    <t xml:space="preserve">paid CDF for </t>
  </si>
  <si>
    <t>The Cape Cod method for estimating unpaid claims has the same key assumption as the</t>
  </si>
  <si>
    <r>
      <t xml:space="preserve">Bornhuetter-Ferguson method. Briefly explain the </t>
    </r>
    <r>
      <rPr>
        <u/>
        <sz val="11"/>
        <rFont val="Calibri"/>
        <family val="2"/>
        <scheme val="minor"/>
      </rPr>
      <t>key difference</t>
    </r>
    <r>
      <rPr>
        <sz val="11"/>
        <rFont val="Calibri"/>
        <family val="2"/>
        <scheme val="minor"/>
      </rPr>
      <t xml:space="preserve"> between these 2 methods.</t>
    </r>
  </si>
  <si>
    <t>The difference is in how ECR and expected claims are calculated</t>
  </si>
  <si>
    <r>
      <t>→ CC uses a formula </t>
    </r>
    <r>
      <rPr>
        <i/>
        <sz val="11"/>
        <color rgb="FF222222"/>
        <rFont val="Calibri"/>
        <family val="2"/>
        <scheme val="minor"/>
      </rPr>
      <t>(uses internal company data, no judgment involved)</t>
    </r>
  </si>
  <si>
    <r>
      <t>→ BF uses results of ECR method </t>
    </r>
    <r>
      <rPr>
        <i/>
        <sz val="11"/>
        <color rgb="FF222222"/>
        <rFont val="Calibri"/>
        <family val="2"/>
        <scheme val="minor"/>
      </rPr>
      <t>(may use internal company data or external industry data, incorporates judgment)</t>
    </r>
  </si>
  <si>
    <t>Identify and briefly explain 1 advantage and 1 disadvantage of the Cape Cod method.</t>
  </si>
  <si>
    <t xml:space="preserve">  - uses reported (paid) claims in the calculation of the ECR, therefore it will respond (at least partially) to</t>
  </si>
  <si>
    <t xml:space="preserve">    changes in claims ratios</t>
  </si>
  <si>
    <t>Disadvantages: any 1 of..</t>
  </si>
  <si>
    <t>Advantage:</t>
  </si>
  <si>
    <t xml:space="preserve"> - dependent on the availability and accuracy of the rate level adjustment factor</t>
  </si>
  <si>
    <t xml:space="preserve">    (can use CC without adjusting for  CRL but accuracy may be lower)</t>
  </si>
  <si>
    <t xml:space="preserve">  - thin data increases volatility</t>
  </si>
  <si>
    <t xml:space="preserve">  - significant trends in the claims ratio then may not be adequately reflected in the formula for ECR in </t>
  </si>
  <si>
    <t xml:space="preserve">    the Cape Cod method</t>
  </si>
  <si>
    <r>
      <t xml:space="preserve"> calculate the adjusted reported losses </t>
    </r>
    <r>
      <rPr>
        <i/>
        <sz val="11"/>
        <rFont val="Calibri"/>
        <family val="2"/>
        <scheme val="minor"/>
      </rPr>
      <t>(do not apply CDFs to the losses - we are not calculating the ultimate here)</t>
    </r>
  </si>
  <si>
    <t>rptd clms</t>
  </si>
  <si>
    <t>PP trend</t>
  </si>
  <si>
    <t>adjusted reported claims</t>
  </si>
  <si>
    <t>using the reported Cape Cod method.</t>
  </si>
  <si>
    <t>CDF</t>
  </si>
  <si>
    <t>trend</t>
  </si>
  <si>
    <t xml:space="preserve"> calculate the used-up-premium (UUP)</t>
  </si>
  <si>
    <t>CY/AY</t>
  </si>
  <si>
    <t>UUP</t>
  </si>
  <si>
    <t>* no rate level adjustments</t>
  </si>
  <si>
    <t>* no premium trend</t>
  </si>
  <si>
    <r>
      <t xml:space="preserve"> calculate the adjusted ECR </t>
    </r>
    <r>
      <rPr>
        <u/>
        <sz val="11"/>
        <color theme="1"/>
        <rFont val="Calibri"/>
        <family val="2"/>
        <scheme val="minor"/>
      </rPr>
      <t>at the level</t>
    </r>
    <r>
      <rPr>
        <sz val="11"/>
        <color theme="1"/>
        <rFont val="Calibri"/>
        <family val="2"/>
        <scheme val="minor"/>
      </rPr>
      <t>:</t>
    </r>
  </si>
  <si>
    <t>(you must back out the pure premium trend)</t>
  </si>
  <si>
    <t>Step 4</t>
  </si>
  <si>
    <t xml:space="preserve"> calculate the ultimate using the data for:</t>
  </si>
  <si>
    <t>( 1 -     1 /</t>
  </si>
  <si>
    <t>CDF )</t>
  </si>
  <si>
    <r>
      <t xml:space="preserve">  &lt;==  </t>
    </r>
    <r>
      <rPr>
        <i/>
        <sz val="11"/>
        <color rgb="FFFF0000"/>
        <rFont val="Calibri"/>
        <family val="2"/>
        <scheme val="minor"/>
      </rPr>
      <t>final answer</t>
    </r>
  </si>
  <si>
    <t>Identify and briefly describe 2 key assumptions of frequency-severity methods for estimating</t>
  </si>
  <si>
    <t>unpaid claims estimates.</t>
  </si>
  <si>
    <t>Any 2 of..</t>
  </si>
  <si>
    <t xml:space="preserve">  - LDFs within columns are roughly similar - no increasing/decreasing trends, no outliers.</t>
  </si>
  <si>
    <t xml:space="preserve">  - counts and severities will have stable development triangles.</t>
  </si>
  <si>
    <r>
      <rPr>
        <b/>
        <sz val="11"/>
        <color rgb="FFFF0000"/>
        <rFont val="Calibri"/>
        <family val="2"/>
        <scheme val="minor"/>
      </rPr>
      <t>D</t>
    </r>
    <r>
      <rPr>
        <sz val="11"/>
        <color rgb="FF222222"/>
        <rFont val="Calibri"/>
        <family val="2"/>
        <scheme val="minor"/>
      </rPr>
      <t>evelopment is stable</t>
    </r>
  </si>
  <si>
    <r>
      <t xml:space="preserve">  - counts are tallied according to either # of claimants </t>
    </r>
    <r>
      <rPr>
        <u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# of claims</t>
    </r>
  </si>
  <si>
    <r>
      <t>C</t>
    </r>
    <r>
      <rPr>
        <sz val="11"/>
        <color rgb="FF222222"/>
        <rFont val="Calibri"/>
        <family val="2"/>
        <scheme val="minor"/>
      </rPr>
      <t>ount definition is consistent</t>
    </r>
  </si>
  <si>
    <r>
      <t>T</t>
    </r>
    <r>
      <rPr>
        <sz val="11"/>
        <color rgb="FF222222"/>
        <rFont val="Calibri"/>
        <family val="2"/>
        <scheme val="minor"/>
      </rPr>
      <t>ypes of claims are homogeneous</t>
    </r>
  </si>
  <si>
    <r>
      <t xml:space="preserve">  - for example that all claims are liability claims </t>
    </r>
    <r>
      <rPr>
        <u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all claims are physical damage claims </t>
    </r>
    <r>
      <rPr>
        <u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the</t>
    </r>
  </si>
  <si>
    <t xml:space="preserve">    mix between these types of claims is conistent</t>
  </si>
  <si>
    <t>Advantages: any 1 of..</t>
  </si>
  <si>
    <t>(paid data is not affected by changes in case strength)</t>
  </si>
  <si>
    <r>
      <rPr>
        <b/>
        <sz val="11"/>
        <color rgb="FFFF0000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aid data only may be used which is an advantage if case strength/adequacy is changing</t>
    </r>
  </si>
  <si>
    <r>
      <rPr>
        <b/>
        <sz val="11"/>
        <color rgb="FFFF0000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nflation can be explicitly reflected</t>
    </r>
  </si>
  <si>
    <r>
      <t>I</t>
    </r>
    <r>
      <rPr>
        <sz val="11"/>
        <color rgb="FF222222"/>
        <rFont val="Calibri"/>
        <family val="2"/>
        <scheme val="minor"/>
      </rPr>
      <t>nsight into the claims process since frequency, severity, and disposal rates are explicitly considered</t>
    </r>
  </si>
  <si>
    <t xml:space="preserve">  - more calculations means small inaccuracies can propagate, and also judgmental selections</t>
  </si>
  <si>
    <t xml:space="preserve">    are required in multiple steps</t>
  </si>
  <si>
    <t xml:space="preserve">  - disadvantage if settlement rates are changing because paid data may be distorted</t>
  </si>
  <si>
    <t xml:space="preserve">  - final result is very sensitive to inflation assumption</t>
  </si>
  <si>
    <r>
      <rPr>
        <b/>
        <sz val="11"/>
        <color rgb="FFFF0000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nflation:</t>
    </r>
  </si>
  <si>
    <r>
      <rPr>
        <b/>
        <sz val="11"/>
        <color rgb="FFFF0000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aid data:</t>
    </r>
  </si>
  <si>
    <r>
      <rPr>
        <b/>
        <sz val="11"/>
        <color rgb="FFFF0000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omplexity:</t>
    </r>
  </si>
  <si>
    <t>payroll (000s)</t>
  </si>
  <si>
    <t>claims (000s)</t>
  </si>
  <si>
    <t>?</t>
  </si>
  <si>
    <t>exposure</t>
  </si>
  <si>
    <t>count</t>
  </si>
  <si>
    <t>trd fctr</t>
  </si>
  <si>
    <t>payroll</t>
  </si>
  <si>
    <t>trended</t>
  </si>
  <si>
    <t>--</t>
  </si>
  <si>
    <t>select →</t>
  </si>
  <si>
    <t>Calculate the ultimate for AY 2025 using trended frequency and the given severity.</t>
  </si>
  <si>
    <r>
      <t xml:space="preserve">    AY 2025 ultimate trended </t>
    </r>
    <r>
      <rPr>
        <b/>
        <sz val="11"/>
        <color rgb="FFA52A2A"/>
        <rFont val="Calibri"/>
        <family val="2"/>
        <scheme val="minor"/>
      </rPr>
      <t xml:space="preserve">severity </t>
    </r>
    <r>
      <rPr>
        <b/>
        <sz val="11"/>
        <rFont val="Calibri"/>
        <family val="2"/>
        <scheme val="minor"/>
      </rPr>
      <t>==&gt;</t>
    </r>
  </si>
  <si>
    <r>
      <t>1</t>
    </r>
    <r>
      <rPr>
        <sz val="12"/>
        <color rgb="FF333333"/>
        <rFont val="Calibri"/>
        <family val="2"/>
        <scheme val="minor"/>
      </rPr>
      <t> </t>
    </r>
    <r>
      <rPr>
        <i/>
        <sz val="12"/>
        <color rgb="FF333333"/>
        <rFont val="Calibri"/>
        <family val="2"/>
        <scheme val="minor"/>
      </rPr>
      <t>Use a simple weighted average for trend selections.</t>
    </r>
  </si>
  <si>
    <r>
      <t>2</t>
    </r>
    <r>
      <rPr>
        <sz val="12"/>
        <color rgb="FF333333"/>
        <rFont val="Calibri"/>
        <family val="2"/>
        <scheme val="minor"/>
      </rPr>
      <t> </t>
    </r>
    <r>
      <rPr>
        <i/>
        <sz val="12"/>
        <color rgb="FF333333"/>
        <rFont val="Calibri"/>
        <family val="2"/>
        <scheme val="minor"/>
      </rPr>
      <t>Data is as of Dec 31, 2025.</t>
    </r>
  </si>
  <si>
    <t>AY 2025 ultimate claims:</t>
  </si>
  <si>
    <t xml:space="preserve">  (final answer)</t>
  </si>
  <si>
    <r>
      <t>1.03</t>
    </r>
    <r>
      <rPr>
        <vertAlign val="superscript"/>
        <sz val="11"/>
        <color theme="1"/>
        <rFont val="Calibri"/>
        <family val="2"/>
        <scheme val="minor"/>
      </rPr>
      <t>3</t>
    </r>
  </si>
  <si>
    <r>
      <t>1.03</t>
    </r>
    <r>
      <rPr>
        <vertAlign val="superscript"/>
        <sz val="11"/>
        <color theme="1"/>
        <rFont val="Calibri"/>
        <family val="2"/>
        <scheme val="minor"/>
      </rPr>
      <t>2</t>
    </r>
  </si>
  <si>
    <r>
      <t>1.03</t>
    </r>
    <r>
      <rPr>
        <vertAlign val="superscript"/>
        <sz val="11"/>
        <color theme="1"/>
        <rFont val="Calibri"/>
        <family val="2"/>
        <scheme val="minor"/>
      </rPr>
      <t>1</t>
    </r>
  </si>
  <si>
    <r>
      <t>1.02</t>
    </r>
    <r>
      <rPr>
        <vertAlign val="superscript"/>
        <sz val="11"/>
        <color theme="1"/>
        <rFont val="Calibri"/>
        <family val="2"/>
        <scheme val="minor"/>
      </rPr>
      <t>3</t>
    </r>
  </si>
  <si>
    <r>
      <t>1.02</t>
    </r>
    <r>
      <rPr>
        <vertAlign val="superscript"/>
        <sz val="11"/>
        <color theme="1"/>
        <rFont val="Calibri"/>
        <family val="2"/>
        <scheme val="minor"/>
      </rPr>
      <t>2</t>
    </r>
  </si>
  <si>
    <r>
      <t>1.02</t>
    </r>
    <r>
      <rPr>
        <vertAlign val="superscript"/>
        <sz val="11"/>
        <color theme="1"/>
        <rFont val="Calibri"/>
        <family val="2"/>
        <scheme val="minor"/>
      </rPr>
      <t>1</t>
    </r>
  </si>
  <si>
    <t>Ultimate Calculation:</t>
  </si>
  <si>
    <t>Frequency Calculation:</t>
  </si>
  <si>
    <r>
      <t>ultimate</t>
    </r>
    <r>
      <rPr>
        <vertAlign val="subscript"/>
        <sz val="11"/>
        <rFont val="Calibri"/>
        <family val="2"/>
        <scheme val="minor"/>
      </rPr>
      <t>AY 2025</t>
    </r>
    <r>
      <rPr>
        <sz val="11"/>
        <color rgb="FF333333"/>
        <rFont val="Calibri"/>
        <family val="2"/>
        <scheme val="minor"/>
      </rPr>
      <t/>
    </r>
  </si>
  <si>
    <r>
      <t>exposures</t>
    </r>
    <r>
      <rPr>
        <vertAlign val="subscript"/>
        <sz val="11"/>
        <rFont val="Calibri"/>
        <family val="2"/>
        <scheme val="minor"/>
      </rPr>
      <t>CY 2025</t>
    </r>
    <r>
      <rPr>
        <sz val="11"/>
        <rFont val="Calibri"/>
        <family val="2"/>
        <scheme val="minor"/>
      </rPr>
      <t>   x   (selected Frequency)</t>
    </r>
    <r>
      <rPr>
        <vertAlign val="subscript"/>
        <sz val="11"/>
        <rFont val="Calibri"/>
        <family val="2"/>
        <scheme val="minor"/>
      </rPr>
      <t>AY 2025</t>
    </r>
    <r>
      <rPr>
        <sz val="11"/>
        <rFont val="Calibri"/>
        <family val="2"/>
        <scheme val="minor"/>
      </rPr>
      <t>   x   (selected Severity)</t>
    </r>
    <r>
      <rPr>
        <vertAlign val="subscript"/>
        <sz val="11"/>
        <rFont val="Calibri"/>
        <family val="2"/>
        <scheme val="minor"/>
      </rPr>
      <t>AY 2025</t>
    </r>
  </si>
  <si>
    <t>Identify 1 advantage and 1 disadvantage of frequency-severity methods.</t>
  </si>
  <si>
    <t xml:space="preserve"> highlight the correct CDFs for the given AY</t>
  </si>
  <si>
    <t>industry CDFs</t>
  </si>
  <si>
    <t>Calculate the unpaid claim estimate for this self-insured entity for AY</t>
  </si>
  <si>
    <t>- ultimate</t>
  </si>
  <si>
    <t>Information as of Dec 31, 2025:</t>
  </si>
  <si>
    <t xml:space="preserve">case O/S for AY  </t>
  </si>
  <si>
    <t>company data</t>
  </si>
  <si>
    <t>industry data</t>
  </si>
  <si>
    <t xml:space="preserve"> subsitute the correct CDFs into the case O/S formula for estimating unpaid for AY</t>
  </si>
  <si>
    <t xml:space="preserve"> CDF</t>
  </si>
  <si>
    <t>case O/S factor</t>
  </si>
  <si>
    <t>1  +</t>
  </si>
  <si>
    <t>[ ( rptd:CDF - 1) x paid:CDF ]</t>
  </si>
  <si>
    <t>( paid:CDF - rptd:CDF)</t>
  </si>
  <si>
    <t>case O/S amount</t>
  </si>
  <si>
    <t>The Friedland reserving text discusses 2 methods referred to as "Case Outstanding" methods. One of</t>
  </si>
  <si>
    <t>them is sometimes referred to as the "Development Method". The other case outstanding method</t>
  </si>
  <si>
    <t>is a formula that uses industry data to project a company's case outstanding amount assuming no</t>
  </si>
  <si>
    <t>other company data is available.</t>
  </si>
  <si>
    <t>Identify 2 specific situations where this "other" case outstanding method may be used.</t>
  </si>
  <si>
    <r>
      <t>S</t>
    </r>
    <r>
      <rPr>
        <sz val="11"/>
        <color rgb="FF222222"/>
        <rFont val="Calibri"/>
        <family val="2"/>
        <scheme val="minor"/>
      </rPr>
      <t>elf-insured entities</t>
    </r>
  </si>
  <si>
    <r>
      <t>O</t>
    </r>
    <r>
      <rPr>
        <sz val="11"/>
        <color rgb="FF222222"/>
        <rFont val="Calibri"/>
        <family val="2"/>
        <scheme val="minor"/>
      </rPr>
      <t>lder years</t>
    </r>
  </si>
  <si>
    <r>
      <t>A</t>
    </r>
    <r>
      <rPr>
        <sz val="11"/>
        <color rgb="FF222222"/>
        <rFont val="Calibri"/>
        <family val="2"/>
        <scheme val="minor"/>
      </rPr>
      <t>fter mergers</t>
    </r>
  </si>
  <si>
    <t>Identify the purpose of the Berquist-Sherman reported method.</t>
  </si>
  <si>
    <t>Identify the purpose of the Berquist-Sherman paid method.</t>
  </si>
  <si>
    <t>Adjust reported data for distortions caused by changes in case reserve adequacy</t>
  </si>
  <si>
    <t>Adjust paid data for distortions caused by changes in claim settlement rate.</t>
  </si>
  <si>
    <t>Step 1a</t>
  </si>
  <si>
    <t xml:space="preserve"> calculate Average Paid Loss (APL) &amp; Average Case O/S (ACOS)</t>
  </si>
  <si>
    <r>
      <t xml:space="preserve">Average Paid Loss ($000s)  </t>
    </r>
    <r>
      <rPr>
        <b/>
        <sz val="11"/>
        <color rgb="FFFF0000"/>
        <rFont val="Calibri"/>
        <family val="2"/>
        <scheme val="minor"/>
      </rPr>
      <t>(APL)</t>
    </r>
  </si>
  <si>
    <r>
      <t xml:space="preserve">Average Case O/S  ($000s) </t>
    </r>
    <r>
      <rPr>
        <b/>
        <sz val="11"/>
        <color rgb="FFFF0000"/>
        <rFont val="Calibri"/>
        <family val="2"/>
        <scheme val="minor"/>
      </rPr>
      <t>(ACOS)</t>
    </r>
  </si>
  <si>
    <r>
      <t xml:space="preserve">Use the </t>
    </r>
    <r>
      <rPr>
        <u/>
        <sz val="11"/>
        <color theme="1"/>
        <rFont val="Calibri"/>
        <family val="2"/>
        <scheme val="minor"/>
      </rPr>
      <t>reported</t>
    </r>
    <r>
      <rPr>
        <sz val="11"/>
        <color theme="1"/>
        <rFont val="Calibri"/>
        <family val="2"/>
        <scheme val="minor"/>
      </rPr>
      <t xml:space="preserve"> Berquist-Sherman method to calculate the</t>
    </r>
  </si>
  <si>
    <r>
      <t xml:space="preserve">Cumulative Paid </t>
    </r>
    <r>
      <rPr>
        <u/>
        <sz val="11"/>
        <color theme="1"/>
        <rFont val="Calibri"/>
        <family val="2"/>
        <scheme val="minor"/>
      </rPr>
      <t>Loss</t>
    </r>
    <r>
      <rPr>
        <sz val="11"/>
        <color theme="1"/>
        <rFont val="Calibri"/>
        <family val="2"/>
        <scheme val="minor"/>
      </rPr>
      <t xml:space="preserve"> ($000s)  </t>
    </r>
    <r>
      <rPr>
        <b/>
        <sz val="11"/>
        <color rgb="FFFF0000"/>
        <rFont val="Calibri"/>
        <family val="2"/>
        <scheme val="minor"/>
      </rPr>
      <t>(CPL)</t>
    </r>
  </si>
  <si>
    <r>
      <t xml:space="preserve">Cumulative Reported </t>
    </r>
    <r>
      <rPr>
        <u/>
        <sz val="11"/>
        <color theme="1"/>
        <rFont val="Calibri"/>
        <family val="2"/>
        <scheme val="minor"/>
      </rPr>
      <t>Loss</t>
    </r>
    <r>
      <rPr>
        <sz val="11"/>
        <color theme="1"/>
        <rFont val="Calibri"/>
        <family val="2"/>
        <scheme val="minor"/>
      </rPr>
      <t xml:space="preserve"> ($000s)  </t>
    </r>
    <r>
      <rPr>
        <b/>
        <sz val="11"/>
        <color rgb="FFFF0000"/>
        <rFont val="Calibri"/>
        <family val="2"/>
        <scheme val="minor"/>
      </rPr>
      <t>(CRL)</t>
    </r>
  </si>
  <si>
    <t>Ex:</t>
  </si>
  <si>
    <t>APL</t>
  </si>
  <si>
    <t>CPL / CPC</t>
  </si>
  <si>
    <t>ACOS</t>
  </si>
  <si>
    <t>(CRL - CPL) / (CRC - CPC)</t>
  </si>
  <si>
    <t>Step 1b</t>
  </si>
  <si>
    <r>
      <t xml:space="preserve"> calculate &amp; select severity trend down columns </t>
    </r>
    <r>
      <rPr>
        <i/>
        <sz val="11"/>
        <color rgb="FFFF0000"/>
        <rFont val="Calibri"/>
        <family val="2"/>
        <scheme val="minor"/>
      </rPr>
      <t>(if trend is not provided)</t>
    </r>
  </si>
  <si>
    <r>
      <t xml:space="preserve">Cumulative Paid </t>
    </r>
    <r>
      <rPr>
        <u/>
        <sz val="11"/>
        <color theme="1"/>
        <rFont val="Calibri"/>
        <family val="2"/>
        <scheme val="minor"/>
      </rPr>
      <t>Counts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(CPC)</t>
    </r>
  </si>
  <si>
    <r>
      <t xml:space="preserve">Cumulative Reported </t>
    </r>
    <r>
      <rPr>
        <u/>
        <sz val="11"/>
        <color theme="1"/>
        <rFont val="Calibri"/>
        <family val="2"/>
        <scheme val="minor"/>
      </rPr>
      <t>Counts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(CRC)</t>
    </r>
  </si>
  <si>
    <r>
      <t xml:space="preserve">Average Paid Loss </t>
    </r>
    <r>
      <rPr>
        <b/>
        <u/>
        <sz val="11"/>
        <color theme="1"/>
        <rFont val="Calibri"/>
        <family val="2"/>
        <scheme val="minor"/>
      </rPr>
      <t>TREND</t>
    </r>
  </si>
  <si>
    <r>
      <t xml:space="preserve">Average Case O/S </t>
    </r>
    <r>
      <rPr>
        <b/>
        <u/>
        <sz val="11"/>
        <color theme="1"/>
        <rFont val="Calibri"/>
        <family val="2"/>
        <scheme val="minor"/>
      </rPr>
      <t>TREND</t>
    </r>
  </si>
  <si>
    <t>severity trend selection:</t>
  </si>
  <si>
    <t>n/a</t>
  </si>
  <si>
    <t>Note increase along latest diagonal.</t>
  </si>
  <si>
    <t>annual severity trend</t>
  </si>
  <si>
    <t>severity trend given:</t>
  </si>
  <si>
    <t>(Evidence for case reserve strengthening in CY 2025)</t>
  </si>
  <si>
    <t xml:space="preserve"> restate ACOS by de-trending from latest diagonal of original ACOS</t>
  </si>
  <si>
    <r>
      <t xml:space="preserve">Average Case O/S  </t>
    </r>
    <r>
      <rPr>
        <b/>
        <sz val="11"/>
        <color rgb="FFFF0000"/>
        <rFont val="Calibri"/>
        <family val="2"/>
        <scheme val="minor"/>
      </rPr>
      <t>(ACOS)</t>
    </r>
  </si>
  <si>
    <t>* latest diagonal doesn't change under de-trending</t>
  </si>
  <si>
    <r>
      <t xml:space="preserve"> restate CRL using restated ACOS from step 2a:   </t>
    </r>
    <r>
      <rPr>
        <sz val="11"/>
        <color rgb="FF0070C0"/>
        <rFont val="Calibri"/>
        <family val="2"/>
        <scheme val="minor"/>
      </rPr>
      <t>(restated ACOS) x (open counts)  +  (original CPL)</t>
    </r>
  </si>
  <si>
    <r>
      <rPr>
        <sz val="11"/>
        <color rgb="FFFF0000"/>
        <rFont val="Calibri"/>
        <family val="2"/>
        <scheme val="minor"/>
      </rPr>
      <t>Restated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CRL</t>
    </r>
  </si>
  <si>
    <t>Step 3b</t>
  </si>
  <si>
    <t xml:space="preserve"> apply development method to restated CRL from step 2b</t>
  </si>
  <si>
    <t>LDFs</t>
  </si>
  <si>
    <r>
      <rPr>
        <b/>
        <sz val="11"/>
        <color rgb="FFFF0000"/>
        <rFont val="Calibri"/>
        <family val="2"/>
        <scheme val="minor"/>
      </rPr>
      <t>Tail Factor: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Set = 1.0 if triangle is fully developed.</t>
    </r>
  </si>
  <si>
    <t>If trianlge is not fully developed then select</t>
  </si>
  <si>
    <t>something different from 1.0</t>
  </si>
  <si>
    <t>CDFs</t>
  </si>
  <si>
    <t>Ults.</t>
  </si>
  <si>
    <t xml:space="preserve"> &lt;-- final answer</t>
  </si>
  <si>
    <t>Hints:</t>
  </si>
  <si>
    <r>
      <rPr>
        <b/>
        <sz val="11"/>
        <color rgb="FF7030A0"/>
        <rFont val="Calibri"/>
        <family val="2"/>
        <scheme val="minor"/>
      </rPr>
      <t>RESTATED</t>
    </r>
    <r>
      <rPr>
        <sz val="11"/>
        <color theme="1"/>
        <rFont val="Calibri"/>
        <family val="2"/>
        <scheme val="minor"/>
      </rPr>
      <t xml:space="preserve"> Average Case O/S  (ACOS)</t>
    </r>
  </si>
  <si>
    <r>
      <rPr>
        <b/>
        <sz val="11"/>
        <color rgb="FFFF0000"/>
        <rFont val="Calibri"/>
        <family val="2"/>
        <scheme val="minor"/>
      </rPr>
      <t>ORIGINAL</t>
    </r>
    <r>
      <rPr>
        <sz val="11"/>
        <color theme="1"/>
        <rFont val="Calibri"/>
        <family val="2"/>
        <scheme val="minor"/>
      </rPr>
      <t xml:space="preserve"> Average Case O/S  ($000s) (ACOS)</t>
    </r>
  </si>
  <si>
    <t xml:space="preserve"> (You don't have to work everything out from scratch. Use the restated Average Case O/S shown below.)</t>
  </si>
  <si>
    <t>Here is the full solution, but you don't have to do all the steps because you were given</t>
  </si>
  <si>
    <t>the restated Average Case O/S  (ACOS).</t>
  </si>
  <si>
    <t>insurer's net loss</t>
  </si>
  <si>
    <t>(amount paid to Alice)</t>
  </si>
  <si>
    <t>(amount recovered from scrapyard)</t>
  </si>
  <si>
    <t>Alice the actuary drove her ATV (All-Terrian Vehicle) into a pond. It sunk to the bottom and was a total</t>
  </si>
  <si>
    <t>loss. Alice subsequently submitted a claim and her insurer paid her $3,500. The insurer then recovered</t>
  </si>
  <si>
    <t>If an insurer has a gross loss of $500,000 but also has a reinsurance treaty with a quota-share</t>
  </si>
  <si>
    <t>the ATV and sold it for scrap, receiving $600. What was the insurer's net loss?</t>
  </si>
  <si>
    <t>percentage of 75% then what is the primary insurer's net loss, according to the Friedland text?</t>
  </si>
  <si>
    <t>According to the Friedland text, the quota-share percentage is applied to the gross loss</t>
  </si>
  <si>
    <t>to obtain the net loss:</t>
  </si>
  <si>
    <t>net loss</t>
  </si>
  <si>
    <t>gross loss</t>
  </si>
  <si>
    <t>quota-share percentage</t>
  </si>
  <si>
    <t>Important Note:</t>
  </si>
  <si>
    <t>Examiners' report solutions to old exam problems sometimes get this backwards. In</t>
  </si>
  <si>
    <t>other words, they apply the quota-share percentage to the gross loss to get the</t>
  </si>
  <si>
    <r>
      <t>ceded loss</t>
    </r>
    <r>
      <rPr>
        <sz val="11"/>
        <color theme="1"/>
        <rFont val="Calibri"/>
        <family val="2"/>
        <scheme val="minor"/>
      </rPr>
      <t>. This is wrong! But you should be aware that this is often a point of confusion.</t>
    </r>
  </si>
  <si>
    <t>An insurer has 2 losses as shown below:</t>
  </si>
  <si>
    <t>loss 1</t>
  </si>
  <si>
    <t>loss 2</t>
  </si>
  <si>
    <t>loss 1 reimbursement</t>
  </si>
  <si>
    <t xml:space="preserve"> (because the attachment point is not reached)</t>
  </si>
  <si>
    <t>loss 2 reimbursement</t>
  </si>
  <si>
    <t>losses then what is the primary insurer's reimbursement from the reinsurer?</t>
  </si>
  <si>
    <r>
      <t xml:space="preserve">If the insurer has an excess-of-loss reinsurance treaty with an attachment point of 500 for </t>
    </r>
    <r>
      <rPr>
        <u/>
        <sz val="11"/>
        <rFont val="Calibri"/>
        <family val="2"/>
        <scheme val="minor"/>
      </rPr>
      <t>individual</t>
    </r>
  </si>
  <si>
    <t>the primary insurer's reimbursement from the reinsurer?</t>
  </si>
  <si>
    <t>Using the data from part (c), but assuming the attachment point applies to aggregate losses, what is</t>
  </si>
  <si>
    <t>total losses</t>
  </si>
  <si>
    <t>total reimbursement</t>
  </si>
  <si>
    <t>reimbursement</t>
  </si>
  <si>
    <t>individual attachment point</t>
  </si>
  <si>
    <t>aggregate attachment point</t>
  </si>
  <si>
    <t>(final answer to part c)</t>
  </si>
  <si>
    <t>(final answer to part d)</t>
  </si>
  <si>
    <t>(final answer to part b)</t>
  </si>
  <si>
    <t>(final answer to part a)</t>
  </si>
  <si>
    <t>Paid</t>
  </si>
  <si>
    <t>Development</t>
  </si>
  <si>
    <t>Berquist-Sherman</t>
  </si>
  <si>
    <t>Suppose you get to the end of your reserve analysis as of Dec 31, 2025 and have estimates of ultimates</t>
  </si>
  <si>
    <t>from several different methods:</t>
  </si>
  <si>
    <t>while the Reported Development method shows an increase starting from AY 2023?</t>
  </si>
  <si>
    <t>Why might the Paid Development and Berquist-Sherman methods show consistent estimates across all Accident Years (AYs),</t>
  </si>
  <si>
    <t>The Paid Development and Berquist-Sherman methods show</t>
  </si>
  <si>
    <t>consistent estimates across all Accident Years because these methods</t>
  </si>
  <si>
    <t>are likely not sensitive to changes in case reserve strength or</t>
  </si>
  <si>
    <t>reporting patterns. In contrast, the Reported Development method</t>
  </si>
  <si>
    <t>shows an increase from AY 2023, suggesting it is sensitive to these</t>
  </si>
  <si>
    <t>changes. This could be due to a change in case reserve strength,</t>
  </si>
  <si>
    <t>Referring to part (a), what are the implications to a reserve analyst regarding the accuracy of the LDFs in the reported development method.</t>
  </si>
  <si>
    <t>Assume the selected LDFs are an arithmetic average of the values in each column of the LDF triangle.</t>
  </si>
  <si>
    <t>affecting reported but not paid losses. The Reported Berquist-Sherman</t>
  </si>
  <si>
    <t>method adjusts for changes in reserve strength, which is why its</t>
  </si>
  <si>
    <t>estimates are consistent.</t>
  </si>
  <si>
    <t>If there has been case reserve strengthening and selected LDFs are simply</t>
  </si>
  <si>
    <t>a weighted average, then these LDFs are likely too high, especially for</t>
  </si>
  <si>
    <t>more recent accident years. If case reserve strengthening is suspected (possibly</t>
  </si>
  <si>
    <t>based on appropriate diagnostic triangles) then LDF selections</t>
  </si>
  <si>
    <t>should be adusted downward to compensate. It is, however, difficult to assess</t>
  </si>
  <si>
    <t>information is available on the degree of strenghthening.</t>
  </si>
  <si>
    <t>the magnitude of the downward adjustment unless more specific</t>
  </si>
  <si>
    <t>Given the following information for an insurer as of Dec 31, 2023:</t>
  </si>
  <si>
    <t>Company management strengthened case reserves on all open claims during 2016.</t>
  </si>
  <si>
    <t>Six unusually large claims that occurred in 2022 have been and closed, and there are no other large losses in the insurer's</t>
  </si>
  <si>
    <t>history</t>
  </si>
  <si>
    <t>No adjustments were made to historical claims development factors.</t>
  </si>
  <si>
    <t>Briefly assess the appropriateness of each reserving method for AY 2020.</t>
  </si>
  <si>
    <t>Paid development method</t>
  </si>
  <si>
    <t>Reported development method</t>
  </si>
  <si>
    <t>by case reserve strengthening, and the large claims in 2022 would</t>
  </si>
  <si>
    <t>not affect estimates for AY 2020.</t>
  </si>
  <si>
    <t>Appropriate for AY 2020 because paid development is not affected</t>
  </si>
  <si>
    <t>The reported development method may overstate the ultimate</t>
  </si>
  <si>
    <t>loss slightly due to the case reserve strengthening, but AY 2020</t>
  </si>
  <si>
    <t>would be less affected than later accident years because AY 2020</t>
  </si>
  <si>
    <t>is more mature. (In other words, the CDF for AY 2020 would be</t>
  </si>
  <si>
    <t>closer to 1.000 anyway so any effects from the case reserve</t>
  </si>
  <si>
    <t>strengthening would have less impact.)</t>
  </si>
  <si>
    <t xml:space="preserve"> determine the 12-month period containing the period you're given</t>
  </si>
  <si>
    <t>period</t>
  </si>
  <si>
    <t>to</t>
  </si>
  <si>
    <t>is contained in period</t>
  </si>
  <si>
    <t xml:space="preserve"> calculate the quantites required in the emergence formula (for step 3)</t>
  </si>
  <si>
    <t>Here is the current information for a particular AY:</t>
  </si>
  <si>
    <t xml:space="preserve"> calculate the emergence in the 12-month period using the results from step 2</t>
  </si>
  <si>
    <t>12-mth emergence</t>
  </si>
  <si>
    <t xml:space="preserve">x        ( </t>
  </si>
  <si>
    <t xml:space="preserve"> )        /</t>
  </si>
  <si>
    <t>Calculate the emergence of paid claims in the period</t>
  </si>
  <si>
    <t xml:space="preserve">  months.</t>
  </si>
  <si>
    <t>Step 1:</t>
  </si>
  <si>
    <r>
      <t xml:space="preserve">Ratio of </t>
    </r>
    <r>
      <rPr>
        <i/>
        <sz val="11"/>
        <color theme="1"/>
        <rFont val="Calibri"/>
        <family val="2"/>
        <scheme val="minor"/>
      </rPr>
      <t>cumulative</t>
    </r>
    <r>
      <rPr>
        <sz val="11"/>
        <color theme="1"/>
        <rFont val="Calibri"/>
        <family val="2"/>
        <scheme val="minor"/>
      </rPr>
      <t xml:space="preserve"> paid ALAE to </t>
    </r>
    <r>
      <rPr>
        <i/>
        <sz val="11"/>
        <color theme="1"/>
        <rFont val="Calibri"/>
        <family val="2"/>
        <scheme val="minor"/>
      </rPr>
      <t>cumulative</t>
    </r>
    <r>
      <rPr>
        <sz val="11"/>
        <color theme="1"/>
        <rFont val="Calibri"/>
        <family val="2"/>
        <scheme val="minor"/>
      </rPr>
      <t xml:space="preserve"> paid claims:</t>
    </r>
  </si>
  <si>
    <t>Use the</t>
  </si>
  <si>
    <t>additive</t>
  </si>
  <si>
    <t>approach to estimate the</t>
  </si>
  <si>
    <t>ALAE</t>
  </si>
  <si>
    <t>cumulative paid claims:</t>
  </si>
  <si>
    <t>cumulative paid ALAE:</t>
  </si>
  <si>
    <t>Step 2:</t>
  </si>
  <si>
    <r>
      <t xml:space="preserve">Development triangle </t>
    </r>
    <r>
      <rPr>
        <i/>
        <sz val="11"/>
        <color theme="1"/>
        <rFont val="Calibri"/>
        <family val="2"/>
        <scheme val="minor"/>
      </rPr>
      <t xml:space="preserve">(either </t>
    </r>
    <r>
      <rPr>
        <i/>
        <u/>
        <sz val="11"/>
        <color theme="1"/>
        <rFont val="Calibri"/>
        <family val="2"/>
        <scheme val="minor"/>
      </rPr>
      <t>additive</t>
    </r>
    <r>
      <rPr>
        <i/>
        <sz val="11"/>
        <color theme="1"/>
        <rFont val="Calibri"/>
        <family val="2"/>
        <scheme val="minor"/>
      </rPr>
      <t xml:space="preserve"> or </t>
    </r>
    <r>
      <rPr>
        <i/>
        <u/>
        <sz val="11"/>
        <color theme="1"/>
        <rFont val="Calibri"/>
        <family val="2"/>
        <scheme val="minor"/>
      </rPr>
      <t>multiplicative</t>
    </r>
    <r>
      <rPr>
        <i/>
        <sz val="11"/>
        <color theme="1"/>
        <rFont val="Calibri"/>
        <family val="2"/>
        <scheme val="minor"/>
      </rPr>
      <t xml:space="preserve"> as appropriate):</t>
    </r>
  </si>
  <si>
    <r>
      <t xml:space="preserve">  &lt;</t>
    </r>
    <r>
      <rPr>
        <b/>
        <sz val="11"/>
        <color rgb="FFFF0000"/>
        <rFont val="Calibri"/>
        <family val="2"/>
        <scheme val="minor"/>
      </rPr>
      <t>===</t>
    </r>
  </si>
  <si>
    <t>selected ultimate claims by AY</t>
  </si>
  <si>
    <t>ult clms</t>
  </si>
  <si>
    <r>
      <t xml:space="preserve">tail = 0.0 if additive </t>
    </r>
    <r>
      <rPr>
        <u/>
        <sz val="11"/>
        <color rgb="FFFF0000"/>
        <rFont val="Calibri"/>
        <family val="2"/>
        <scheme val="minor"/>
      </rPr>
      <t>OR</t>
    </r>
    <r>
      <rPr>
        <sz val="11"/>
        <color rgb="FFFF0000"/>
        <rFont val="Calibri"/>
        <family val="2"/>
        <scheme val="minor"/>
      </rPr>
      <t xml:space="preserve"> 1.0 if multiplicative</t>
    </r>
  </si>
  <si>
    <t>cum</t>
  </si>
  <si>
    <t>Ult Ratio</t>
  </si>
  <si>
    <t xml:space="preserve">  &lt;===</t>
  </si>
  <si>
    <t>given information</t>
  </si>
  <si>
    <t>When selecting development factors, you may select a SIMPLE AVERAGE in this problem.</t>
  </si>
  <si>
    <t>(repeated here for convenience)</t>
  </si>
  <si>
    <t>pd ALAE</t>
  </si>
  <si>
    <t>Step 3:</t>
  </si>
  <si>
    <t xml:space="preserve"> Ultimate ALAE</t>
  </si>
  <si>
    <t>(Ultimate Ratio)</t>
  </si>
  <si>
    <t>(Ultimate Claims)</t>
  </si>
  <si>
    <t xml:space="preserve"> Unpaid ALAE</t>
  </si>
  <si>
    <t>(Ultimate ALAE)</t>
  </si>
  <si>
    <t>(Paid ALAE)</t>
  </si>
  <si>
    <t>Ult ALAE</t>
  </si>
  <si>
    <t>UnPd ALAE</t>
  </si>
  <si>
    <t>Step 4:</t>
  </si>
  <si>
    <t>final answer</t>
  </si>
  <si>
    <t>classical</t>
  </si>
  <si>
    <t>ULAE</t>
  </si>
  <si>
    <t>occurrence</t>
  </si>
  <si>
    <r>
      <t xml:space="preserve">  &lt;</t>
    </r>
    <r>
      <rPr>
        <b/>
        <sz val="11"/>
        <color theme="1"/>
        <rFont val="Calibri"/>
        <family val="2"/>
        <scheme val="minor"/>
      </rPr>
      <t xml:space="preserve">==  </t>
    </r>
    <r>
      <rPr>
        <sz val="11"/>
        <color theme="1"/>
        <rFont val="Calibri"/>
        <family val="2"/>
        <scheme val="minor"/>
      </rPr>
      <t>policy type</t>
    </r>
  </si>
  <si>
    <t>incurred</t>
  </si>
  <si>
    <r>
      <t xml:space="preserve">  &lt;</t>
    </r>
    <r>
      <rPr>
        <b/>
        <sz val="11"/>
        <color rgb="FFFF0000"/>
        <rFont val="Calibri"/>
        <family val="2"/>
        <scheme val="minor"/>
      </rPr>
      <t>==</t>
    </r>
    <r>
      <rPr>
        <sz val="11"/>
        <color rgb="FFFF0000"/>
        <rFont val="Calibri"/>
        <family val="2"/>
        <scheme val="minor"/>
      </rPr>
      <t xml:space="preserve"> incurred </t>
    </r>
    <r>
      <rPr>
        <u/>
        <sz val="11"/>
        <color rgb="FFFF0000"/>
        <rFont val="Calibri"/>
        <family val="2"/>
        <scheme val="minor"/>
      </rPr>
      <t>includes</t>
    </r>
    <r>
      <rPr>
        <sz val="11"/>
        <color rgb="FFFF0000"/>
        <rFont val="Calibri"/>
        <family val="2"/>
        <scheme val="minor"/>
      </rPr>
      <t xml:space="preserve"> reported &amp; IBNR</t>
    </r>
  </si>
  <si>
    <r>
      <t xml:space="preserve">Sometimes there is a </t>
    </r>
    <r>
      <rPr>
        <sz val="11"/>
        <color rgb="FFFF0000"/>
        <rFont val="Calibri"/>
        <family val="2"/>
        <scheme val="minor"/>
      </rPr>
      <t>trend</t>
    </r>
    <r>
      <rPr>
        <sz val="11"/>
        <color theme="1"/>
        <rFont val="Calibri"/>
        <family val="2"/>
        <scheme val="minor"/>
      </rPr>
      <t xml:space="preserve"> in ULAE ratios.</t>
    </r>
  </si>
  <si>
    <r>
      <t xml:space="preserve">If so, you may need to use </t>
    </r>
    <r>
      <rPr>
        <sz val="11"/>
        <color rgb="FFFF0000"/>
        <rFont val="Calibri"/>
        <family val="2"/>
        <scheme val="minor"/>
      </rPr>
      <t>judgement</t>
    </r>
  </si>
  <si>
    <t>instead of just selecting the average</t>
  </si>
  <si>
    <r>
      <t xml:space="preserve">  &lt;</t>
    </r>
    <r>
      <rPr>
        <b/>
        <sz val="11"/>
        <color theme="1"/>
        <rFont val="Calibri"/>
        <family val="2"/>
        <scheme val="minor"/>
      </rPr>
      <t xml:space="preserve">== </t>
    </r>
    <r>
      <rPr>
        <sz val="11"/>
        <color theme="1"/>
        <rFont val="Calibri"/>
        <family val="2"/>
        <scheme val="minor"/>
      </rPr>
      <t>selected (average)</t>
    </r>
  </si>
  <si>
    <t xml:space="preserve">  apply formula for unpaid ULAE</t>
  </si>
  <si>
    <r>
      <t xml:space="preserve">  case outstanding    </t>
    </r>
    <r>
      <rPr>
        <i/>
        <sz val="11"/>
        <color theme="1"/>
        <rFont val="Calibri"/>
        <family val="2"/>
        <scheme val="minor"/>
      </rPr>
      <t>(latest AY)</t>
    </r>
  </si>
  <si>
    <r>
      <t xml:space="preserve">  total IBNR    </t>
    </r>
    <r>
      <rPr>
        <i/>
        <sz val="11"/>
        <color theme="1"/>
        <rFont val="Calibri"/>
        <family val="2"/>
        <scheme val="minor"/>
      </rPr>
      <t>(latest AY)</t>
    </r>
  </si>
  <si>
    <t>unpaid ULAE</t>
  </si>
  <si>
    <t>(ULAE ratio)</t>
  </si>
  <si>
    <t>( Case + IBNER )</t>
  </si>
  <si>
    <r>
      <rPr>
        <sz val="11"/>
        <color rgb="FF00B05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 xml:space="preserve">   x </t>
    </r>
  </si>
  <si>
    <t>IBNYR ]</t>
  </si>
  <si>
    <t xml:space="preserve">  % of total IBNR attributed to future case development on known claims</t>
  </si>
  <si>
    <r>
      <t>where</t>
    </r>
    <r>
      <rPr>
        <b/>
        <sz val="11"/>
        <color theme="1"/>
        <rFont val="Calibri"/>
        <family val="2"/>
        <scheme val="minor"/>
      </rPr>
      <t>:</t>
    </r>
  </si>
  <si>
    <t xml:space="preserve">  percent of unallocated work that occurs when a claim is opened</t>
  </si>
  <si>
    <r>
      <t xml:space="preserve">  percent of unallocated work that occurs when a claim is </t>
    </r>
    <r>
      <rPr>
        <b/>
        <sz val="11"/>
        <color rgb="FFFF0000"/>
        <rFont val="Calibri"/>
        <family val="2"/>
        <scheme val="minor"/>
      </rPr>
      <t>closed</t>
    </r>
  </si>
  <si>
    <t>IBNER</t>
  </si>
  <si>
    <t>Total IBNR</t>
  </si>
  <si>
    <r>
      <t>&lt;</t>
    </r>
    <r>
      <rPr>
        <b/>
        <sz val="11"/>
        <color rgb="FF0070C0"/>
        <rFont val="Calibri"/>
        <family val="2"/>
        <scheme val="minor"/>
      </rPr>
      <t xml:space="preserve">== </t>
    </r>
    <r>
      <rPr>
        <sz val="11"/>
        <color rgb="FF0070C0"/>
        <rFont val="Calibri"/>
        <family val="2"/>
        <scheme val="minor"/>
      </rPr>
      <t xml:space="preserve">Incurred But Not </t>
    </r>
    <r>
      <rPr>
        <u/>
        <sz val="11"/>
        <color rgb="FF0070C0"/>
        <rFont val="Calibri"/>
        <family val="2"/>
        <scheme val="minor"/>
      </rPr>
      <t>ENOUGH</t>
    </r>
    <r>
      <rPr>
        <sz val="11"/>
        <color rgb="FF0070C0"/>
        <rFont val="Calibri"/>
        <family val="2"/>
        <scheme val="minor"/>
      </rPr>
      <t xml:space="preserve"> Reported</t>
    </r>
  </si>
  <si>
    <t>IBNYR</t>
  </si>
  <si>
    <t>Tot IBNR</t>
  </si>
  <si>
    <r>
      <t>&lt;</t>
    </r>
    <r>
      <rPr>
        <b/>
        <sz val="11"/>
        <color rgb="FF0070C0"/>
        <rFont val="Calibri"/>
        <family val="2"/>
        <scheme val="minor"/>
      </rPr>
      <t xml:space="preserve">== </t>
    </r>
    <r>
      <rPr>
        <sz val="11"/>
        <color rgb="FF0070C0"/>
        <rFont val="Calibri"/>
        <family val="2"/>
        <scheme val="minor"/>
      </rPr>
      <t xml:space="preserve">Incurred But Not </t>
    </r>
    <r>
      <rPr>
        <u/>
        <sz val="11"/>
        <color rgb="FF0070C0"/>
        <rFont val="Calibri"/>
        <family val="2"/>
        <scheme val="minor"/>
      </rPr>
      <t>YET</t>
    </r>
    <r>
      <rPr>
        <sz val="11"/>
        <color rgb="FF0070C0"/>
        <rFont val="Calibri"/>
        <family val="2"/>
        <scheme val="minor"/>
      </rPr>
      <t xml:space="preserve"> Reported</t>
    </r>
  </si>
  <si>
    <r>
      <rPr>
        <b/>
        <u/>
        <sz val="11"/>
        <color theme="1"/>
        <rFont val="Calibri"/>
        <family val="2"/>
        <scheme val="minor"/>
      </rPr>
      <t>therefore</t>
    </r>
    <r>
      <rPr>
        <b/>
        <sz val="11"/>
        <color theme="1"/>
        <rFont val="Calibri"/>
        <family val="2"/>
        <scheme val="minor"/>
      </rPr>
      <t>:</t>
    </r>
  </si>
  <si>
    <t>]</t>
  </si>
  <si>
    <r>
      <t xml:space="preserve">  &lt;</t>
    </r>
    <r>
      <rPr>
        <b/>
        <sz val="11"/>
        <color rgb="FF00B050"/>
        <rFont val="Calibri"/>
        <family val="2"/>
        <scheme val="minor"/>
      </rPr>
      <t>== final answer</t>
    </r>
  </si>
  <si>
    <t>method, particularly in relation to fixed expenses like building rent.</t>
  </si>
  <si>
    <t>The classical formula for estimating unpaid ULAE is potentially inaccurate because it assumes that ULAE</t>
  </si>
  <si>
    <t>payments are directly proportional to the amount of claim payments. This assumption fails to account</t>
  </si>
  <si>
    <t>for fixed ULAE expenses, such as building rent, which do not vary with the size of the claim. As a result,</t>
  </si>
  <si>
    <t>a larger claim does not necessarily incur proportionally higher ULAE. For instance, the ULAE on a $5,000</t>
  </si>
  <si>
    <t>claim is unlikely to be 10 times the ULAE on a $500 claim, demonstrating the limitation of this proportional</t>
  </si>
  <si>
    <t>assumption in the classical formula.</t>
  </si>
  <si>
    <t>Fullly describe why the classical formula for estimating unpaid ULAE may not be an accurate</t>
  </si>
  <si>
    <t xml:space="preserve">Use the  </t>
  </si>
  <si>
    <t>Suppose there are four 12-month auto insurance policies each with an effective date of August 1, 2023.</t>
  </si>
  <si>
    <t>Calculate the EP @ CRL for CY 2020 and 2021 assuming annual policies and 1 rate change.</t>
  </si>
  <si>
    <t>Pricing - Chap 15: Commercial Ratemaking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</si>
</sst>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[$-F800]dddd\,\ mmmm\ dd\,\ yyyy"/>
    <numFmt numFmtId="166" formatCode="0.0"/>
    <numFmt numFmtId="167" formatCode="0.000"/>
    <numFmt numFmtId="168" formatCode="0.0000"/>
    <numFmt numFmtId="169" formatCode="0.000%"/>
    <numFmt numFmtId="170" formatCode="#,##0.0"/>
    <numFmt numFmtId="171" formatCode="_-&quot;$&quot;* #,##0_-;\-&quot;$&quot;* #,##0_-;_-&quot;$&quot;* &quot;-&quot;??_-;_-@_-"/>
    <numFmt numFmtId="172" formatCode="#,##0.000"/>
    <numFmt numFmtId="173" formatCode="#,##0.0000"/>
    <numFmt numFmtId="174" formatCode="0.0000000"/>
    <numFmt numFmtId="175" formatCode="#,##0_ ;\-#,##0\ "/>
    <numFmt numFmtId="176" formatCode="_(* #,##0.0_);_(* \(#,##0.0\);_(* &quot;-&quot;??_);_(@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rgb="FF333333"/>
      <name val="Roboto"/>
    </font>
    <font>
      <b/>
      <sz val="10"/>
      <color rgb="FFFFFFFF"/>
      <name val="Inherit"/>
    </font>
    <font>
      <vertAlign val="subscript"/>
      <sz val="11"/>
      <color theme="1"/>
      <name val="Calibri"/>
      <family val="2"/>
      <scheme val="minor"/>
    </font>
    <font>
      <sz val="11"/>
      <color rgb="FF222222"/>
      <name val="Arial"/>
      <family val="2"/>
    </font>
    <font>
      <sz val="11"/>
      <color rgb="FF22222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222222"/>
      <name val="Arial"/>
      <family val="2"/>
    </font>
    <font>
      <b/>
      <sz val="11"/>
      <color rgb="FF222222"/>
      <name val="Calibri"/>
      <family val="2"/>
      <scheme val="minor"/>
    </font>
    <font>
      <b/>
      <i/>
      <sz val="11"/>
      <color rgb="FF222222"/>
      <name val="Calibri"/>
      <family val="2"/>
      <scheme val="minor"/>
    </font>
    <font>
      <i/>
      <sz val="11"/>
      <color rgb="FF22222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A52A2A"/>
      <name val="Arial"/>
      <family val="2"/>
    </font>
    <font>
      <u/>
      <sz val="11"/>
      <color rgb="FF222222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1"/>
      <color rgb="FFA52A2A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color rgb="FF333333"/>
      <name val="Calibri"/>
      <family val="2"/>
      <scheme val="minor"/>
    </font>
    <font>
      <i/>
      <sz val="12"/>
      <color rgb="FF333333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333333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vertAlign val="subscript"/>
      <sz val="1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EAECF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A807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/>
      <right style="medium">
        <color rgb="FFA2A9B1"/>
      </right>
      <top/>
      <bottom/>
      <diagonal/>
    </border>
    <border>
      <left/>
      <right/>
      <top/>
      <bottom style="medium">
        <color rgb="FFA2A9B1"/>
      </bottom>
      <diagonal/>
    </border>
    <border>
      <left/>
      <right style="medium">
        <color rgb="FFA2A9B1"/>
      </right>
      <top/>
      <bottom style="medium">
        <color rgb="FFA2A9B1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/>
      <diagonal/>
    </border>
    <border>
      <left style="medium">
        <color rgb="FFA2A9B1"/>
      </left>
      <right style="medium">
        <color rgb="FFA2A9B1"/>
      </right>
      <top/>
      <bottom style="medium">
        <color rgb="FFA2A9B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3" fillId="0" borderId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44" fontId="1" fillId="0" borderId="0" applyFont="0" applyFill="0" applyBorder="0" applyAlignment="0" applyProtection="0"/>
    <xf numFmtId="0" fontId="17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</cellStyleXfs>
  <cellXfs count="8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164" fontId="2" fillId="0" borderId="0" xfId="1" applyNumberFormat="1" applyFont="1" applyAlignment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0" fillId="0" borderId="13" xfId="0" applyFont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0" fontId="11" fillId="2" borderId="6" xfId="0" applyFont="1" applyFill="1" applyBorder="1" applyAlignment="1" applyProtection="1">
      <alignment horizontal="center"/>
    </xf>
    <xf numFmtId="0" fontId="12" fillId="2" borderId="0" xfId="0" applyFont="1" applyFill="1" applyBorder="1" applyProtection="1"/>
    <xf numFmtId="0" fontId="12" fillId="2" borderId="7" xfId="0" applyFont="1" applyFill="1" applyBorder="1" applyProtection="1"/>
    <xf numFmtId="0" fontId="0" fillId="2" borderId="0" xfId="0" applyFont="1" applyFill="1" applyBorder="1" applyProtection="1"/>
    <xf numFmtId="0" fontId="0" fillId="2" borderId="4" xfId="0" applyFont="1" applyFill="1" applyBorder="1" applyProtection="1"/>
    <xf numFmtId="0" fontId="0" fillId="0" borderId="0" xfId="0" applyFont="1" applyProtection="1">
      <protection locked="0"/>
    </xf>
    <xf numFmtId="0" fontId="0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6" xfId="0" applyFont="1" applyFill="1" applyBorder="1" applyAlignment="1" applyProtection="1">
      <alignment horizontal="center"/>
    </xf>
    <xf numFmtId="0" fontId="0" fillId="2" borderId="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12" fillId="2" borderId="0" xfId="0" applyFont="1" applyFill="1" applyProtection="1">
      <protection locked="0"/>
    </xf>
    <xf numFmtId="0" fontId="2" fillId="0" borderId="2" xfId="0" applyNumberFormat="1" applyFont="1" applyFill="1" applyBorder="1" applyAlignment="1">
      <alignment horizontal="center"/>
    </xf>
    <xf numFmtId="0" fontId="0" fillId="0" borderId="12" xfId="0" applyNumberFormat="1" applyFont="1" applyFill="1" applyBorder="1" applyAlignment="1">
      <alignment horizontal="center"/>
    </xf>
    <xf numFmtId="0" fontId="12" fillId="0" borderId="0" xfId="0" applyFont="1" applyProtection="1">
      <protection locked="0"/>
    </xf>
    <xf numFmtId="0" fontId="12" fillId="2" borderId="9" xfId="0" applyFont="1" applyFill="1" applyBorder="1" applyProtection="1"/>
    <xf numFmtId="0" fontId="12" fillId="2" borderId="10" xfId="0" applyFont="1" applyFill="1" applyBorder="1" applyProtection="1"/>
    <xf numFmtId="0" fontId="12" fillId="2" borderId="0" xfId="0" applyFont="1" applyFill="1" applyBorder="1" applyAlignment="1" applyProtection="1">
      <alignment horizontal="right"/>
    </xf>
    <xf numFmtId="0" fontId="12" fillId="2" borderId="0" xfId="0" applyFont="1" applyFill="1" applyBorder="1" applyAlignment="1" applyProtection="1">
      <alignment horizontal="center"/>
    </xf>
    <xf numFmtId="0" fontId="0" fillId="2" borderId="17" xfId="0" applyFont="1" applyFill="1" applyBorder="1" applyProtection="1">
      <protection locked="0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7" fillId="0" borderId="11" xfId="2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1" xfId="0" applyNumberFormat="1" applyFont="1" applyFill="1" applyBorder="1" applyAlignment="1">
      <alignment horizontal="center"/>
    </xf>
    <xf numFmtId="0" fontId="7" fillId="0" borderId="11" xfId="2" quotePrefix="1" applyFont="1" applyBorder="1" applyAlignment="1">
      <alignment horizontal="center"/>
    </xf>
    <xf numFmtId="0" fontId="0" fillId="2" borderId="20" xfId="0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21" xfId="0" applyFon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3" fontId="0" fillId="0" borderId="0" xfId="0" applyNumberFormat="1" applyAlignment="1">
      <alignment horizontal="left"/>
    </xf>
    <xf numFmtId="0" fontId="16" fillId="0" borderId="0" xfId="0" applyFont="1"/>
    <xf numFmtId="2" fontId="0" fillId="0" borderId="0" xfId="0" applyNumberFormat="1" applyFont="1"/>
    <xf numFmtId="2" fontId="0" fillId="0" borderId="1" xfId="0" applyNumberFormat="1" applyFont="1" applyBorder="1"/>
    <xf numFmtId="0" fontId="0" fillId="0" borderId="22" xfId="0" applyNumberFormat="1" applyFont="1" applyBorder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23" xfId="0" applyNumberFormat="1" applyFont="1" applyBorder="1" applyAlignment="1">
      <alignment horizontal="center"/>
    </xf>
    <xf numFmtId="0" fontId="7" fillId="0" borderId="11" xfId="2" applyFill="1" applyBorder="1" applyAlignment="1">
      <alignment horizontal="center"/>
    </xf>
    <xf numFmtId="0" fontId="12" fillId="0" borderId="23" xfId="5" applyNumberFormat="1" applyFont="1" applyFill="1" applyBorder="1" applyAlignment="1">
      <alignment horizontal="center"/>
    </xf>
    <xf numFmtId="0" fontId="12" fillId="0" borderId="11" xfId="5" applyNumberFormat="1" applyFont="1" applyFill="1" applyBorder="1" applyAlignment="1">
      <alignment horizontal="center"/>
    </xf>
    <xf numFmtId="0" fontId="0" fillId="0" borderId="24" xfId="0" applyNumberFormat="1" applyFont="1" applyBorder="1" applyAlignment="1">
      <alignment horizontal="center"/>
    </xf>
    <xf numFmtId="0" fontId="12" fillId="0" borderId="25" xfId="5" applyNumberFormat="1" applyFont="1" applyFill="1" applyBorder="1" applyAlignment="1">
      <alignment horizontal="center"/>
    </xf>
    <xf numFmtId="3" fontId="0" fillId="0" borderId="0" xfId="0" applyNumberFormat="1" applyFont="1" applyProtection="1">
      <protection locked="0"/>
    </xf>
    <xf numFmtId="0" fontId="0" fillId="2" borderId="16" xfId="0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3" fontId="0" fillId="2" borderId="0" xfId="0" applyNumberFormat="1" applyFont="1" applyFill="1" applyBorder="1" applyProtection="1">
      <protection locked="0"/>
    </xf>
    <xf numFmtId="0" fontId="0" fillId="2" borderId="19" xfId="0" applyFont="1" applyFill="1" applyBorder="1" applyProtection="1">
      <protection locked="0"/>
    </xf>
    <xf numFmtId="3" fontId="0" fillId="2" borderId="20" xfId="0" applyNumberFormat="1" applyFont="1" applyFill="1" applyBorder="1" applyProtection="1">
      <protection locked="0"/>
    </xf>
    <xf numFmtId="9" fontId="14" fillId="4" borderId="0" xfId="4" applyNumberFormat="1" applyAlignment="1">
      <alignment horizontal="left"/>
    </xf>
    <xf numFmtId="3" fontId="0" fillId="2" borderId="14" xfId="0" applyNumberFormat="1" applyFont="1" applyFill="1" applyBorder="1" applyProtection="1">
      <protection locked="0"/>
    </xf>
    <xf numFmtId="3" fontId="0" fillId="2" borderId="21" xfId="0" applyNumberFormat="1" applyFont="1" applyFill="1" applyBorder="1" applyProtection="1">
      <protection locked="0"/>
    </xf>
    <xf numFmtId="3" fontId="14" fillId="4" borderId="0" xfId="4" applyNumberFormat="1" applyAlignment="1">
      <alignment horizontal="left"/>
    </xf>
    <xf numFmtId="3" fontId="12" fillId="0" borderId="1" xfId="0" applyNumberFormat="1" applyFont="1" applyFill="1" applyBorder="1" applyProtection="1">
      <protection locked="0"/>
    </xf>
    <xf numFmtId="9" fontId="12" fillId="0" borderId="1" xfId="1" applyFont="1" applyFill="1" applyBorder="1" applyProtection="1">
      <protection locked="0"/>
    </xf>
    <xf numFmtId="0" fontId="0" fillId="2" borderId="0" xfId="0" applyFill="1"/>
    <xf numFmtId="2" fontId="0" fillId="0" borderId="20" xfId="0" applyNumberFormat="1" applyFont="1" applyBorder="1"/>
    <xf numFmtId="0" fontId="0" fillId="0" borderId="20" xfId="0" applyBorder="1" applyAlignment="1">
      <alignment horizontal="center"/>
    </xf>
    <xf numFmtId="0" fontId="14" fillId="4" borderId="0" xfId="4"/>
    <xf numFmtId="2" fontId="0" fillId="8" borderId="0" xfId="0" applyNumberFormat="1" applyFont="1" applyFill="1"/>
    <xf numFmtId="9" fontId="0" fillId="0" borderId="0" xfId="0" applyNumberFormat="1"/>
    <xf numFmtId="15" fontId="0" fillId="0" borderId="0" xfId="0" applyNumberFormat="1"/>
    <xf numFmtId="0" fontId="0" fillId="8" borderId="0" xfId="0" applyFill="1"/>
    <xf numFmtId="0" fontId="12" fillId="2" borderId="16" xfId="0" applyFont="1" applyFill="1" applyBorder="1" applyProtection="1">
      <protection locked="0"/>
    </xf>
    <xf numFmtId="0" fontId="0" fillId="2" borderId="26" xfId="0" applyFill="1" applyBorder="1"/>
    <xf numFmtId="0" fontId="12" fillId="2" borderId="18" xfId="0" applyFont="1" applyFill="1" applyBorder="1" applyProtection="1"/>
    <xf numFmtId="9" fontId="0" fillId="2" borderId="27" xfId="0" applyNumberFormat="1" applyFill="1" applyBorder="1"/>
    <xf numFmtId="0" fontId="12" fillId="2" borderId="19" xfId="0" applyFont="1" applyFill="1" applyBorder="1" applyProtection="1"/>
    <xf numFmtId="0" fontId="12" fillId="2" borderId="20" xfId="0" applyFont="1" applyFill="1" applyBorder="1" applyProtection="1"/>
    <xf numFmtId="165" fontId="0" fillId="2" borderId="12" xfId="0" applyNumberFormat="1" applyFill="1" applyBorder="1"/>
    <xf numFmtId="0" fontId="0" fillId="2" borderId="12" xfId="0" applyFill="1" applyBorder="1"/>
    <xf numFmtId="0" fontId="12" fillId="2" borderId="26" xfId="0" applyFont="1" applyFill="1" applyBorder="1" applyProtection="1">
      <protection locked="0"/>
    </xf>
    <xf numFmtId="0" fontId="12" fillId="2" borderId="12" xfId="0" applyFont="1" applyFill="1" applyBorder="1" applyProtection="1"/>
    <xf numFmtId="0" fontId="12" fillId="2" borderId="27" xfId="0" applyFont="1" applyFill="1" applyBorder="1" applyProtection="1"/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 indent="1"/>
    </xf>
    <xf numFmtId="0" fontId="0" fillId="0" borderId="0" xfId="0" applyAlignment="1"/>
    <xf numFmtId="2" fontId="0" fillId="0" borderId="0" xfId="0" applyNumberFormat="1"/>
    <xf numFmtId="168" fontId="0" fillId="0" borderId="0" xfId="0" applyNumberFormat="1"/>
    <xf numFmtId="0" fontId="0" fillId="0" borderId="0" xfId="0" quotePrefix="1"/>
    <xf numFmtId="0" fontId="0" fillId="0" borderId="0" xfId="0" applyAlignment="1">
      <alignment vertical="center"/>
    </xf>
    <xf numFmtId="168" fontId="0" fillId="0" borderId="0" xfId="0" quotePrefix="1" applyNumberFormat="1" applyAlignment="1">
      <alignment vertical="center"/>
    </xf>
    <xf numFmtId="0" fontId="0" fillId="0" borderId="16" xfId="0" applyBorder="1"/>
    <xf numFmtId="168" fontId="0" fillId="0" borderId="26" xfId="0" applyNumberFormat="1" applyBorder="1"/>
    <xf numFmtId="0" fontId="0" fillId="0" borderId="18" xfId="0" applyBorder="1"/>
    <xf numFmtId="168" fontId="0" fillId="0" borderId="27" xfId="0" applyNumberFormat="1" applyBorder="1"/>
    <xf numFmtId="0" fontId="0" fillId="0" borderId="18" xfId="0" applyBorder="1" applyAlignment="1">
      <alignment vertical="center"/>
    </xf>
    <xf numFmtId="168" fontId="0" fillId="0" borderId="27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168" fontId="0" fillId="0" borderId="12" xfId="0" applyNumberFormat="1" applyBorder="1" applyAlignment="1">
      <alignment vertical="center"/>
    </xf>
    <xf numFmtId="0" fontId="0" fillId="0" borderId="19" xfId="0" applyBorder="1"/>
    <xf numFmtId="168" fontId="0" fillId="0" borderId="12" xfId="0" applyNumberFormat="1" applyBorder="1"/>
    <xf numFmtId="0" fontId="0" fillId="0" borderId="19" xfId="0" applyFont="1" applyBorder="1"/>
    <xf numFmtId="0" fontId="0" fillId="0" borderId="16" xfId="0" applyBorder="1" applyAlignment="1">
      <alignment vertical="center"/>
    </xf>
    <xf numFmtId="168" fontId="0" fillId="0" borderId="26" xfId="0" applyNumberFormat="1" applyBorder="1" applyAlignment="1">
      <alignment vertical="center"/>
    </xf>
    <xf numFmtId="0" fontId="0" fillId="0" borderId="26" xfId="0" applyBorder="1"/>
    <xf numFmtId="0" fontId="0" fillId="0" borderId="12" xfId="0" applyBorder="1"/>
    <xf numFmtId="0" fontId="14" fillId="4" borderId="26" xfId="4" applyBorder="1"/>
    <xf numFmtId="0" fontId="14" fillId="4" borderId="12" xfId="4" applyBorder="1"/>
    <xf numFmtId="0" fontId="14" fillId="4" borderId="0" xfId="4" applyBorder="1"/>
    <xf numFmtId="0" fontId="14" fillId="4" borderId="20" xfId="4" applyBorder="1"/>
    <xf numFmtId="0" fontId="0" fillId="0" borderId="0" xfId="0" applyFill="1" applyBorder="1" applyAlignment="1">
      <alignment vertical="center"/>
    </xf>
    <xf numFmtId="3" fontId="0" fillId="0" borderId="0" xfId="0" applyNumberFormat="1"/>
    <xf numFmtId="0" fontId="12" fillId="2" borderId="17" xfId="0" applyFont="1" applyFill="1" applyBorder="1" applyAlignment="1" applyProtection="1">
      <alignment horizontal="right"/>
      <protection locked="0"/>
    </xf>
    <xf numFmtId="0" fontId="12" fillId="2" borderId="26" xfId="0" applyFont="1" applyFill="1" applyBorder="1" applyAlignment="1" applyProtection="1">
      <alignment horizontal="right"/>
      <protection locked="0"/>
    </xf>
    <xf numFmtId="3" fontId="12" fillId="2" borderId="0" xfId="0" applyNumberFormat="1" applyFont="1" applyFill="1" applyBorder="1" applyProtection="1">
      <protection locked="0"/>
    </xf>
    <xf numFmtId="3" fontId="12" fillId="2" borderId="27" xfId="0" applyNumberFormat="1" applyFont="1" applyFill="1" applyBorder="1" applyProtection="1">
      <protection locked="0"/>
    </xf>
    <xf numFmtId="3" fontId="12" fillId="2" borderId="20" xfId="0" applyNumberFormat="1" applyFont="1" applyFill="1" applyBorder="1" applyProtection="1">
      <protection locked="0"/>
    </xf>
    <xf numFmtId="3" fontId="12" fillId="2" borderId="12" xfId="0" applyNumberFormat="1" applyFont="1" applyFill="1" applyBorder="1" applyProtection="1">
      <protection locked="0"/>
    </xf>
    <xf numFmtId="0" fontId="12" fillId="2" borderId="20" xfId="0" applyFont="1" applyFill="1" applyBorder="1" applyAlignment="1" applyProtection="1">
      <alignment horizontal="right"/>
      <protection locked="0"/>
    </xf>
    <xf numFmtId="0" fontId="12" fillId="2" borderId="12" xfId="0" applyFont="1" applyFill="1" applyBorder="1" applyAlignment="1" applyProtection="1">
      <alignment horizontal="right"/>
      <protection locked="0"/>
    </xf>
    <xf numFmtId="0" fontId="12" fillId="2" borderId="15" xfId="0" applyFont="1" applyFill="1" applyBorder="1" applyProtection="1">
      <protection locked="0"/>
    </xf>
    <xf numFmtId="0" fontId="12" fillId="2" borderId="14" xfId="0" applyFont="1" applyFill="1" applyBorder="1" applyAlignment="1" applyProtection="1">
      <alignment horizontal="center"/>
      <protection locked="0"/>
    </xf>
    <xf numFmtId="0" fontId="12" fillId="2" borderId="21" xfId="0" applyFont="1" applyFill="1" applyBorder="1" applyAlignment="1" applyProtection="1">
      <alignment horizontal="center"/>
      <protection locked="0"/>
    </xf>
    <xf numFmtId="0" fontId="22" fillId="0" borderId="0" xfId="0" applyFont="1" applyAlignment="1">
      <alignment horizontal="left" vertical="center" indent="1"/>
    </xf>
    <xf numFmtId="169" fontId="0" fillId="0" borderId="0" xfId="0" applyNumberFormat="1" applyFont="1"/>
    <xf numFmtId="169" fontId="14" fillId="4" borderId="0" xfId="4" applyNumberFormat="1"/>
    <xf numFmtId="0" fontId="0" fillId="0" borderId="15" xfId="0" applyFont="1" applyBorder="1"/>
    <xf numFmtId="0" fontId="23" fillId="0" borderId="13" xfId="0" quotePrefix="1" applyFont="1" applyBorder="1" applyAlignment="1">
      <alignment horizontal="center"/>
    </xf>
    <xf numFmtId="0" fontId="23" fillId="0" borderId="29" xfId="0" quotePrefix="1" applyFont="1" applyBorder="1" applyAlignment="1">
      <alignment horizontal="center"/>
    </xf>
    <xf numFmtId="0" fontId="23" fillId="0" borderId="30" xfId="0" quotePrefix="1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/>
    </xf>
    <xf numFmtId="3" fontId="0" fillId="0" borderId="27" xfId="0" quotePrefix="1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20" xfId="0" applyNumberFormat="1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0" fontId="0" fillId="0" borderId="21" xfId="0" applyNumberFormat="1" applyFont="1" applyBorder="1" applyAlignment="1">
      <alignment horizontal="center"/>
    </xf>
    <xf numFmtId="3" fontId="0" fillId="8" borderId="0" xfId="0" applyNumberFormat="1" applyFont="1" applyFill="1" applyBorder="1" applyAlignment="1">
      <alignment horizontal="center"/>
    </xf>
    <xf numFmtId="164" fontId="0" fillId="0" borderId="27" xfId="1" applyNumberFormat="1" applyFont="1" applyBorder="1" applyAlignment="1">
      <alignment horizontal="center"/>
    </xf>
    <xf numFmtId="3" fontId="0" fillId="8" borderId="20" xfId="0" applyNumberFormat="1" applyFont="1" applyFill="1" applyBorder="1" applyAlignment="1">
      <alignment horizontal="center"/>
    </xf>
    <xf numFmtId="0" fontId="0" fillId="2" borderId="0" xfId="0" applyFont="1" applyFill="1" applyProtection="1">
      <protection locked="0"/>
    </xf>
    <xf numFmtId="0" fontId="0" fillId="2" borderId="0" xfId="0" applyFont="1" applyFill="1" applyAlignment="1" applyProtection="1">
      <alignment horizontal="left"/>
      <protection locked="0"/>
    </xf>
    <xf numFmtId="3" fontId="0" fillId="0" borderId="0" xfId="0" quotePrefix="1" applyNumberFormat="1" applyFont="1" applyAlignment="1">
      <alignment horizontal="left"/>
    </xf>
    <xf numFmtId="3" fontId="0" fillId="0" borderId="0" xfId="0" quotePrefix="1" applyNumberFormat="1" applyFont="1"/>
    <xf numFmtId="3" fontId="0" fillId="0" borderId="0" xfId="0" applyNumberFormat="1" applyFont="1"/>
    <xf numFmtId="3" fontId="0" fillId="0" borderId="1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169" fontId="14" fillId="4" borderId="30" xfId="4" applyNumberFormat="1" applyBorder="1" applyAlignment="1">
      <alignment horizontal="center"/>
    </xf>
    <xf numFmtId="0" fontId="0" fillId="0" borderId="0" xfId="0" quotePrefix="1" applyFont="1" applyProtection="1">
      <protection locked="0"/>
    </xf>
    <xf numFmtId="3" fontId="0" fillId="0" borderId="17" xfId="0" applyNumberFormat="1" applyFont="1" applyBorder="1"/>
    <xf numFmtId="3" fontId="0" fillId="0" borderId="26" xfId="0" applyNumberFormat="1" applyFont="1" applyBorder="1"/>
    <xf numFmtId="3" fontId="0" fillId="0" borderId="18" xfId="0" applyNumberFormat="1" applyFont="1" applyBorder="1"/>
    <xf numFmtId="3" fontId="0" fillId="0" borderId="0" xfId="0" applyNumberFormat="1" applyFont="1" applyBorder="1"/>
    <xf numFmtId="3" fontId="0" fillId="0" borderId="27" xfId="0" applyNumberFormat="1" applyFont="1" applyBorder="1"/>
    <xf numFmtId="0" fontId="0" fillId="0" borderId="0" xfId="0" applyFont="1" applyBorder="1"/>
    <xf numFmtId="0" fontId="0" fillId="0" borderId="27" xfId="0" applyFont="1" applyBorder="1"/>
    <xf numFmtId="3" fontId="0" fillId="0" borderId="19" xfId="0" applyNumberFormat="1" applyFont="1" applyBorder="1"/>
    <xf numFmtId="3" fontId="0" fillId="0" borderId="20" xfId="0" applyNumberFormat="1" applyFont="1" applyBorder="1"/>
    <xf numFmtId="3" fontId="0" fillId="0" borderId="12" xfId="0" applyNumberFormat="1" applyFont="1" applyBorder="1"/>
    <xf numFmtId="3" fontId="0" fillId="2" borderId="16" xfId="0" applyNumberFormat="1" applyFont="1" applyFill="1" applyBorder="1"/>
    <xf numFmtId="3" fontId="0" fillId="2" borderId="17" xfId="0" applyNumberFormat="1" applyFont="1" applyFill="1" applyBorder="1"/>
    <xf numFmtId="3" fontId="0" fillId="2" borderId="26" xfId="0" applyNumberFormat="1" applyFont="1" applyFill="1" applyBorder="1"/>
    <xf numFmtId="3" fontId="0" fillId="2" borderId="26" xfId="0" applyNumberFormat="1" applyFill="1" applyBorder="1" applyAlignment="1">
      <alignment horizontal="right"/>
    </xf>
    <xf numFmtId="3" fontId="0" fillId="2" borderId="0" xfId="0" applyNumberFormat="1" applyFont="1" applyFill="1"/>
    <xf numFmtId="3" fontId="0" fillId="2" borderId="18" xfId="0" applyNumberFormat="1" applyFont="1" applyFill="1" applyBorder="1"/>
    <xf numFmtId="3" fontId="0" fillId="2" borderId="0" xfId="0" applyNumberFormat="1" applyFont="1" applyFill="1" applyBorder="1"/>
    <xf numFmtId="3" fontId="0" fillId="2" borderId="27" xfId="0" applyNumberFormat="1" applyFont="1" applyFill="1" applyBorder="1"/>
    <xf numFmtId="3" fontId="0" fillId="2" borderId="27" xfId="0" applyNumberFormat="1" applyFill="1" applyBorder="1" applyAlignment="1">
      <alignment horizontal="right"/>
    </xf>
    <xf numFmtId="0" fontId="0" fillId="2" borderId="0" xfId="0" applyFont="1" applyFill="1" applyBorder="1"/>
    <xf numFmtId="0" fontId="0" fillId="2" borderId="27" xfId="0" applyFont="1" applyFill="1" applyBorder="1"/>
    <xf numFmtId="9" fontId="0" fillId="2" borderId="26" xfId="1" applyFont="1" applyFill="1" applyBorder="1"/>
    <xf numFmtId="3" fontId="0" fillId="2" borderId="19" xfId="0" applyNumberFormat="1" applyFont="1" applyFill="1" applyBorder="1"/>
    <xf numFmtId="3" fontId="0" fillId="2" borderId="20" xfId="0" applyNumberFormat="1" applyFont="1" applyFill="1" applyBorder="1"/>
    <xf numFmtId="3" fontId="0" fillId="2" borderId="12" xfId="0" applyNumberFormat="1" applyFont="1" applyFill="1" applyBorder="1"/>
    <xf numFmtId="9" fontId="0" fillId="2" borderId="12" xfId="1" applyFont="1" applyFill="1" applyBorder="1"/>
    <xf numFmtId="0" fontId="17" fillId="6" borderId="0" xfId="7" applyAlignment="1">
      <alignment horizontal="center"/>
    </xf>
    <xf numFmtId="3" fontId="0" fillId="0" borderId="0" xfId="0" applyNumberFormat="1" applyFont="1" applyAlignment="1">
      <alignment horizontal="left"/>
    </xf>
    <xf numFmtId="3" fontId="0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right"/>
    </xf>
    <xf numFmtId="3" fontId="0" fillId="0" borderId="0" xfId="0" quotePrefix="1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14" fillId="4" borderId="0" xfId="4" applyAlignment="1">
      <alignment horizontal="center"/>
    </xf>
    <xf numFmtId="4" fontId="0" fillId="0" borderId="0" xfId="0" applyNumberFormat="1" applyFont="1"/>
    <xf numFmtId="4" fontId="0" fillId="0" borderId="0" xfId="0" applyNumberFormat="1" applyFont="1" applyAlignment="1">
      <alignment horizontal="center"/>
    </xf>
    <xf numFmtId="170" fontId="14" fillId="4" borderId="0" xfId="4" applyNumberFormat="1" applyAlignment="1">
      <alignment horizontal="center"/>
    </xf>
    <xf numFmtId="3" fontId="24" fillId="0" borderId="0" xfId="0" applyNumberFormat="1" applyFont="1"/>
    <xf numFmtId="0" fontId="0" fillId="0" borderId="17" xfId="0" applyFont="1" applyBorder="1"/>
    <xf numFmtId="0" fontId="0" fillId="0" borderId="26" xfId="0" applyFont="1" applyBorder="1"/>
    <xf numFmtId="0" fontId="0" fillId="2" borderId="17" xfId="0" applyFont="1" applyFill="1" applyBorder="1"/>
    <xf numFmtId="0" fontId="0" fillId="2" borderId="26" xfId="0" applyFont="1" applyFill="1" applyBorder="1"/>
    <xf numFmtId="0" fontId="0" fillId="2" borderId="20" xfId="0" applyFont="1" applyFill="1" applyBorder="1"/>
    <xf numFmtId="0" fontId="0" fillId="2" borderId="12" xfId="0" applyFont="1" applyFill="1" applyBorder="1"/>
    <xf numFmtId="3" fontId="0" fillId="2" borderId="12" xfId="0" applyNumberFormat="1" applyFill="1" applyBorder="1" applyAlignment="1">
      <alignment horizontal="right"/>
    </xf>
    <xf numFmtId="9" fontId="0" fillId="2" borderId="27" xfId="1" applyFont="1" applyFill="1" applyBorder="1"/>
    <xf numFmtId="3" fontId="25" fillId="0" borderId="0" xfId="0" applyNumberFormat="1" applyFont="1" applyAlignment="1">
      <alignment horizontal="right"/>
    </xf>
    <xf numFmtId="164" fontId="1" fillId="0" borderId="0" xfId="1" applyNumberFormat="1" applyFont="1" applyAlignment="1">
      <alignment horizontal="right"/>
    </xf>
    <xf numFmtId="3" fontId="25" fillId="0" borderId="0" xfId="0" applyNumberFormat="1" applyFont="1" applyAlignment="1">
      <alignment horizontal="left"/>
    </xf>
    <xf numFmtId="164" fontId="17" fillId="6" borderId="17" xfId="7" applyNumberFormat="1" applyBorder="1" applyAlignment="1">
      <alignment horizontal="right"/>
    </xf>
    <xf numFmtId="3" fontId="0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center"/>
    </xf>
    <xf numFmtId="170" fontId="12" fillId="0" borderId="0" xfId="0" quotePrefix="1" applyNumberFormat="1" applyFont="1" applyAlignment="1">
      <alignment horizontal="center"/>
    </xf>
    <xf numFmtId="164" fontId="17" fillId="6" borderId="0" xfId="7" applyNumberFormat="1" applyAlignment="1">
      <alignment horizontal="center"/>
    </xf>
    <xf numFmtId="164" fontId="14" fillId="4" borderId="0" xfId="1" applyNumberFormat="1" applyFont="1" applyFill="1" applyAlignment="1">
      <alignment horizontal="center"/>
    </xf>
    <xf numFmtId="3" fontId="2" fillId="0" borderId="0" xfId="0" applyNumberFormat="1" applyFont="1"/>
    <xf numFmtId="3" fontId="0" fillId="0" borderId="15" xfId="0" applyNumberFormat="1" applyFont="1" applyBorder="1" applyAlignment="1">
      <alignment horizontal="center"/>
    </xf>
    <xf numFmtId="3" fontId="0" fillId="0" borderId="26" xfId="0" applyNumberFormat="1" applyFont="1" applyBorder="1" applyAlignment="1">
      <alignment horizontal="right"/>
    </xf>
    <xf numFmtId="3" fontId="0" fillId="0" borderId="12" xfId="0" applyNumberFormat="1" applyFont="1" applyBorder="1" applyAlignment="1">
      <alignment horizontal="right"/>
    </xf>
    <xf numFmtId="1" fontId="0" fillId="0" borderId="21" xfId="0" applyNumberFormat="1" applyFont="1" applyBorder="1" applyAlignment="1">
      <alignment horizontal="center"/>
    </xf>
    <xf numFmtId="3" fontId="0" fillId="0" borderId="21" xfId="0" applyNumberFormat="1" applyFont="1" applyBorder="1"/>
    <xf numFmtId="1" fontId="0" fillId="0" borderId="14" xfId="0" applyNumberFormat="1" applyFont="1" applyBorder="1" applyAlignment="1">
      <alignment horizontal="center"/>
    </xf>
    <xf numFmtId="3" fontId="0" fillId="0" borderId="14" xfId="0" applyNumberFormat="1" applyFont="1" applyBorder="1"/>
    <xf numFmtId="3" fontId="0" fillId="0" borderId="13" xfId="0" applyNumberFormat="1" applyFont="1" applyBorder="1"/>
    <xf numFmtId="3" fontId="0" fillId="0" borderId="30" xfId="0" applyNumberFormat="1" applyFont="1" applyBorder="1"/>
    <xf numFmtId="3" fontId="6" fillId="0" borderId="0" xfId="0" applyNumberFormat="1" applyFont="1"/>
    <xf numFmtId="3" fontId="2" fillId="2" borderId="0" xfId="0" applyNumberFormat="1" applyFont="1" applyFill="1"/>
    <xf numFmtId="0" fontId="0" fillId="2" borderId="0" xfId="0" applyFont="1" applyFill="1"/>
    <xf numFmtId="3" fontId="0" fillId="2" borderId="0" xfId="0" applyNumberFormat="1" applyFill="1"/>
    <xf numFmtId="3" fontId="0" fillId="2" borderId="15" xfId="0" applyNumberFormat="1" applyFont="1" applyFill="1" applyBorder="1" applyAlignment="1">
      <alignment horizontal="center"/>
    </xf>
    <xf numFmtId="3" fontId="0" fillId="2" borderId="17" xfId="0" applyNumberFormat="1" applyFont="1" applyFill="1" applyBorder="1" applyAlignment="1">
      <alignment horizontal="right"/>
    </xf>
    <xf numFmtId="3" fontId="0" fillId="2" borderId="26" xfId="0" applyNumberFormat="1" applyFont="1" applyFill="1" applyBorder="1" applyAlignment="1">
      <alignment horizontal="right"/>
    </xf>
    <xf numFmtId="3" fontId="0" fillId="2" borderId="14" xfId="0" applyNumberFormat="1" applyFont="1" applyFill="1" applyBorder="1" applyAlignment="1">
      <alignment horizontal="center"/>
    </xf>
    <xf numFmtId="3" fontId="0" fillId="2" borderId="20" xfId="0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3" fontId="0" fillId="2" borderId="15" xfId="0" applyNumberFormat="1" applyFont="1" applyFill="1" applyBorder="1"/>
    <xf numFmtId="4" fontId="0" fillId="2" borderId="2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3" fontId="0" fillId="2" borderId="21" xfId="0" applyNumberFormat="1" applyFont="1" applyFill="1" applyBorder="1"/>
    <xf numFmtId="4" fontId="0" fillId="2" borderId="27" xfId="0" applyNumberFormat="1" applyFont="1" applyFill="1" applyBorder="1" applyAlignment="1">
      <alignment horizontal="center"/>
    </xf>
    <xf numFmtId="171" fontId="0" fillId="2" borderId="27" xfId="6" applyNumberFormat="1" applyFont="1" applyFill="1" applyBorder="1"/>
    <xf numFmtId="1" fontId="0" fillId="2" borderId="14" xfId="0" applyNumberFormat="1" applyFont="1" applyFill="1" applyBorder="1" applyAlignment="1">
      <alignment horizontal="center"/>
    </xf>
    <xf numFmtId="3" fontId="0" fillId="2" borderId="14" xfId="0" applyNumberFormat="1" applyFont="1" applyFill="1" applyBorder="1"/>
    <xf numFmtId="4" fontId="0" fillId="2" borderId="12" xfId="0" applyNumberFormat="1" applyFont="1" applyFill="1" applyBorder="1" applyAlignment="1">
      <alignment horizontal="center"/>
    </xf>
    <xf numFmtId="3" fontId="0" fillId="2" borderId="13" xfId="0" applyNumberFormat="1" applyFont="1" applyFill="1" applyBorder="1"/>
    <xf numFmtId="3" fontId="0" fillId="2" borderId="30" xfId="0" applyNumberFormat="1" applyFont="1" applyFill="1" applyBorder="1"/>
    <xf numFmtId="9" fontId="0" fillId="2" borderId="30" xfId="1" applyFont="1" applyFill="1" applyBorder="1"/>
    <xf numFmtId="0" fontId="2" fillId="2" borderId="0" xfId="0" applyFont="1" applyFill="1"/>
    <xf numFmtId="3" fontId="6" fillId="2" borderId="0" xfId="0" applyNumberFormat="1" applyFont="1" applyFill="1"/>
    <xf numFmtId="164" fontId="0" fillId="2" borderId="26" xfId="1" applyNumberFormat="1" applyFont="1" applyFill="1" applyBorder="1"/>
    <xf numFmtId="164" fontId="0" fillId="2" borderId="12" xfId="1" applyNumberFormat="1" applyFont="1" applyFill="1" applyBorder="1"/>
    <xf numFmtId="1" fontId="0" fillId="2" borderId="13" xfId="0" applyNumberFormat="1" applyFont="1" applyFill="1" applyBorder="1" applyAlignment="1">
      <alignment horizontal="center"/>
    </xf>
    <xf numFmtId="0" fontId="0" fillId="2" borderId="29" xfId="0" quotePrefix="1" applyNumberFormat="1" applyFont="1" applyFill="1" applyBorder="1" applyAlignment="1">
      <alignment horizontal="center"/>
    </xf>
    <xf numFmtId="0" fontId="0" fillId="2" borderId="30" xfId="0" quotePrefix="1" applyNumberFormat="1" applyFont="1" applyFill="1" applyBorder="1" applyAlignment="1">
      <alignment horizontal="center"/>
    </xf>
    <xf numFmtId="3" fontId="0" fillId="2" borderId="18" xfId="0" applyNumberFormat="1" applyFont="1" applyFill="1" applyBorder="1" applyAlignment="1">
      <alignment horizontal="center"/>
    </xf>
    <xf numFmtId="3" fontId="2" fillId="2" borderId="27" xfId="0" applyNumberFormat="1" applyFont="1" applyFill="1" applyBorder="1" applyAlignment="1">
      <alignment horizontal="center"/>
    </xf>
    <xf numFmtId="3" fontId="0" fillId="2" borderId="19" xfId="0" applyNumberFormat="1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3" fontId="2" fillId="2" borderId="13" xfId="0" applyNumberFormat="1" applyFont="1" applyFill="1" applyBorder="1"/>
    <xf numFmtId="3" fontId="0" fillId="2" borderId="29" xfId="0" applyNumberFormat="1" applyFont="1" applyFill="1" applyBorder="1"/>
    <xf numFmtId="1" fontId="0" fillId="2" borderId="30" xfId="0" applyNumberFormat="1" applyFont="1" applyFill="1" applyBorder="1" applyAlignment="1">
      <alignment horizontal="center"/>
    </xf>
    <xf numFmtId="3" fontId="5" fillId="2" borderId="18" xfId="0" applyNumberFormat="1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24" fillId="0" borderId="0" xfId="0" applyFont="1"/>
    <xf numFmtId="1" fontId="0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3" fontId="0" fillId="0" borderId="27" xfId="0" applyNumberFormat="1" applyFont="1" applyBorder="1" applyAlignment="1">
      <alignment horizontal="right"/>
    </xf>
    <xf numFmtId="3" fontId="0" fillId="0" borderId="21" xfId="0" applyNumberFormat="1" applyFont="1" applyFill="1" applyBorder="1"/>
    <xf numFmtId="4" fontId="0" fillId="0" borderId="27" xfId="0" applyNumberFormat="1" applyFont="1" applyBorder="1" applyAlignment="1">
      <alignment horizontal="center"/>
    </xf>
    <xf numFmtId="3" fontId="17" fillId="6" borderId="21" xfId="7" applyNumberFormat="1" applyBorder="1"/>
    <xf numFmtId="3" fontId="0" fillId="0" borderId="14" xfId="0" applyNumberFormat="1" applyFont="1" applyFill="1" applyBorder="1"/>
    <xf numFmtId="4" fontId="0" fillId="0" borderId="12" xfId="0" applyNumberFormat="1" applyFont="1" applyBorder="1" applyAlignment="1">
      <alignment horizontal="center"/>
    </xf>
    <xf numFmtId="3" fontId="17" fillId="6" borderId="14" xfId="7" applyNumberFormat="1" applyBorder="1"/>
    <xf numFmtId="3" fontId="0" fillId="7" borderId="0" xfId="8" applyNumberFormat="1" applyFont="1" applyAlignment="1">
      <alignment horizontal="center"/>
    </xf>
    <xf numFmtId="170" fontId="1" fillId="7" borderId="0" xfId="8" applyNumberFormat="1" applyAlignment="1">
      <alignment horizontal="left"/>
    </xf>
    <xf numFmtId="3" fontId="14" fillId="4" borderId="0" xfId="4" applyNumberFormat="1" applyAlignment="1">
      <alignment horizontal="center"/>
    </xf>
    <xf numFmtId="3" fontId="0" fillId="0" borderId="29" xfId="0" applyNumberFormat="1" applyFont="1" applyBorder="1" applyAlignment="1">
      <alignment horizontal="right"/>
    </xf>
    <xf numFmtId="3" fontId="0" fillId="0" borderId="29" xfId="0" applyNumberFormat="1" applyFont="1" applyBorder="1"/>
    <xf numFmtId="3" fontId="0" fillId="0" borderId="29" xfId="0" quotePrefix="1" applyNumberFormat="1" applyFont="1" applyBorder="1" applyAlignment="1">
      <alignment horizontal="center"/>
    </xf>
    <xf numFmtId="9" fontId="0" fillId="0" borderId="0" xfId="1" applyFont="1" applyAlignment="1">
      <alignment horizontal="left"/>
    </xf>
    <xf numFmtId="9" fontId="0" fillId="0" borderId="1" xfId="1" applyFont="1" applyBorder="1" applyAlignment="1">
      <alignment horizontal="left"/>
    </xf>
    <xf numFmtId="171" fontId="0" fillId="0" borderId="1" xfId="6" applyNumberFormat="1" applyFont="1" applyBorder="1"/>
    <xf numFmtId="4" fontId="14" fillId="4" borderId="0" xfId="4" applyNumberFormat="1" applyAlignment="1">
      <alignment horizontal="center"/>
    </xf>
    <xf numFmtId="3" fontId="16" fillId="2" borderId="18" xfId="0" applyNumberFormat="1" applyFont="1" applyFill="1" applyBorder="1" applyAlignment="1">
      <alignment horizontal="left"/>
    </xf>
    <xf numFmtId="0" fontId="29" fillId="0" borderId="0" xfId="0" applyFont="1"/>
    <xf numFmtId="0" fontId="5" fillId="0" borderId="0" xfId="0" applyFont="1" applyAlignment="1">
      <alignment horizontal="left" vertical="center" indent="3"/>
    </xf>
    <xf numFmtId="0" fontId="22" fillId="0" borderId="0" xfId="0" applyFont="1" applyAlignment="1">
      <alignment horizontal="left" vertical="center" indent="5"/>
    </xf>
    <xf numFmtId="0" fontId="2" fillId="2" borderId="20" xfId="0" applyFont="1" applyFill="1" applyBorder="1"/>
    <xf numFmtId="0" fontId="12" fillId="2" borderId="20" xfId="0" applyFont="1" applyFill="1" applyBorder="1" applyProtection="1">
      <protection locked="0"/>
    </xf>
    <xf numFmtId="0" fontId="11" fillId="2" borderId="20" xfId="0" applyFont="1" applyFill="1" applyBorder="1" applyProtection="1"/>
    <xf numFmtId="3" fontId="0" fillId="0" borderId="17" xfId="0" applyNumberFormat="1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3" fontId="0" fillId="8" borderId="27" xfId="0" applyNumberFormat="1" applyFont="1" applyFill="1" applyBorder="1" applyAlignment="1">
      <alignment horizontal="center"/>
    </xf>
    <xf numFmtId="3" fontId="0" fillId="8" borderId="12" xfId="0" applyNumberFormat="1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3" fontId="16" fillId="0" borderId="26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3" fontId="0" fillId="0" borderId="19" xfId="0" applyNumberFormat="1" applyFont="1" applyBorder="1" applyAlignment="1">
      <alignment horizontal="center"/>
    </xf>
    <xf numFmtId="172" fontId="0" fillId="0" borderId="0" xfId="0" applyNumberFormat="1" applyFont="1" applyBorder="1" applyAlignment="1">
      <alignment horizontal="center"/>
    </xf>
    <xf numFmtId="172" fontId="14" fillId="4" borderId="27" xfId="4" applyNumberFormat="1" applyBorder="1" applyAlignment="1">
      <alignment horizontal="center"/>
    </xf>
    <xf numFmtId="3" fontId="16" fillId="0" borderId="0" xfId="0" applyNumberFormat="1" applyFont="1"/>
    <xf numFmtId="172" fontId="0" fillId="0" borderId="20" xfId="0" applyNumberFormat="1" applyFont="1" applyBorder="1" applyAlignment="1">
      <alignment horizontal="center"/>
    </xf>
    <xf numFmtId="172" fontId="14" fillId="4" borderId="12" xfId="4" applyNumberFormat="1" applyBorder="1" applyAlignment="1">
      <alignment horizontal="center"/>
    </xf>
    <xf numFmtId="172" fontId="0" fillId="0" borderId="29" xfId="0" applyNumberFormat="1" applyFont="1" applyBorder="1" applyAlignment="1">
      <alignment horizontal="center"/>
    </xf>
    <xf numFmtId="172" fontId="0" fillId="0" borderId="30" xfId="0" applyNumberFormat="1" applyFont="1" applyBorder="1" applyAlignment="1">
      <alignment horizontal="center"/>
    </xf>
    <xf numFmtId="172" fontId="16" fillId="0" borderId="0" xfId="0" applyNumberFormat="1" applyFont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2" borderId="17" xfId="0" applyNumberFormat="1" applyFont="1" applyFill="1" applyBorder="1" applyAlignment="1">
      <alignment horizontal="center"/>
    </xf>
    <xf numFmtId="3" fontId="0" fillId="2" borderId="26" xfId="0" applyNumberFormat="1" applyFont="1" applyFill="1" applyBorder="1" applyAlignment="1">
      <alignment horizontal="center"/>
    </xf>
    <xf numFmtId="3" fontId="0" fillId="2" borderId="21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0" fillId="2" borderId="27" xfId="0" applyNumberFormat="1" applyFont="1" applyFill="1" applyBorder="1" applyAlignment="1">
      <alignment horizontal="center"/>
    </xf>
    <xf numFmtId="3" fontId="0" fillId="2" borderId="20" xfId="0" applyNumberFormat="1" applyFont="1" applyFill="1" applyBorder="1" applyAlignment="1">
      <alignment horizontal="center"/>
    </xf>
    <xf numFmtId="3" fontId="0" fillId="2" borderId="12" xfId="0" applyNumberFormat="1" applyFont="1" applyFill="1" applyBorder="1" applyAlignment="1">
      <alignment horizontal="center"/>
    </xf>
    <xf numFmtId="3" fontId="0" fillId="2" borderId="1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12" fillId="2" borderId="0" xfId="0" applyFont="1" applyFill="1" applyBorder="1" applyAlignment="1" applyProtection="1"/>
    <xf numFmtId="3" fontId="0" fillId="0" borderId="0" xfId="0" quotePrefix="1" applyNumberFormat="1" applyFont="1" applyAlignment="1">
      <alignment horizontal="right"/>
    </xf>
    <xf numFmtId="3" fontId="0" fillId="0" borderId="0" xfId="0" applyNumberFormat="1" applyAlignment="1">
      <alignment horizontal="center"/>
    </xf>
    <xf numFmtId="3" fontId="16" fillId="0" borderId="0" xfId="0" applyNumberFormat="1" applyFont="1" applyAlignment="1">
      <alignment horizontal="left"/>
    </xf>
    <xf numFmtId="3" fontId="16" fillId="0" borderId="0" xfId="0" applyNumberFormat="1" applyFont="1" applyAlignment="1">
      <alignment horizontal="center"/>
    </xf>
    <xf numFmtId="3" fontId="0" fillId="2" borderId="0" xfId="0" applyNumberFormat="1" applyFont="1" applyFill="1" applyAlignment="1">
      <alignment horizontal="right"/>
    </xf>
    <xf numFmtId="3" fontId="0" fillId="2" borderId="0" xfId="0" quotePrefix="1" applyNumberFormat="1" applyFont="1" applyFill="1" applyAlignment="1">
      <alignment horizontal="right"/>
    </xf>
    <xf numFmtId="3" fontId="0" fillId="2" borderId="0" xfId="0" applyNumberFormat="1" applyFill="1" applyAlignment="1">
      <alignment horizontal="center"/>
    </xf>
    <xf numFmtId="3" fontId="16" fillId="2" borderId="0" xfId="0" applyNumberFormat="1" applyFont="1" applyFill="1" applyAlignment="1">
      <alignment horizontal="right"/>
    </xf>
    <xf numFmtId="3" fontId="16" fillId="2" borderId="0" xfId="0" applyNumberFormat="1" applyFont="1" applyFill="1" applyAlignment="1">
      <alignment horizontal="left"/>
    </xf>
    <xf numFmtId="3" fontId="30" fillId="2" borderId="0" xfId="0" applyNumberFormat="1" applyFont="1" applyFill="1" applyBorder="1" applyAlignment="1">
      <alignment horizontal="center"/>
    </xf>
    <xf numFmtId="3" fontId="30" fillId="2" borderId="21" xfId="0" applyNumberFormat="1" applyFont="1" applyFill="1" applyBorder="1" applyAlignment="1">
      <alignment horizontal="center"/>
    </xf>
    <xf numFmtId="3" fontId="5" fillId="2" borderId="0" xfId="0" applyNumberFormat="1" applyFont="1" applyFill="1"/>
    <xf numFmtId="3" fontId="16" fillId="2" borderId="1" xfId="0" applyNumberFormat="1" applyFont="1" applyFill="1" applyBorder="1"/>
    <xf numFmtId="3" fontId="16" fillId="2" borderId="0" xfId="0" applyNumberFormat="1" applyFont="1" applyFill="1" applyAlignment="1">
      <alignment horizontal="center"/>
    </xf>
    <xf numFmtId="3" fontId="31" fillId="2" borderId="0" xfId="0" applyNumberFormat="1" applyFont="1" applyFill="1" applyAlignment="1">
      <alignment horizontal="center"/>
    </xf>
    <xf numFmtId="3" fontId="16" fillId="2" borderId="0" xfId="0" applyNumberFormat="1" applyFont="1" applyFill="1"/>
    <xf numFmtId="3" fontId="12" fillId="2" borderId="0" xfId="0" quotePrefix="1" applyNumberFormat="1" applyFont="1" applyFill="1" applyAlignment="1">
      <alignment horizontal="left"/>
    </xf>
    <xf numFmtId="3" fontId="16" fillId="2" borderId="0" xfId="0" quotePrefix="1" applyNumberFormat="1" applyFont="1" applyFill="1"/>
    <xf numFmtId="3" fontId="30" fillId="2" borderId="15" xfId="0" applyNumberFormat="1" applyFont="1" applyFill="1" applyBorder="1" applyAlignment="1">
      <alignment horizontal="center"/>
    </xf>
    <xf numFmtId="3" fontId="0" fillId="2" borderId="3" xfId="0" applyNumberFormat="1" applyFont="1" applyFill="1" applyBorder="1"/>
    <xf numFmtId="3" fontId="0" fillId="2" borderId="4" xfId="0" applyNumberFormat="1" applyFont="1" applyFill="1" applyBorder="1"/>
    <xf numFmtId="3" fontId="0" fillId="2" borderId="5" xfId="0" applyNumberFormat="1" applyFont="1" applyFill="1" applyBorder="1"/>
    <xf numFmtId="3" fontId="0" fillId="2" borderId="6" xfId="0" applyNumberFormat="1" applyFont="1" applyFill="1" applyBorder="1"/>
    <xf numFmtId="3" fontId="0" fillId="2" borderId="7" xfId="0" applyNumberFormat="1" applyFont="1" applyFill="1" applyBorder="1"/>
    <xf numFmtId="3" fontId="0" fillId="2" borderId="8" xfId="0" applyNumberFormat="1" applyFont="1" applyFill="1" applyBorder="1"/>
    <xf numFmtId="3" fontId="0" fillId="2" borderId="31" xfId="0" applyNumberFormat="1" applyFont="1" applyFill="1" applyBorder="1"/>
    <xf numFmtId="3" fontId="0" fillId="2" borderId="9" xfId="0" applyNumberFormat="1" applyFont="1" applyFill="1" applyBorder="1"/>
    <xf numFmtId="3" fontId="0" fillId="2" borderId="10" xfId="0" applyNumberFormat="1" applyFont="1" applyFill="1" applyBorder="1"/>
    <xf numFmtId="3" fontId="0" fillId="2" borderId="16" xfId="0" applyNumberFormat="1" applyFont="1" applyFill="1" applyBorder="1" applyAlignment="1">
      <alignment horizontal="centerContinuous"/>
    </xf>
    <xf numFmtId="3" fontId="0" fillId="2" borderId="26" xfId="0" applyNumberFormat="1" applyFont="1" applyFill="1" applyBorder="1" applyAlignment="1">
      <alignment horizontal="centerContinuous"/>
    </xf>
    <xf numFmtId="3" fontId="16" fillId="0" borderId="14" xfId="0" applyNumberFormat="1" applyFont="1" applyBorder="1"/>
    <xf numFmtId="3" fontId="32" fillId="0" borderId="12" xfId="0" applyNumberFormat="1" applyFont="1" applyBorder="1"/>
    <xf numFmtId="3" fontId="1" fillId="7" borderId="0" xfId="8" applyNumberFormat="1" applyAlignment="1">
      <alignment horizontal="center"/>
    </xf>
    <xf numFmtId="4" fontId="0" fillId="0" borderId="0" xfId="0" applyNumberFormat="1" applyFont="1" applyAlignment="1">
      <alignment horizontal="left"/>
    </xf>
    <xf numFmtId="3" fontId="32" fillId="0" borderId="0" xfId="0" applyNumberFormat="1" applyFont="1" applyAlignment="1">
      <alignment horizontal="left"/>
    </xf>
    <xf numFmtId="172" fontId="14" fillId="4" borderId="0" xfId="4" applyNumberFormat="1" applyAlignment="1">
      <alignment horizontal="left"/>
    </xf>
    <xf numFmtId="0" fontId="24" fillId="0" borderId="0" xfId="0" applyFont="1" applyProtection="1">
      <protection locked="0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 indent="1"/>
    </xf>
    <xf numFmtId="0" fontId="6" fillId="0" borderId="0" xfId="0" applyFont="1" applyAlignment="1">
      <alignment horizontal="left"/>
    </xf>
    <xf numFmtId="164" fontId="0" fillId="2" borderId="0" xfId="1" applyNumberFormat="1" applyFont="1" applyFill="1"/>
    <xf numFmtId="0" fontId="0" fillId="0" borderId="0" xfId="0" applyFont="1" applyAlignment="1" applyProtection="1">
      <alignment horizontal="center"/>
      <protection locked="0"/>
    </xf>
    <xf numFmtId="0" fontId="0" fillId="0" borderId="16" xfId="0" applyFont="1" applyBorder="1"/>
    <xf numFmtId="0" fontId="0" fillId="0" borderId="17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3" fontId="0" fillId="0" borderId="19" xfId="0" applyNumberFormat="1" applyFont="1" applyBorder="1" applyAlignment="1">
      <alignment horizontal="centerContinuous"/>
    </xf>
    <xf numFmtId="3" fontId="0" fillId="0" borderId="12" xfId="0" applyNumberFormat="1" applyFont="1" applyBorder="1" applyAlignment="1">
      <alignment horizontal="centerContinuous"/>
    </xf>
    <xf numFmtId="9" fontId="0" fillId="0" borderId="0" xfId="1" applyFont="1" applyBorder="1" applyAlignment="1">
      <alignment horizontal="center"/>
    </xf>
    <xf numFmtId="9" fontId="0" fillId="0" borderId="20" xfId="1" applyFont="1" applyBorder="1" applyAlignment="1">
      <alignment horizontal="center"/>
    </xf>
    <xf numFmtId="3" fontId="17" fillId="6" borderId="1" xfId="7" applyNumberFormat="1" applyBorder="1" applyAlignment="1">
      <alignment horizontal="center"/>
    </xf>
    <xf numFmtId="3" fontId="17" fillId="6" borderId="0" xfId="7" applyNumberFormat="1" applyAlignment="1">
      <alignment horizontal="left"/>
    </xf>
    <xf numFmtId="3" fontId="25" fillId="0" borderId="0" xfId="0" applyNumberFormat="1" applyFont="1" applyAlignment="1">
      <alignment horizontal="center"/>
    </xf>
    <xf numFmtId="4" fontId="14" fillId="4" borderId="0" xfId="4" applyNumberFormat="1" applyAlignment="1">
      <alignment horizontal="left"/>
    </xf>
    <xf numFmtId="3" fontId="15" fillId="5" borderId="0" xfId="5" applyNumberFormat="1" applyAlignment="1">
      <alignment horizontal="center"/>
    </xf>
    <xf numFmtId="4" fontId="15" fillId="5" borderId="0" xfId="5" applyNumberFormat="1" applyAlignment="1">
      <alignment horizontal="center"/>
    </xf>
    <xf numFmtId="0" fontId="34" fillId="0" borderId="0" xfId="0" applyFont="1" applyAlignment="1">
      <alignment horizontal="left" vertical="center"/>
    </xf>
    <xf numFmtId="3" fontId="0" fillId="8" borderId="0" xfId="0" applyNumberFormat="1" applyFill="1"/>
    <xf numFmtId="3" fontId="0" fillId="2" borderId="19" xfId="0" applyNumberFormat="1" applyFont="1" applyFill="1" applyBorder="1" applyAlignment="1">
      <alignment horizontal="centerContinuous"/>
    </xf>
    <xf numFmtId="3" fontId="0" fillId="2" borderId="12" xfId="0" applyNumberFormat="1" applyFont="1" applyFill="1" applyBorder="1" applyAlignment="1">
      <alignment horizontal="centerContinuous"/>
    </xf>
    <xf numFmtId="3" fontId="0" fillId="2" borderId="18" xfId="0" applyNumberFormat="1" applyFont="1" applyFill="1" applyBorder="1" applyAlignment="1">
      <alignment horizontal="centerContinuous"/>
    </xf>
    <xf numFmtId="3" fontId="0" fillId="2" borderId="27" xfId="0" applyNumberFormat="1" applyFont="1" applyFill="1" applyBorder="1" applyAlignment="1">
      <alignment horizontal="centerContinuous"/>
    </xf>
    <xf numFmtId="9" fontId="0" fillId="2" borderId="27" xfId="1" applyFont="1" applyFill="1" applyBorder="1" applyAlignment="1">
      <alignment horizontal="center"/>
    </xf>
    <xf numFmtId="9" fontId="0" fillId="2" borderId="12" xfId="1" applyFont="1" applyFill="1" applyBorder="1" applyAlignment="1">
      <alignment horizontal="center"/>
    </xf>
    <xf numFmtId="3" fontId="0" fillId="2" borderId="13" xfId="0" applyNumberFormat="1" applyFont="1" applyFill="1" applyBorder="1" applyAlignment="1">
      <alignment horizontal="center"/>
    </xf>
    <xf numFmtId="3" fontId="0" fillId="2" borderId="13" xfId="0" applyNumberFormat="1" applyFont="1" applyFill="1" applyBorder="1" applyAlignment="1">
      <alignment horizontal="centerContinuous"/>
    </xf>
    <xf numFmtId="3" fontId="0" fillId="2" borderId="30" xfId="0" applyNumberFormat="1" applyFont="1" applyFill="1" applyBorder="1" applyAlignment="1">
      <alignment horizontal="centerContinuous"/>
    </xf>
    <xf numFmtId="9" fontId="0" fillId="0" borderId="0" xfId="1" applyFont="1" applyAlignment="1">
      <alignment horizontal="center"/>
    </xf>
    <xf numFmtId="3" fontId="17" fillId="6" borderId="0" xfId="7" applyNumberFormat="1" applyAlignment="1">
      <alignment horizontal="center"/>
    </xf>
    <xf numFmtId="3" fontId="12" fillId="0" borderId="17" xfId="0" applyNumberFormat="1" applyFont="1" applyBorder="1" applyAlignment="1">
      <alignment horizontal="center"/>
    </xf>
    <xf numFmtId="3" fontId="32" fillId="0" borderId="17" xfId="0" applyNumberFormat="1" applyFont="1" applyBorder="1" applyAlignment="1">
      <alignment horizontal="center"/>
    </xf>
    <xf numFmtId="3" fontId="32" fillId="0" borderId="0" xfId="0" applyNumberFormat="1" applyFont="1" applyAlignment="1">
      <alignment horizontal="center"/>
    </xf>
    <xf numFmtId="164" fontId="1" fillId="7" borderId="0" xfId="8" applyNumberFormat="1" applyAlignment="1">
      <alignment horizontal="center"/>
    </xf>
    <xf numFmtId="3" fontId="12" fillId="2" borderId="0" xfId="0" applyNumberFormat="1" applyFont="1" applyFill="1" applyBorder="1" applyProtection="1"/>
    <xf numFmtId="3" fontId="1" fillId="7" borderId="0" xfId="8" applyNumberFormat="1"/>
    <xf numFmtId="3" fontId="27" fillId="0" borderId="0" xfId="0" applyNumberFormat="1" applyFont="1"/>
    <xf numFmtId="3" fontId="27" fillId="0" borderId="0" xfId="0" applyNumberFormat="1" applyFont="1" applyAlignment="1">
      <alignment horizontal="center"/>
    </xf>
    <xf numFmtId="0" fontId="12" fillId="2" borderId="16" xfId="0" applyFont="1" applyFill="1" applyBorder="1" applyProtection="1"/>
    <xf numFmtId="0" fontId="12" fillId="2" borderId="17" xfId="0" applyFont="1" applyFill="1" applyBorder="1" applyProtection="1"/>
    <xf numFmtId="3" fontId="12" fillId="2" borderId="26" xfId="0" applyNumberFormat="1" applyFont="1" applyFill="1" applyBorder="1" applyProtection="1"/>
    <xf numFmtId="3" fontId="12" fillId="2" borderId="27" xfId="0" applyNumberFormat="1" applyFont="1" applyFill="1" applyBorder="1" applyProtection="1"/>
    <xf numFmtId="0" fontId="12" fillId="2" borderId="18" xfId="0" applyFont="1" applyFill="1" applyBorder="1" applyProtection="1">
      <protection locked="0"/>
    </xf>
    <xf numFmtId="0" fontId="12" fillId="2" borderId="0" xfId="0" applyFont="1" applyFill="1" applyBorder="1" applyProtection="1">
      <protection locked="0"/>
    </xf>
    <xf numFmtId="9" fontId="12" fillId="2" borderId="27" xfId="1" applyFont="1" applyFill="1" applyBorder="1" applyProtection="1">
      <protection locked="0"/>
    </xf>
    <xf numFmtId="0" fontId="12" fillId="2" borderId="19" xfId="0" applyFont="1" applyFill="1" applyBorder="1" applyProtection="1">
      <protection locked="0"/>
    </xf>
    <xf numFmtId="9" fontId="12" fillId="2" borderId="12" xfId="1" applyFont="1" applyFill="1" applyBorder="1" applyProtection="1">
      <protection locked="0"/>
    </xf>
    <xf numFmtId="3" fontId="12" fillId="2" borderId="12" xfId="0" applyNumberFormat="1" applyFont="1" applyFill="1" applyBorder="1" applyProtection="1"/>
    <xf numFmtId="0" fontId="32" fillId="0" borderId="0" xfId="0" applyFont="1"/>
    <xf numFmtId="0" fontId="40" fillId="8" borderId="0" xfId="0" applyFont="1" applyFill="1" applyBorder="1" applyAlignment="1">
      <alignment horizontal="center"/>
    </xf>
    <xf numFmtId="0" fontId="16" fillId="8" borderId="0" xfId="0" applyFont="1" applyFill="1"/>
    <xf numFmtId="0" fontId="0" fillId="8" borderId="20" xfId="0" applyFill="1" applyBorder="1" applyAlignment="1">
      <alignment horizontal="center"/>
    </xf>
    <xf numFmtId="0" fontId="23" fillId="8" borderId="20" xfId="0" applyFont="1" applyFill="1" applyBorder="1"/>
    <xf numFmtId="0" fontId="23" fillId="0" borderId="0" xfId="0" applyFont="1" applyAlignment="1">
      <alignment horizontal="center"/>
    </xf>
    <xf numFmtId="3" fontId="12" fillId="0" borderId="0" xfId="0" applyNumberFormat="1" applyFont="1"/>
    <xf numFmtId="0" fontId="12" fillId="10" borderId="32" xfId="0" applyFont="1" applyFill="1" applyBorder="1" applyProtection="1"/>
    <xf numFmtId="0" fontId="12" fillId="10" borderId="33" xfId="0" applyFont="1" applyFill="1" applyBorder="1" applyProtection="1"/>
    <xf numFmtId="0" fontId="12" fillId="10" borderId="34" xfId="0" applyFont="1" applyFill="1" applyBorder="1" applyProtection="1"/>
    <xf numFmtId="0" fontId="40" fillId="2" borderId="0" xfId="0" applyFont="1" applyFill="1" applyBorder="1" applyAlignment="1">
      <alignment horizontal="center"/>
    </xf>
    <xf numFmtId="0" fontId="16" fillId="2" borderId="0" xfId="0" applyFont="1" applyFill="1"/>
    <xf numFmtId="0" fontId="0" fillId="2" borderId="20" xfId="0" applyFill="1" applyBorder="1" applyAlignment="1">
      <alignment horizontal="center"/>
    </xf>
    <xf numFmtId="0" fontId="23" fillId="2" borderId="20" xfId="0" applyFont="1" applyFill="1" applyBorder="1"/>
    <xf numFmtId="0" fontId="23" fillId="2" borderId="0" xfId="0" applyFont="1" applyFill="1" applyAlignment="1">
      <alignment horizontal="center"/>
    </xf>
    <xf numFmtId="3" fontId="12" fillId="2" borderId="0" xfId="0" applyNumberFormat="1" applyFont="1" applyFill="1"/>
    <xf numFmtId="3" fontId="2" fillId="0" borderId="0" xfId="0" applyNumberFormat="1" applyFont="1" applyAlignment="1">
      <alignment horizontal="center"/>
    </xf>
    <xf numFmtId="3" fontId="14" fillId="4" borderId="0" xfId="4" applyNumberFormat="1"/>
    <xf numFmtId="3" fontId="0" fillId="0" borderId="0" xfId="0" quotePrefix="1" applyNumberFormat="1" applyAlignment="1">
      <alignment horizontal="center"/>
    </xf>
    <xf numFmtId="3" fontId="17" fillId="6" borderId="0" xfId="7" applyNumberFormat="1"/>
    <xf numFmtId="3" fontId="0" fillId="0" borderId="29" xfId="0" applyNumberFormat="1" applyBorder="1"/>
    <xf numFmtId="3" fontId="0" fillId="0" borderId="20" xfId="0" applyNumberFormat="1" applyBorder="1"/>
    <xf numFmtId="3" fontId="0" fillId="0" borderId="20" xfId="0" applyNumberFormat="1" applyBorder="1" applyAlignment="1">
      <alignment horizontal="center"/>
    </xf>
    <xf numFmtId="0" fontId="0" fillId="2" borderId="0" xfId="0" applyNumberFormat="1" applyFill="1"/>
    <xf numFmtId="0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6" fillId="0" borderId="0" xfId="0" applyFont="1"/>
    <xf numFmtId="3" fontId="2" fillId="0" borderId="0" xfId="0" quotePrefix="1" applyNumberFormat="1" applyFont="1" applyAlignment="1">
      <alignment horizontal="center"/>
    </xf>
    <xf numFmtId="0" fontId="0" fillId="0" borderId="13" xfId="0" quotePrefix="1" applyFont="1" applyBorder="1" applyAlignment="1">
      <alignment horizontal="center"/>
    </xf>
    <xf numFmtId="0" fontId="0" fillId="0" borderId="29" xfId="0" quotePrefix="1" applyFont="1" applyBorder="1" applyAlignment="1">
      <alignment horizontal="center"/>
    </xf>
    <xf numFmtId="0" fontId="0" fillId="0" borderId="30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16" fillId="0" borderId="16" xfId="0" applyFont="1" applyBorder="1"/>
    <xf numFmtId="167" fontId="17" fillId="6" borderId="16" xfId="7" applyNumberFormat="1" applyBorder="1" applyAlignment="1">
      <alignment horizontal="center"/>
    </xf>
    <xf numFmtId="167" fontId="17" fillId="6" borderId="17" xfId="7" applyNumberFormat="1" applyBorder="1" applyAlignment="1">
      <alignment horizontal="center"/>
    </xf>
    <xf numFmtId="167" fontId="17" fillId="6" borderId="26" xfId="7" applyNumberFormat="1" applyBorder="1" applyAlignment="1">
      <alignment horizontal="center"/>
    </xf>
    <xf numFmtId="0" fontId="12" fillId="0" borderId="18" xfId="0" quotePrefix="1" applyFont="1" applyBorder="1"/>
    <xf numFmtId="167" fontId="17" fillId="6" borderId="18" xfId="7" applyNumberFormat="1" applyBorder="1" applyAlignment="1">
      <alignment horizontal="center"/>
    </xf>
    <xf numFmtId="167" fontId="17" fillId="6" borderId="0" xfId="7" applyNumberFormat="1" applyBorder="1" applyAlignment="1">
      <alignment horizontal="center"/>
    </xf>
    <xf numFmtId="3" fontId="17" fillId="6" borderId="27" xfId="7" applyNumberFormat="1" applyBorder="1"/>
    <xf numFmtId="3" fontId="12" fillId="0" borderId="19" xfId="0" applyNumberFormat="1" applyFont="1" applyBorder="1"/>
    <xf numFmtId="3" fontId="17" fillId="6" borderId="0" xfId="7" applyNumberFormat="1" applyBorder="1"/>
    <xf numFmtId="3" fontId="17" fillId="6" borderId="19" xfId="7" applyNumberFormat="1" applyBorder="1"/>
    <xf numFmtId="3" fontId="17" fillId="6" borderId="20" xfId="7" applyNumberFormat="1" applyBorder="1"/>
    <xf numFmtId="3" fontId="17" fillId="6" borderId="12" xfId="7" applyNumberFormat="1" applyBorder="1"/>
    <xf numFmtId="3" fontId="43" fillId="0" borderId="1" xfId="0" applyNumberFormat="1" applyFont="1" applyBorder="1" applyAlignment="1">
      <alignment horizontal="center"/>
    </xf>
    <xf numFmtId="172" fontId="39" fillId="0" borderId="13" xfId="0" applyNumberFormat="1" applyFont="1" applyBorder="1" applyAlignment="1">
      <alignment horizontal="center"/>
    </xf>
    <xf numFmtId="172" fontId="39" fillId="0" borderId="29" xfId="0" applyNumberFormat="1" applyFont="1" applyBorder="1" applyAlignment="1">
      <alignment horizontal="center"/>
    </xf>
    <xf numFmtId="172" fontId="39" fillId="0" borderId="30" xfId="0" applyNumberFormat="1" applyFont="1" applyBorder="1" applyAlignment="1">
      <alignment horizontal="center"/>
    </xf>
    <xf numFmtId="172" fontId="5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3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3" fontId="32" fillId="0" borderId="1" xfId="0" applyNumberFormat="1" applyFont="1" applyBorder="1"/>
    <xf numFmtId="172" fontId="32" fillId="0" borderId="29" xfId="0" applyNumberFormat="1" applyFont="1" applyBorder="1" applyAlignment="1">
      <alignment horizontal="center"/>
    </xf>
    <xf numFmtId="172" fontId="5" fillId="0" borderId="30" xfId="0" applyNumberFormat="1" applyFont="1" applyBorder="1" applyAlignment="1">
      <alignment horizontal="center"/>
    </xf>
    <xf numFmtId="3" fontId="11" fillId="0" borderId="0" xfId="0" quotePrefix="1" applyNumberFormat="1" applyFont="1" applyAlignment="1">
      <alignment horizontal="center"/>
    </xf>
    <xf numFmtId="3" fontId="12" fillId="0" borderId="13" xfId="0" applyNumberFormat="1" applyFont="1" applyBorder="1"/>
    <xf numFmtId="3" fontId="6" fillId="0" borderId="0" xfId="0" quotePrefix="1" applyNumberFormat="1" applyFont="1"/>
    <xf numFmtId="0" fontId="2" fillId="0" borderId="13" xfId="0" quotePrefix="1" applyFont="1" applyBorder="1" applyAlignment="1">
      <alignment horizontal="center"/>
    </xf>
    <xf numFmtId="0" fontId="2" fillId="0" borderId="29" xfId="0" quotePrefix="1" applyFont="1" applyBorder="1" applyAlignment="1">
      <alignment horizontal="center"/>
    </xf>
    <xf numFmtId="0" fontId="2" fillId="0" borderId="30" xfId="0" quotePrefix="1" applyFont="1" applyBorder="1" applyAlignment="1">
      <alignment horizontal="center"/>
    </xf>
    <xf numFmtId="3" fontId="44" fillId="0" borderId="1" xfId="0" applyNumberFormat="1" applyFont="1" applyBorder="1"/>
    <xf numFmtId="3" fontId="41" fillId="0" borderId="29" xfId="0" applyNumberFormat="1" applyFont="1" applyBorder="1" applyAlignment="1">
      <alignment horizontal="center"/>
    </xf>
    <xf numFmtId="3" fontId="41" fillId="0" borderId="30" xfId="0" applyNumberFormat="1" applyFont="1" applyBorder="1" applyAlignment="1">
      <alignment horizontal="center"/>
    </xf>
    <xf numFmtId="3" fontId="0" fillId="0" borderId="1" xfId="0" applyNumberFormat="1" applyFont="1" applyBorder="1"/>
    <xf numFmtId="3" fontId="12" fillId="0" borderId="13" xfId="4" applyNumberFormat="1" applyFont="1" applyFill="1" applyBorder="1" applyAlignment="1">
      <alignment horizontal="center"/>
    </xf>
    <xf numFmtId="3" fontId="12" fillId="0" borderId="29" xfId="4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Continuous"/>
    </xf>
    <xf numFmtId="3" fontId="23" fillId="2" borderId="29" xfId="0" applyNumberFormat="1" applyFont="1" applyFill="1" applyBorder="1" applyAlignment="1">
      <alignment horizontal="right"/>
    </xf>
    <xf numFmtId="3" fontId="23" fillId="2" borderId="30" xfId="0" applyNumberFormat="1" applyFont="1" applyFill="1" applyBorder="1" applyAlignment="1">
      <alignment horizontal="right"/>
    </xf>
    <xf numFmtId="1" fontId="23" fillId="2" borderId="21" xfId="0" applyNumberFormat="1" applyFont="1" applyFill="1" applyBorder="1" applyAlignment="1">
      <alignment horizontal="center"/>
    </xf>
    <xf numFmtId="3" fontId="41" fillId="2" borderId="27" xfId="0" applyNumberFormat="1" applyFont="1" applyFill="1" applyBorder="1"/>
    <xf numFmtId="3" fontId="41" fillId="2" borderId="0" xfId="0" applyNumberFormat="1" applyFont="1" applyFill="1" applyBorder="1"/>
    <xf numFmtId="1" fontId="23" fillId="2" borderId="14" xfId="0" applyNumberFormat="1" applyFont="1" applyFill="1" applyBorder="1" applyAlignment="1">
      <alignment horizontal="center"/>
    </xf>
    <xf numFmtId="3" fontId="41" fillId="2" borderId="20" xfId="0" applyNumberFormat="1" applyFont="1" applyFill="1" applyBorder="1"/>
    <xf numFmtId="0" fontId="6" fillId="2" borderId="0" xfId="0" applyFont="1" applyFill="1"/>
    <xf numFmtId="1" fontId="0" fillId="2" borderId="1" xfId="0" applyNumberFormat="1" applyFont="1" applyFill="1" applyBorder="1" applyAlignment="1">
      <alignment horizontal="center"/>
    </xf>
    <xf numFmtId="0" fontId="33" fillId="12" borderId="35" xfId="0" applyFont="1" applyFill="1" applyBorder="1" applyAlignment="1">
      <alignment horizontal="center" vertical="center" wrapText="1"/>
    </xf>
    <xf numFmtId="166" fontId="21" fillId="11" borderId="35" xfId="0" applyNumberFormat="1" applyFont="1" applyFill="1" applyBorder="1" applyAlignment="1">
      <alignment vertical="center" wrapText="1"/>
    </xf>
    <xf numFmtId="166" fontId="45" fillId="11" borderId="35" xfId="0" applyNumberFormat="1" applyFont="1" applyFill="1" applyBorder="1" applyAlignment="1">
      <alignment vertical="center" wrapText="1"/>
    </xf>
    <xf numFmtId="166" fontId="0" fillId="11" borderId="0" xfId="0" applyNumberFormat="1" applyFill="1"/>
    <xf numFmtId="166" fontId="0" fillId="11" borderId="37" xfId="0" applyNumberFormat="1" applyFill="1" applyBorder="1"/>
    <xf numFmtId="166" fontId="0" fillId="11" borderId="36" xfId="0" applyNumberFormat="1" applyFill="1" applyBorder="1"/>
    <xf numFmtId="166" fontId="0" fillId="11" borderId="38" xfId="0" applyNumberFormat="1" applyFill="1" applyBorder="1"/>
    <xf numFmtId="1" fontId="33" fillId="12" borderId="35" xfId="0" applyNumberFormat="1" applyFont="1" applyFill="1" applyBorder="1" applyAlignment="1">
      <alignment horizontal="center" vertical="center" wrapText="1"/>
    </xf>
    <xf numFmtId="166" fontId="0" fillId="2" borderId="0" xfId="0" applyNumberFormat="1" applyFill="1"/>
    <xf numFmtId="0" fontId="46" fillId="0" borderId="0" xfId="0" applyFont="1" applyAlignment="1">
      <alignment horizontal="left" vertical="center" indent="1"/>
    </xf>
    <xf numFmtId="0" fontId="34" fillId="12" borderId="35" xfId="0" applyFont="1" applyFill="1" applyBorder="1" applyAlignment="1">
      <alignment horizontal="center" vertical="center" wrapText="1"/>
    </xf>
    <xf numFmtId="0" fontId="34" fillId="12" borderId="35" xfId="0" quotePrefix="1" applyNumberFormat="1" applyFont="1" applyFill="1" applyBorder="1" applyAlignment="1">
      <alignment horizontal="center" vertical="center" wrapText="1"/>
    </xf>
    <xf numFmtId="0" fontId="22" fillId="11" borderId="35" xfId="0" applyFont="1" applyFill="1" applyBorder="1" applyAlignment="1">
      <alignment vertical="center" wrapText="1"/>
    </xf>
    <xf numFmtId="0" fontId="0" fillId="11" borderId="36" xfId="0" applyFont="1" applyFill="1" applyBorder="1"/>
    <xf numFmtId="0" fontId="0" fillId="11" borderId="37" xfId="0" applyFont="1" applyFill="1" applyBorder="1"/>
    <xf numFmtId="0" fontId="0" fillId="11" borderId="38" xfId="0" applyFont="1" applyFill="1" applyBorder="1"/>
    <xf numFmtId="166" fontId="0" fillId="0" borderId="0" xfId="0" applyNumberFormat="1" applyFont="1"/>
    <xf numFmtId="167" fontId="22" fillId="11" borderId="35" xfId="0" applyNumberFormat="1" applyFont="1" applyFill="1" applyBorder="1" applyAlignment="1">
      <alignment vertical="center" wrapText="1"/>
    </xf>
    <xf numFmtId="4" fontId="1" fillId="7" borderId="0" xfId="8" applyNumberFormat="1" applyAlignment="1">
      <alignment horizontal="center"/>
    </xf>
    <xf numFmtId="3" fontId="0" fillId="0" borderId="0" xfId="0" applyNumberFormat="1" applyAlignment="1">
      <alignment horizontal="right"/>
    </xf>
    <xf numFmtId="4" fontId="17" fillId="6" borderId="0" xfId="7" applyNumberFormat="1" applyAlignment="1">
      <alignment horizontal="center"/>
    </xf>
    <xf numFmtId="4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2" borderId="0" xfId="0" applyNumberFormat="1" applyFill="1" applyAlignment="1">
      <alignment horizontal="center"/>
    </xf>
    <xf numFmtId="3" fontId="0" fillId="2" borderId="16" xfId="0" applyNumberFormat="1" applyFill="1" applyBorder="1"/>
    <xf numFmtId="2" fontId="0" fillId="2" borderId="17" xfId="0" applyNumberFormat="1" applyFill="1" applyBorder="1" applyAlignment="1">
      <alignment horizontal="right"/>
    </xf>
    <xf numFmtId="1" fontId="0" fillId="2" borderId="26" xfId="0" applyNumberFormat="1" applyFill="1" applyBorder="1" applyAlignment="1">
      <alignment horizontal="left"/>
    </xf>
    <xf numFmtId="3" fontId="0" fillId="2" borderId="26" xfId="0" applyNumberFormat="1" applyFill="1" applyBorder="1"/>
    <xf numFmtId="0" fontId="0" fillId="2" borderId="18" xfId="0" applyFill="1" applyBorder="1"/>
    <xf numFmtId="2" fontId="0" fillId="2" borderId="0" xfId="0" applyNumberFormat="1" applyFill="1" applyBorder="1" applyAlignment="1">
      <alignment horizontal="right"/>
    </xf>
    <xf numFmtId="1" fontId="0" fillId="2" borderId="27" xfId="0" applyNumberFormat="1" applyFill="1" applyBorder="1" applyAlignment="1">
      <alignment horizontal="left"/>
    </xf>
    <xf numFmtId="3" fontId="0" fillId="2" borderId="27" xfId="0" applyNumberFormat="1" applyFill="1" applyBorder="1"/>
    <xf numFmtId="2" fontId="0" fillId="2" borderId="0" xfId="0" applyNumberFormat="1" applyFill="1"/>
    <xf numFmtId="3" fontId="0" fillId="2" borderId="16" xfId="0" applyNumberFormat="1" applyFill="1" applyBorder="1" applyAlignment="1">
      <alignment horizontal="right"/>
    </xf>
    <xf numFmtId="1" fontId="0" fillId="2" borderId="26" xfId="0" applyNumberFormat="1" applyFill="1" applyBorder="1" applyAlignment="1">
      <alignment horizontal="center"/>
    </xf>
    <xf numFmtId="3" fontId="0" fillId="2" borderId="26" xfId="0" applyNumberFormat="1" applyFill="1" applyBorder="1" applyAlignment="1">
      <alignment horizontal="center"/>
    </xf>
    <xf numFmtId="0" fontId="0" fillId="2" borderId="19" xfId="0" applyFill="1" applyBorder="1"/>
    <xf numFmtId="0" fontId="0" fillId="2" borderId="20" xfId="0" applyFill="1" applyBorder="1" applyAlignment="1">
      <alignment horizontal="right"/>
    </xf>
    <xf numFmtId="0" fontId="0" fillId="2" borderId="12" xfId="0" applyFill="1" applyBorder="1" applyAlignment="1">
      <alignment horizontal="left"/>
    </xf>
    <xf numFmtId="2" fontId="0" fillId="2" borderId="12" xfId="0" applyNumberFormat="1" applyFill="1" applyBorder="1"/>
    <xf numFmtId="3" fontId="0" fillId="2" borderId="19" xfId="0" applyNumberFormat="1" applyFill="1" applyBorder="1" applyAlignment="1">
      <alignment horizontal="right"/>
    </xf>
    <xf numFmtId="1" fontId="0" fillId="2" borderId="12" xfId="0" applyNumberFormat="1" applyFill="1" applyBorder="1" applyAlignment="1">
      <alignment horizontal="center"/>
    </xf>
    <xf numFmtId="3" fontId="0" fillId="2" borderId="18" xfId="0" applyNumberFormat="1" applyFill="1" applyBorder="1"/>
    <xf numFmtId="0" fontId="0" fillId="0" borderId="0" xfId="0" applyFont="1" applyAlignment="1" applyProtection="1">
      <alignment horizontal="left"/>
      <protection locked="0"/>
    </xf>
    <xf numFmtId="3" fontId="0" fillId="0" borderId="12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72" fontId="0" fillId="0" borderId="0" xfId="0" applyNumberFormat="1" applyAlignment="1">
      <alignment horizontal="center"/>
    </xf>
    <xf numFmtId="3" fontId="0" fillId="0" borderId="26" xfId="0" applyNumberFormat="1" applyBorder="1"/>
    <xf numFmtId="3" fontId="0" fillId="0" borderId="17" xfId="0" applyNumberFormat="1" applyBorder="1"/>
    <xf numFmtId="3" fontId="50" fillId="0" borderId="17" xfId="0" applyNumberFormat="1" applyFont="1" applyBorder="1"/>
    <xf numFmtId="0" fontId="0" fillId="0" borderId="12" xfId="0" applyBorder="1" applyAlignment="1">
      <alignment horizontal="center"/>
    </xf>
    <xf numFmtId="3" fontId="0" fillId="0" borderId="20" xfId="0" quotePrefix="1" applyNumberFormat="1" applyBorder="1" applyAlignment="1">
      <alignment horizontal="center"/>
    </xf>
    <xf numFmtId="3" fontId="51" fillId="0" borderId="17" xfId="0" applyNumberFormat="1" applyFont="1" applyBorder="1" applyAlignment="1">
      <alignment horizontal="center"/>
    </xf>
    <xf numFmtId="1" fontId="27" fillId="0" borderId="0" xfId="0" applyNumberFormat="1" applyFont="1" applyAlignment="1">
      <alignment horizontal="center"/>
    </xf>
    <xf numFmtId="3" fontId="50" fillId="0" borderId="0" xfId="0" applyNumberFormat="1" applyFont="1" applyAlignment="1">
      <alignment horizontal="center"/>
    </xf>
    <xf numFmtId="3" fontId="51" fillId="0" borderId="0" xfId="0" applyNumberFormat="1" applyFont="1" applyAlignment="1">
      <alignment horizontal="center"/>
    </xf>
    <xf numFmtId="10" fontId="43" fillId="0" borderId="0" xfId="1" applyNumberFormat="1" applyFont="1" applyAlignment="1">
      <alignment horizontal="center"/>
    </xf>
    <xf numFmtId="3" fontId="0" fillId="2" borderId="15" xfId="0" applyNumberFormat="1" applyFill="1" applyBorder="1" applyAlignment="1">
      <alignment horizontal="center"/>
    </xf>
    <xf numFmtId="3" fontId="0" fillId="2" borderId="17" xfId="0" applyNumberFormat="1" applyFill="1" applyBorder="1" applyAlignment="1">
      <alignment horizontal="center"/>
    </xf>
    <xf numFmtId="2" fontId="0" fillId="2" borderId="21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0" fillId="2" borderId="27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3" fontId="0" fillId="2" borderId="14" xfId="0" applyNumberFormat="1" applyFill="1" applyBorder="1" applyAlignment="1">
      <alignment horizontal="center"/>
    </xf>
    <xf numFmtId="3" fontId="0" fillId="2" borderId="20" xfId="0" applyNumberFormat="1" applyFill="1" applyBorder="1" applyAlignment="1">
      <alignment horizontal="center"/>
    </xf>
    <xf numFmtId="3" fontId="0" fillId="2" borderId="12" xfId="0" applyNumberFormat="1" applyFill="1" applyBorder="1" applyAlignment="1">
      <alignment horizontal="center"/>
    </xf>
    <xf numFmtId="3" fontId="0" fillId="2" borderId="30" xfId="0" applyNumberFormat="1" applyFill="1" applyBorder="1" applyAlignment="1">
      <alignment horizontal="center"/>
    </xf>
    <xf numFmtId="1" fontId="0" fillId="2" borderId="21" xfId="0" applyNumberForma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4" fontId="0" fillId="2" borderId="0" xfId="0" applyNumberFormat="1" applyFill="1" applyBorder="1" applyAlignment="1">
      <alignment horizontal="center"/>
    </xf>
    <xf numFmtId="172" fontId="0" fillId="2" borderId="27" xfId="0" applyNumberFormat="1" applyFill="1" applyBorder="1" applyAlignment="1">
      <alignment horizontal="center"/>
    </xf>
    <xf numFmtId="3" fontId="0" fillId="2" borderId="27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4" fontId="0" fillId="2" borderId="20" xfId="0" applyNumberFormat="1" applyFill="1" applyBorder="1" applyAlignment="1">
      <alignment horizontal="center"/>
    </xf>
    <xf numFmtId="172" fontId="0" fillId="2" borderId="12" xfId="0" applyNumberFormat="1" applyFill="1" applyBorder="1" applyAlignment="1">
      <alignment horizontal="center"/>
    </xf>
    <xf numFmtId="3" fontId="0" fillId="10" borderId="1" xfId="0" applyNumberFormat="1" applyFill="1" applyBorder="1" applyAlignment="1">
      <alignment horizontal="center"/>
    </xf>
    <xf numFmtId="1" fontId="0" fillId="10" borderId="1" xfId="0" applyNumberFormat="1" applyFill="1" applyBorder="1" applyAlignment="1">
      <alignment horizontal="center"/>
    </xf>
    <xf numFmtId="3" fontId="24" fillId="2" borderId="0" xfId="0" applyNumberFormat="1" applyFont="1" applyFill="1"/>
    <xf numFmtId="0" fontId="5" fillId="0" borderId="0" xfId="0" applyFont="1"/>
    <xf numFmtId="0" fontId="0" fillId="0" borderId="13" xfId="0" applyBorder="1" applyAlignment="1">
      <alignment horizontal="left"/>
    </xf>
    <xf numFmtId="0" fontId="0" fillId="0" borderId="29" xfId="0" applyBorder="1"/>
    <xf numFmtId="0" fontId="0" fillId="0" borderId="30" xfId="0" applyBorder="1"/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2" borderId="0" xfId="0" applyFont="1" applyFill="1" applyBorder="1" applyAlignment="1">
      <alignment vertical="top"/>
    </xf>
    <xf numFmtId="0" fontId="0" fillId="0" borderId="0" xfId="0" applyFont="1" applyBorder="1" applyAlignment="1">
      <alignment horizontal="center" vertical="top" wrapText="1"/>
    </xf>
    <xf numFmtId="3" fontId="0" fillId="13" borderId="0" xfId="0" applyNumberFormat="1" applyFont="1" applyFill="1" applyBorder="1" applyAlignment="1">
      <alignment horizontal="center" vertical="top" wrapText="1"/>
    </xf>
    <xf numFmtId="0" fontId="0" fillId="13" borderId="0" xfId="0" applyFont="1" applyFill="1" applyBorder="1" applyAlignment="1">
      <alignment horizontal="center" vertical="top" wrapText="1"/>
    </xf>
    <xf numFmtId="0" fontId="0" fillId="2" borderId="0" xfId="0" applyFont="1" applyFill="1" applyBorder="1" applyAlignment="1">
      <alignment horizontal="center" vertical="top" wrapText="1"/>
    </xf>
    <xf numFmtId="3" fontId="0" fillId="2" borderId="0" xfId="0" applyNumberFormat="1" applyFont="1" applyFill="1" applyBorder="1" applyAlignment="1">
      <alignment horizontal="center" vertical="top" wrapText="1"/>
    </xf>
    <xf numFmtId="0" fontId="0" fillId="2" borderId="17" xfId="0" applyFont="1" applyFill="1" applyBorder="1" applyAlignment="1">
      <alignment horizontal="center" vertical="top" wrapText="1"/>
    </xf>
    <xf numFmtId="0" fontId="0" fillId="2" borderId="26" xfId="0" applyFont="1" applyFill="1" applyBorder="1" applyAlignment="1">
      <alignment horizontal="center" vertical="top" wrapText="1"/>
    </xf>
    <xf numFmtId="3" fontId="0" fillId="2" borderId="27" xfId="0" applyNumberFormat="1" applyFont="1" applyFill="1" applyBorder="1" applyAlignment="1">
      <alignment horizontal="center" vertical="top" wrapText="1"/>
    </xf>
    <xf numFmtId="0" fontId="0" fillId="14" borderId="27" xfId="0" applyFont="1" applyFill="1" applyBorder="1" applyAlignment="1">
      <alignment horizontal="center" vertical="top" wrapText="1"/>
    </xf>
    <xf numFmtId="3" fontId="0" fillId="2" borderId="20" xfId="0" applyNumberFormat="1" applyFont="1" applyFill="1" applyBorder="1" applyAlignment="1">
      <alignment horizontal="center" vertical="top" wrapText="1"/>
    </xf>
    <xf numFmtId="0" fontId="0" fillId="2" borderId="20" xfId="0" applyFont="1" applyFill="1" applyBorder="1" applyAlignment="1">
      <alignment horizontal="center" vertical="top" wrapText="1"/>
    </xf>
    <xf numFmtId="0" fontId="0" fillId="14" borderId="20" xfId="0" applyFont="1" applyFill="1" applyBorder="1" applyAlignment="1">
      <alignment horizontal="center" vertical="top" wrapText="1"/>
    </xf>
    <xf numFmtId="0" fontId="0" fillId="14" borderId="12" xfId="0" applyFont="1" applyFill="1" applyBorder="1" applyAlignment="1">
      <alignment horizontal="center" vertical="top" wrapText="1"/>
    </xf>
    <xf numFmtId="0" fontId="0" fillId="2" borderId="12" xfId="0" applyFont="1" applyFill="1" applyBorder="1" applyAlignment="1">
      <alignment horizontal="center" vertical="top" wrapText="1"/>
    </xf>
    <xf numFmtId="0" fontId="0" fillId="2" borderId="15" xfId="0" applyFont="1" applyFill="1" applyBorder="1" applyAlignment="1">
      <alignment horizontal="center" vertical="top" wrapText="1"/>
    </xf>
    <xf numFmtId="0" fontId="0" fillId="2" borderId="14" xfId="0" applyFont="1" applyFill="1" applyBorder="1" applyAlignment="1">
      <alignment horizontal="center" vertical="top" wrapText="1"/>
    </xf>
    <xf numFmtId="0" fontId="52" fillId="2" borderId="21" xfId="0" applyFont="1" applyFill="1" applyBorder="1" applyAlignment="1">
      <alignment horizontal="center" vertical="top" wrapText="1"/>
    </xf>
    <xf numFmtId="0" fontId="52" fillId="2" borderId="14" xfId="0" applyFont="1" applyFill="1" applyBorder="1" applyAlignment="1">
      <alignment horizontal="center" vertical="top" wrapText="1"/>
    </xf>
    <xf numFmtId="9" fontId="0" fillId="2" borderId="14" xfId="0" applyNumberFormat="1" applyFont="1" applyFill="1" applyBorder="1" applyAlignment="1">
      <alignment horizontal="center" vertical="top" wrapText="1"/>
    </xf>
    <xf numFmtId="9" fontId="0" fillId="2" borderId="12" xfId="0" applyNumberFormat="1" applyFont="1" applyFill="1" applyBorder="1" applyAlignment="1">
      <alignment horizontal="center" vertical="top" wrapText="1"/>
    </xf>
    <xf numFmtId="0" fontId="53" fillId="2" borderId="0" xfId="0" applyFont="1" applyFill="1" applyAlignment="1">
      <alignment horizontal="left" vertical="center" indent="1"/>
    </xf>
    <xf numFmtId="0" fontId="0" fillId="0" borderId="28" xfId="0" applyFont="1" applyBorder="1" applyAlignment="1">
      <alignment horizontal="left" vertical="top"/>
    </xf>
    <xf numFmtId="0" fontId="0" fillId="0" borderId="0" xfId="0" quotePrefix="1" applyFont="1" applyBorder="1" applyAlignment="1">
      <alignment horizontal="center" vertical="center" wrapText="1"/>
    </xf>
    <xf numFmtId="0" fontId="57" fillId="0" borderId="0" xfId="0" applyNumberFormat="1" applyFont="1" applyBorder="1" applyAlignment="1">
      <alignment horizontal="left" vertical="center" indent="1"/>
    </xf>
    <xf numFmtId="174" fontId="0" fillId="0" borderId="0" xfId="0" applyNumberFormat="1"/>
    <xf numFmtId="169" fontId="0" fillId="0" borderId="0" xfId="1" applyNumberFormat="1" applyFont="1"/>
    <xf numFmtId="0" fontId="0" fillId="0" borderId="17" xfId="0" applyBorder="1"/>
    <xf numFmtId="0" fontId="56" fillId="0" borderId="27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169" fontId="0" fillId="0" borderId="27" xfId="0" applyNumberFormat="1" applyFont="1" applyBorder="1" applyAlignment="1">
      <alignment horizontal="center" vertical="top" wrapText="1"/>
    </xf>
    <xf numFmtId="0" fontId="52" fillId="0" borderId="19" xfId="0" applyFont="1" applyBorder="1" applyAlignment="1">
      <alignment horizontal="center" vertical="top" wrapText="1"/>
    </xf>
    <xf numFmtId="0" fontId="0" fillId="0" borderId="20" xfId="0" applyFont="1" applyBorder="1" applyAlignment="1">
      <alignment horizontal="center" vertical="top" wrapText="1"/>
    </xf>
    <xf numFmtId="169" fontId="0" fillId="9" borderId="12" xfId="0" applyNumberFormat="1" applyFont="1" applyFill="1" applyBorder="1" applyAlignment="1">
      <alignment horizontal="center" vertical="top" wrapText="1"/>
    </xf>
    <xf numFmtId="0" fontId="0" fillId="13" borderId="20" xfId="0" applyFont="1" applyFill="1" applyBorder="1" applyAlignment="1">
      <alignment horizontal="center" vertical="top" wrapText="1"/>
    </xf>
    <xf numFmtId="0" fontId="0" fillId="0" borderId="20" xfId="0" quotePrefix="1" applyFont="1" applyBorder="1" applyAlignment="1">
      <alignment horizontal="center" vertical="center" wrapText="1"/>
    </xf>
    <xf numFmtId="3" fontId="0" fillId="13" borderId="20" xfId="0" applyNumberFormat="1" applyFont="1" applyFill="1" applyBorder="1" applyAlignment="1">
      <alignment horizontal="center" vertical="top" wrapText="1"/>
    </xf>
    <xf numFmtId="169" fontId="0" fillId="0" borderId="12" xfId="0" applyNumberFormat="1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 vertical="top" wrapText="1"/>
    </xf>
    <xf numFmtId="0" fontId="56" fillId="0" borderId="26" xfId="0" applyFont="1" applyBorder="1" applyAlignment="1">
      <alignment horizontal="center" vertical="top" wrapText="1"/>
    </xf>
    <xf numFmtId="0" fontId="0" fillId="0" borderId="15" xfId="0" applyBorder="1"/>
    <xf numFmtId="0" fontId="0" fillId="0" borderId="21" xfId="0" applyBorder="1" applyAlignment="1">
      <alignment horizontal="center"/>
    </xf>
    <xf numFmtId="0" fontId="52" fillId="0" borderId="21" xfId="0" applyFont="1" applyBorder="1" applyAlignment="1">
      <alignment horizontal="center" vertical="top" wrapText="1"/>
    </xf>
    <xf numFmtId="0" fontId="52" fillId="0" borderId="14" xfId="0" applyFont="1" applyBorder="1" applyAlignment="1">
      <alignment horizontal="center" vertical="top" wrapText="1"/>
    </xf>
    <xf numFmtId="0" fontId="0" fillId="0" borderId="26" xfId="0" applyFont="1" applyBorder="1" applyAlignment="1">
      <alignment horizontal="center" vertical="top" wrapText="1"/>
    </xf>
    <xf numFmtId="0" fontId="0" fillId="0" borderId="27" xfId="0" applyFont="1" applyBorder="1" applyAlignment="1">
      <alignment horizontal="center" vertical="top" wrapText="1"/>
    </xf>
    <xf numFmtId="0" fontId="0" fillId="0" borderId="27" xfId="0" quotePrefix="1" applyFont="1" applyBorder="1" applyAlignment="1">
      <alignment horizontal="center" vertical="center"/>
    </xf>
    <xf numFmtId="0" fontId="0" fillId="0" borderId="27" xfId="0" quotePrefix="1" applyFont="1" applyBorder="1" applyAlignment="1">
      <alignment horizontal="center" vertical="center" wrapText="1"/>
    </xf>
    <xf numFmtId="0" fontId="0" fillId="0" borderId="12" xfId="0" quotePrefix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top" wrapText="1"/>
    </xf>
    <xf numFmtId="3" fontId="12" fillId="10" borderId="1" xfId="0" applyNumberFormat="1" applyFont="1" applyFill="1" applyBorder="1" applyAlignment="1" applyProtection="1">
      <alignment horizontal="center"/>
    </xf>
    <xf numFmtId="0" fontId="12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quotePrefix="1" applyFont="1"/>
    <xf numFmtId="169" fontId="0" fillId="0" borderId="0" xfId="0" applyNumberFormat="1" applyAlignment="1">
      <alignment horizontal="center"/>
    </xf>
    <xf numFmtId="3" fontId="0" fillId="0" borderId="0" xfId="0" applyNumberFormat="1" applyFont="1" applyAlignment="1" applyProtection="1">
      <alignment horizontal="center"/>
      <protection locked="0"/>
    </xf>
    <xf numFmtId="3" fontId="17" fillId="6" borderId="29" xfId="7" applyNumberFormat="1" applyBorder="1" applyAlignment="1">
      <alignment horizontal="centerContinuous"/>
    </xf>
    <xf numFmtId="3" fontId="17" fillId="6" borderId="30" xfId="7" applyNumberFormat="1" applyBorder="1" applyAlignment="1">
      <alignment horizontal="right"/>
    </xf>
    <xf numFmtId="3" fontId="17" fillId="6" borderId="29" xfId="7" applyNumberFormat="1" applyBorder="1" applyAlignment="1">
      <alignment horizontal="center"/>
    </xf>
    <xf numFmtId="3" fontId="17" fillId="6" borderId="30" xfId="7" applyNumberFormat="1" applyBorder="1" applyAlignment="1">
      <alignment horizontal="center"/>
    </xf>
    <xf numFmtId="3" fontId="0" fillId="0" borderId="0" xfId="0" applyNumberFormat="1" applyAlignment="1">
      <alignment horizontal="centerContinuous"/>
    </xf>
    <xf numFmtId="1" fontId="0" fillId="8" borderId="0" xfId="0" applyNumberFormat="1" applyFill="1" applyAlignment="1">
      <alignment horizontal="center"/>
    </xf>
    <xf numFmtId="1" fontId="16" fillId="0" borderId="21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right"/>
    </xf>
    <xf numFmtId="3" fontId="0" fillId="0" borderId="27" xfId="0" quotePrefix="1" applyNumberFormat="1" applyBorder="1"/>
    <xf numFmtId="4" fontId="0" fillId="0" borderId="0" xfId="0" applyNumberForma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3" fontId="5" fillId="0" borderId="0" xfId="0" applyNumberFormat="1" applyFont="1"/>
    <xf numFmtId="1" fontId="16" fillId="0" borderId="14" xfId="0" applyNumberFormat="1" applyFont="1" applyBorder="1" applyAlignment="1">
      <alignment horizontal="center"/>
    </xf>
    <xf numFmtId="3" fontId="0" fillId="0" borderId="20" xfId="0" applyNumberFormat="1" applyBorder="1" applyAlignment="1">
      <alignment horizontal="right"/>
    </xf>
    <xf numFmtId="3" fontId="0" fillId="0" borderId="12" xfId="0" quotePrefix="1" applyNumberFormat="1" applyBorder="1"/>
    <xf numFmtId="4" fontId="0" fillId="0" borderId="20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32" fillId="0" borderId="0" xfId="0" applyNumberFormat="1" applyFont="1" applyAlignment="1">
      <alignment horizontal="centerContinuous"/>
    </xf>
    <xf numFmtId="0" fontId="32" fillId="0" borderId="0" xfId="0" applyFont="1" applyAlignment="1">
      <alignment horizontal="centerContinuous"/>
    </xf>
    <xf numFmtId="3" fontId="32" fillId="0" borderId="0" xfId="0" quotePrefix="1" applyNumberFormat="1" applyFont="1" applyAlignment="1">
      <alignment horizontal="center"/>
    </xf>
    <xf numFmtId="3" fontId="32" fillId="0" borderId="0" xfId="0" applyNumberFormat="1" applyFont="1"/>
    <xf numFmtId="3" fontId="0" fillId="0" borderId="0" xfId="0" quotePrefix="1" applyNumberFormat="1"/>
    <xf numFmtId="173" fontId="32" fillId="0" borderId="0" xfId="0" applyNumberFormat="1" applyFont="1" applyAlignment="1">
      <alignment horizontal="centerContinuous"/>
    </xf>
    <xf numFmtId="173" fontId="32" fillId="0" borderId="0" xfId="0" applyNumberFormat="1" applyFont="1" applyAlignment="1">
      <alignment horizontal="center"/>
    </xf>
    <xf numFmtId="173" fontId="0" fillId="0" borderId="0" xfId="0" applyNumberFormat="1"/>
    <xf numFmtId="0" fontId="5" fillId="0" borderId="0" xfId="0" applyFont="1" applyAlignment="1">
      <alignment horizontal="left" vertical="center" indent="1"/>
    </xf>
    <xf numFmtId="3" fontId="12" fillId="2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Continuous"/>
    </xf>
    <xf numFmtId="3" fontId="0" fillId="2" borderId="13" xfId="0" applyNumberFormat="1" applyFill="1" applyBorder="1" applyAlignment="1"/>
    <xf numFmtId="3" fontId="0" fillId="2" borderId="29" xfId="0" applyNumberFormat="1" applyFill="1" applyBorder="1" applyAlignment="1">
      <alignment horizontal="right"/>
    </xf>
    <xf numFmtId="1" fontId="12" fillId="2" borderId="30" xfId="7" applyNumberFormat="1" applyFont="1" applyFill="1" applyBorder="1" applyAlignment="1">
      <alignment horizontal="left"/>
    </xf>
    <xf numFmtId="3" fontId="12" fillId="2" borderId="30" xfId="4" applyNumberFormat="1" applyFont="1" applyFill="1" applyBorder="1" applyAlignment="1">
      <alignment horizontal="center"/>
    </xf>
    <xf numFmtId="3" fontId="5" fillId="2" borderId="0" xfId="4" applyNumberFormat="1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Continuous"/>
    </xf>
    <xf numFmtId="0" fontId="16" fillId="2" borderId="29" xfId="0" applyFont="1" applyFill="1" applyBorder="1" applyAlignment="1">
      <alignment horizontal="centerContinuous"/>
    </xf>
    <xf numFmtId="0" fontId="16" fillId="2" borderId="30" xfId="0" applyFont="1" applyFill="1" applyBorder="1" applyAlignment="1">
      <alignment horizontal="centerContinuous"/>
    </xf>
    <xf numFmtId="0" fontId="0" fillId="2" borderId="1" xfId="0" applyFill="1" applyBorder="1" applyAlignment="1">
      <alignment horizontal="center"/>
    </xf>
    <xf numFmtId="3" fontId="0" fillId="2" borderId="17" xfId="0" quotePrefix="1" applyNumberFormat="1" applyFill="1" applyBorder="1"/>
    <xf numFmtId="4" fontId="0" fillId="2" borderId="26" xfId="0" applyNumberFormat="1" applyFill="1" applyBorder="1" applyAlignment="1">
      <alignment horizontal="center"/>
    </xf>
    <xf numFmtId="3" fontId="0" fillId="2" borderId="0" xfId="0" quotePrefix="1" applyNumberFormat="1" applyFill="1" applyBorder="1"/>
    <xf numFmtId="4" fontId="0" fillId="2" borderId="27" xfId="0" applyNumberFormat="1" applyFill="1" applyBorder="1" applyAlignment="1">
      <alignment horizontal="center"/>
    </xf>
    <xf numFmtId="3" fontId="0" fillId="2" borderId="19" xfId="0" applyNumberFormat="1" applyFill="1" applyBorder="1"/>
    <xf numFmtId="3" fontId="0" fillId="2" borderId="20" xfId="0" quotePrefix="1" applyNumberFormat="1" applyFill="1" applyBorder="1"/>
    <xf numFmtId="3" fontId="0" fillId="2" borderId="12" xfId="0" applyNumberFormat="1" applyFill="1" applyBorder="1"/>
    <xf numFmtId="4" fontId="0" fillId="2" borderId="12" xfId="0" applyNumberFormat="1" applyFill="1" applyBorder="1" applyAlignment="1">
      <alignment horizontal="center"/>
    </xf>
    <xf numFmtId="4" fontId="12" fillId="6" borderId="0" xfId="7" applyNumberFormat="1" applyFont="1"/>
    <xf numFmtId="4" fontId="17" fillId="6" borderId="0" xfId="7" applyNumberFormat="1"/>
    <xf numFmtId="4" fontId="12" fillId="0" borderId="0" xfId="7" applyNumberFormat="1" applyFont="1" applyFill="1"/>
    <xf numFmtId="4" fontId="0" fillId="0" borderId="0" xfId="0" applyNumberFormat="1"/>
    <xf numFmtId="3" fontId="0" fillId="0" borderId="15" xfId="0" applyNumberFormat="1" applyBorder="1"/>
    <xf numFmtId="3" fontId="0" fillId="0" borderId="17" xfId="0" applyNumberFormat="1" applyBorder="1" applyAlignment="1">
      <alignment horizontal="centerContinuous"/>
    </xf>
    <xf numFmtId="3" fontId="0" fillId="0" borderId="26" xfId="0" applyNumberFormat="1" applyBorder="1" applyAlignment="1">
      <alignment horizontal="centerContinuous"/>
    </xf>
    <xf numFmtId="2" fontId="0" fillId="0" borderId="14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3" fontId="0" fillId="8" borderId="0" xfId="0" applyNumberFormat="1" applyFill="1" applyAlignment="1">
      <alignment horizontal="center"/>
    </xf>
    <xf numFmtId="170" fontId="0" fillId="0" borderId="0" xfId="0" applyNumberFormat="1" applyFill="1" applyBorder="1" applyAlignment="1">
      <alignment horizontal="center"/>
    </xf>
    <xf numFmtId="170" fontId="0" fillId="0" borderId="27" xfId="0" applyNumberFormat="1" applyFill="1" applyBorder="1" applyAlignment="1">
      <alignment horizontal="center"/>
    </xf>
    <xf numFmtId="170" fontId="51" fillId="0" borderId="27" xfId="0" applyNumberFormat="1" applyFont="1" applyFill="1" applyBorder="1" applyAlignment="1">
      <alignment horizontal="center"/>
    </xf>
    <xf numFmtId="170" fontId="1" fillId="15" borderId="0" xfId="10" applyNumberFormat="1" applyBorder="1" applyAlignment="1">
      <alignment horizontal="center"/>
    </xf>
    <xf numFmtId="170" fontId="1" fillId="7" borderId="0" xfId="8" applyNumberFormat="1" applyBorder="1" applyAlignment="1">
      <alignment horizontal="center"/>
    </xf>
    <xf numFmtId="170" fontId="51" fillId="0" borderId="0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170" fontId="0" fillId="0" borderId="20" xfId="0" applyNumberFormat="1" applyFill="1" applyBorder="1" applyAlignment="1">
      <alignment horizontal="center"/>
    </xf>
    <xf numFmtId="170" fontId="0" fillId="0" borderId="12" xfId="0" applyNumberFormat="1" applyFill="1" applyBorder="1" applyAlignment="1">
      <alignment horizontal="center"/>
    </xf>
    <xf numFmtId="170" fontId="51" fillId="0" borderId="20" xfId="0" applyNumberFormat="1" applyFont="1" applyFill="1" applyBorder="1" applyAlignment="1">
      <alignment horizontal="center"/>
    </xf>
    <xf numFmtId="170" fontId="1" fillId="15" borderId="0" xfId="10" applyNumberFormat="1" applyAlignment="1">
      <alignment horizontal="center"/>
    </xf>
    <xf numFmtId="170" fontId="1" fillId="7" borderId="0" xfId="8" applyNumberFormat="1" applyAlignment="1">
      <alignment horizontal="center"/>
    </xf>
    <xf numFmtId="0" fontId="32" fillId="0" borderId="0" xfId="0" applyFont="1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Fill="1" applyBorder="1" applyAlignment="1">
      <alignment horizontal="center"/>
    </xf>
    <xf numFmtId="164" fontId="0" fillId="0" borderId="27" xfId="1" applyNumberFormat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center"/>
    </xf>
    <xf numFmtId="164" fontId="16" fillId="0" borderId="0" xfId="1" applyNumberFormat="1" applyFont="1" applyFill="1" applyBorder="1" applyAlignment="1">
      <alignment horizontal="center"/>
    </xf>
    <xf numFmtId="164" fontId="0" fillId="0" borderId="20" xfId="1" applyNumberFormat="1" applyFont="1" applyFill="1" applyBorder="1" applyAlignment="1">
      <alignment horizontal="center"/>
    </xf>
    <xf numFmtId="164" fontId="0" fillId="0" borderId="12" xfId="1" applyNumberFormat="1" applyFont="1" applyFill="1" applyBorder="1" applyAlignment="1">
      <alignment horizontal="center"/>
    </xf>
    <xf numFmtId="164" fontId="16" fillId="0" borderId="20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4" fontId="0" fillId="7" borderId="0" xfId="8" applyNumberFormat="1" applyFont="1" applyAlignment="1">
      <alignment horizontal="center"/>
    </xf>
    <xf numFmtId="3" fontId="0" fillId="7" borderId="0" xfId="8" applyNumberFormat="1" applyFont="1"/>
    <xf numFmtId="170" fontId="0" fillId="0" borderId="0" xfId="0" applyNumberFormat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41" fillId="0" borderId="27" xfId="0" applyNumberFormat="1" applyFont="1" applyFill="1" applyBorder="1" applyAlignment="1">
      <alignment horizontal="center"/>
    </xf>
    <xf numFmtId="3" fontId="1" fillId="16" borderId="0" xfId="11" applyNumberFormat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3" fontId="0" fillId="0" borderId="27" xfId="0" applyNumberFormat="1" applyFill="1" applyBorder="1" applyAlignment="1">
      <alignment horizontal="center"/>
    </xf>
    <xf numFmtId="3" fontId="1" fillId="16" borderId="0" xfId="11" applyNumberFormat="1" applyAlignment="1">
      <alignment horizontal="center"/>
    </xf>
    <xf numFmtId="3" fontId="41" fillId="0" borderId="20" xfId="0" applyNumberFormat="1" applyFont="1" applyFill="1" applyBorder="1" applyAlignment="1">
      <alignment horizontal="center"/>
    </xf>
    <xf numFmtId="3" fontId="0" fillId="0" borderId="20" xfId="0" applyNumberFormat="1" applyFill="1" applyBorder="1" applyAlignment="1">
      <alignment horizontal="center"/>
    </xf>
    <xf numFmtId="3" fontId="0" fillId="0" borderId="12" xfId="0" applyNumberFormat="1" applyFill="1" applyBorder="1" applyAlignment="1">
      <alignment horizontal="center"/>
    </xf>
    <xf numFmtId="3" fontId="12" fillId="4" borderId="0" xfId="4" applyNumberFormat="1" applyFont="1"/>
    <xf numFmtId="1" fontId="0" fillId="0" borderId="13" xfId="0" quotePrefix="1" applyNumberFormat="1" applyFont="1" applyBorder="1" applyAlignment="1">
      <alignment horizontal="center"/>
    </xf>
    <xf numFmtId="167" fontId="12" fillId="0" borderId="16" xfId="7" applyNumberFormat="1" applyFont="1" applyFill="1" applyBorder="1" applyAlignment="1">
      <alignment horizontal="center"/>
    </xf>
    <xf numFmtId="167" fontId="12" fillId="0" borderId="17" xfId="7" applyNumberFormat="1" applyFont="1" applyFill="1" applyBorder="1" applyAlignment="1">
      <alignment horizontal="center"/>
    </xf>
    <xf numFmtId="167" fontId="12" fillId="0" borderId="26" xfId="7" applyNumberFormat="1" applyFont="1" applyFill="1" applyBorder="1" applyAlignment="1">
      <alignment horizontal="center"/>
    </xf>
    <xf numFmtId="167" fontId="12" fillId="0" borderId="18" xfId="7" applyNumberFormat="1" applyFont="1" applyFill="1" applyBorder="1" applyAlignment="1">
      <alignment horizontal="center"/>
    </xf>
    <xf numFmtId="167" fontId="12" fillId="0" borderId="0" xfId="7" applyNumberFormat="1" applyFont="1" applyFill="1" applyBorder="1" applyAlignment="1">
      <alignment horizontal="center"/>
    </xf>
    <xf numFmtId="3" fontId="12" fillId="0" borderId="27" xfId="7" applyNumberFormat="1" applyFont="1" applyFill="1" applyBorder="1"/>
    <xf numFmtId="3" fontId="12" fillId="0" borderId="0" xfId="7" applyNumberFormat="1" applyFont="1" applyFill="1" applyBorder="1"/>
    <xf numFmtId="3" fontId="12" fillId="0" borderId="19" xfId="7" applyNumberFormat="1" applyFont="1" applyFill="1" applyBorder="1"/>
    <xf numFmtId="3" fontId="12" fillId="0" borderId="20" xfId="7" applyNumberFormat="1" applyFont="1" applyFill="1" applyBorder="1"/>
    <xf numFmtId="3" fontId="12" fillId="0" borderId="12" xfId="7" applyNumberFormat="1" applyFont="1" applyFill="1" applyBorder="1"/>
    <xf numFmtId="3" fontId="0" fillId="2" borderId="15" xfId="0" applyNumberFormat="1" applyFill="1" applyBorder="1"/>
    <xf numFmtId="3" fontId="0" fillId="2" borderId="17" xfId="0" applyNumberFormat="1" applyFill="1" applyBorder="1" applyAlignment="1">
      <alignment horizontal="centerContinuous"/>
    </xf>
    <xf numFmtId="3" fontId="0" fillId="2" borderId="26" xfId="0" applyNumberFormat="1" applyFill="1" applyBorder="1" applyAlignment="1">
      <alignment horizontal="centerContinuous"/>
    </xf>
    <xf numFmtId="2" fontId="0" fillId="2" borderId="14" xfId="0" applyNumberFormat="1" applyFill="1" applyBorder="1" applyAlignment="1">
      <alignment horizontal="center"/>
    </xf>
    <xf numFmtId="1" fontId="0" fillId="2" borderId="20" xfId="0" applyNumberForma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3" fontId="0" fillId="2" borderId="17" xfId="0" applyNumberFormat="1" applyFont="1" applyFill="1" applyBorder="1" applyAlignment="1">
      <alignment horizontal="centerContinuous"/>
    </xf>
    <xf numFmtId="0" fontId="12" fillId="10" borderId="1" xfId="0" applyFont="1" applyFill="1" applyBorder="1" applyAlignment="1" applyProtection="1">
      <alignment horizontal="center"/>
    </xf>
    <xf numFmtId="3" fontId="0" fillId="2" borderId="13" xfId="0" applyNumberFormat="1" applyFill="1" applyBorder="1"/>
    <xf numFmtId="3" fontId="0" fillId="2" borderId="29" xfId="0" applyNumberFormat="1" applyFill="1" applyBorder="1"/>
    <xf numFmtId="3" fontId="0" fillId="2" borderId="30" xfId="0" applyNumberFormat="1" applyFill="1" applyBorder="1"/>
    <xf numFmtId="164" fontId="0" fillId="2" borderId="30" xfId="1" applyNumberFormat="1" applyFont="1" applyFill="1" applyBorder="1" applyAlignment="1">
      <alignment horizontal="center"/>
    </xf>
    <xf numFmtId="170" fontId="0" fillId="2" borderId="0" xfId="0" applyNumberFormat="1" applyFill="1" applyBorder="1" applyAlignment="1">
      <alignment horizontal="center"/>
    </xf>
    <xf numFmtId="170" fontId="51" fillId="2" borderId="27" xfId="0" applyNumberFormat="1" applyFont="1" applyFill="1" applyBorder="1" applyAlignment="1">
      <alignment horizontal="center"/>
    </xf>
    <xf numFmtId="170" fontId="1" fillId="2" borderId="0" xfId="8" applyNumberFormat="1" applyFill="1" applyBorder="1" applyAlignment="1">
      <alignment horizontal="center"/>
    </xf>
    <xf numFmtId="170" fontId="51" fillId="2" borderId="0" xfId="0" applyNumberFormat="1" applyFont="1" applyFill="1" applyBorder="1" applyAlignment="1">
      <alignment horizontal="center"/>
    </xf>
    <xf numFmtId="170" fontId="0" fillId="2" borderId="27" xfId="0" applyNumberFormat="1" applyFill="1" applyBorder="1" applyAlignment="1">
      <alignment horizontal="center"/>
    </xf>
    <xf numFmtId="170" fontId="51" fillId="2" borderId="20" xfId="0" applyNumberFormat="1" applyFont="1" applyFill="1" applyBorder="1" applyAlignment="1">
      <alignment horizontal="center"/>
    </xf>
    <xf numFmtId="170" fontId="0" fillId="2" borderId="20" xfId="0" applyNumberFormat="1" applyFill="1" applyBorder="1" applyAlignment="1">
      <alignment horizontal="center"/>
    </xf>
    <xf numFmtId="170" fontId="0" fillId="2" borderId="12" xfId="0" applyNumberFormat="1" applyFill="1" applyBorder="1" applyAlignment="1">
      <alignment horizontal="center"/>
    </xf>
    <xf numFmtId="0" fontId="49" fillId="2" borderId="0" xfId="0" applyFont="1" applyFill="1" applyBorder="1" applyProtection="1"/>
    <xf numFmtId="0" fontId="27" fillId="0" borderId="0" xfId="0" applyFont="1"/>
    <xf numFmtId="0" fontId="12" fillId="2" borderId="12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1" xfId="0" applyFont="1" applyFill="1" applyBorder="1" applyAlignment="1" applyProtection="1">
      <alignment horizontal="center"/>
    </xf>
    <xf numFmtId="0" fontId="12" fillId="2" borderId="14" xfId="0" applyFont="1" applyFill="1" applyBorder="1" applyAlignment="1" applyProtection="1">
      <alignment horizontal="center"/>
    </xf>
    <xf numFmtId="0" fontId="33" fillId="12" borderId="39" xfId="0" applyFont="1" applyFill="1" applyBorder="1" applyAlignment="1">
      <alignment horizontal="center" vertical="center"/>
    </xf>
    <xf numFmtId="0" fontId="33" fillId="12" borderId="40" xfId="0" applyFont="1" applyFill="1" applyBorder="1" applyAlignment="1">
      <alignment horizontal="center" vertical="center"/>
    </xf>
    <xf numFmtId="0" fontId="33" fillId="11" borderId="35" xfId="0" applyFont="1" applyFill="1" applyBorder="1" applyAlignment="1">
      <alignment vertical="center"/>
    </xf>
    <xf numFmtId="3" fontId="21" fillId="11" borderId="35" xfId="0" applyNumberFormat="1" applyFont="1" applyFill="1" applyBorder="1" applyAlignment="1">
      <alignment vertical="center"/>
    </xf>
    <xf numFmtId="3" fontId="21" fillId="17" borderId="35" xfId="0" applyNumberFormat="1" applyFont="1" applyFill="1" applyBorder="1" applyAlignment="1">
      <alignment vertical="center"/>
    </xf>
    <xf numFmtId="0" fontId="0" fillId="0" borderId="0" xfId="0" applyAlignment="1">
      <alignment horizontal="centerContinuous"/>
    </xf>
    <xf numFmtId="3" fontId="0" fillId="0" borderId="0" xfId="0" applyNumberFormat="1" applyFill="1" applyAlignment="1">
      <alignment horizontal="center"/>
    </xf>
    <xf numFmtId="3" fontId="23" fillId="0" borderId="0" xfId="0" applyNumberFormat="1" applyFont="1"/>
    <xf numFmtId="3" fontId="23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70" fontId="23" fillId="0" borderId="0" xfId="8" applyNumberFormat="1" applyFont="1" applyFill="1" applyAlignment="1">
      <alignment horizontal="center"/>
    </xf>
    <xf numFmtId="3" fontId="0" fillId="2" borderId="13" xfId="0" applyNumberFormat="1" applyFill="1" applyBorder="1" applyAlignment="1">
      <alignment horizontal="center"/>
    </xf>
    <xf numFmtId="3" fontId="0" fillId="2" borderId="29" xfId="0" applyNumberForma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3" fontId="12" fillId="10" borderId="29" xfId="7" applyNumberFormat="1" applyFont="1" applyFill="1" applyBorder="1" applyAlignment="1">
      <alignment horizontal="center"/>
    </xf>
    <xf numFmtId="3" fontId="12" fillId="10" borderId="30" xfId="4" applyNumberFormat="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10" fontId="0" fillId="0" borderId="0" xfId="1" applyNumberFormat="1" applyFont="1" applyFill="1" applyAlignment="1">
      <alignment horizontal="center"/>
    </xf>
    <xf numFmtId="10" fontId="41" fillId="0" borderId="0" xfId="1" applyNumberFormat="1" applyFont="1" applyFill="1" applyAlignment="1">
      <alignment horizontal="center"/>
    </xf>
    <xf numFmtId="0" fontId="62" fillId="0" borderId="0" xfId="0" quotePrefix="1" applyFont="1"/>
    <xf numFmtId="168" fontId="0" fillId="0" borderId="0" xfId="1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0" xfId="1" applyNumberFormat="1" applyFont="1" applyAlignment="1">
      <alignment horizontal="center"/>
    </xf>
    <xf numFmtId="0" fontId="0" fillId="0" borderId="26" xfId="0" applyBorder="1" applyAlignment="1">
      <alignment horizontal="center"/>
    </xf>
    <xf numFmtId="168" fontId="0" fillId="0" borderId="16" xfId="0" applyNumberFormat="1" applyBorder="1" applyAlignment="1">
      <alignment horizontal="center"/>
    </xf>
    <xf numFmtId="168" fontId="0" fillId="0" borderId="17" xfId="0" applyNumberFormat="1" applyBorder="1" applyAlignment="1">
      <alignment horizontal="center"/>
    </xf>
    <xf numFmtId="168" fontId="16" fillId="0" borderId="17" xfId="0" applyNumberFormat="1" applyFont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10" fontId="0" fillId="0" borderId="16" xfId="1" applyNumberFormat="1" applyFont="1" applyBorder="1" applyAlignment="1">
      <alignment horizontal="center"/>
    </xf>
    <xf numFmtId="10" fontId="0" fillId="0" borderId="17" xfId="1" applyNumberFormat="1" applyFont="1" applyBorder="1" applyAlignment="1">
      <alignment horizontal="center"/>
    </xf>
    <xf numFmtId="0" fontId="16" fillId="0" borderId="17" xfId="0" applyFont="1" applyBorder="1"/>
    <xf numFmtId="0" fontId="0" fillId="0" borderId="1" xfId="0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21" xfId="0" applyFont="1" applyFill="1" applyBorder="1" applyAlignment="1">
      <alignment horizontal="center"/>
    </xf>
    <xf numFmtId="175" fontId="0" fillId="8" borderId="0" xfId="0" applyNumberFormat="1" applyFont="1" applyFill="1" applyBorder="1" applyAlignment="1">
      <alignment horizontal="center"/>
    </xf>
    <xf numFmtId="175" fontId="0" fillId="8" borderId="27" xfId="0" applyNumberFormat="1" applyFont="1" applyFill="1" applyBorder="1" applyAlignment="1">
      <alignment horizontal="center"/>
    </xf>
    <xf numFmtId="0" fontId="6" fillId="0" borderId="0" xfId="0" quotePrefix="1" applyFont="1"/>
    <xf numFmtId="0" fontId="0" fillId="0" borderId="14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left"/>
    </xf>
    <xf numFmtId="0" fontId="3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0" fontId="65" fillId="0" borderId="0" xfId="0" applyFont="1"/>
    <xf numFmtId="0" fontId="65" fillId="0" borderId="0" xfId="0" quotePrefix="1" applyFont="1" applyAlignment="1">
      <alignment horizontal="center"/>
    </xf>
    <xf numFmtId="0" fontId="32" fillId="0" borderId="19" xfId="0" applyFont="1" applyFill="1" applyBorder="1" applyAlignment="1">
      <alignment horizontal="center"/>
    </xf>
    <xf numFmtId="0" fontId="65" fillId="0" borderId="20" xfId="0" applyFont="1" applyFill="1" applyBorder="1"/>
    <xf numFmtId="176" fontId="32" fillId="0" borderId="0" xfId="9" applyNumberFormat="1" applyFont="1" applyFill="1" applyAlignment="1">
      <alignment horizontal="right"/>
    </xf>
    <xf numFmtId="176" fontId="65" fillId="0" borderId="0" xfId="0" applyNumberFormat="1" applyFont="1" applyFill="1"/>
    <xf numFmtId="176" fontId="32" fillId="0" borderId="20" xfId="9" applyNumberFormat="1" applyFont="1" applyFill="1" applyBorder="1" applyAlignment="1">
      <alignment horizontal="right"/>
    </xf>
    <xf numFmtId="176" fontId="65" fillId="0" borderId="20" xfId="0" applyNumberFormat="1" applyFont="1" applyFill="1" applyBorder="1"/>
    <xf numFmtId="0" fontId="0" fillId="0" borderId="27" xfId="0" applyBorder="1"/>
    <xf numFmtId="176" fontId="32" fillId="0" borderId="0" xfId="0" applyNumberFormat="1" applyFont="1" applyFill="1"/>
    <xf numFmtId="0" fontId="0" fillId="2" borderId="0" xfId="0" applyFill="1" applyAlignment="1">
      <alignment horizontal="centerContinuous"/>
    </xf>
    <xf numFmtId="0" fontId="0" fillId="2" borderId="0" xfId="0" applyFill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3" fontId="0" fillId="2" borderId="0" xfId="1" applyNumberFormat="1" applyFont="1" applyFill="1" applyAlignment="1">
      <alignment horizontal="center"/>
    </xf>
    <xf numFmtId="10" fontId="0" fillId="2" borderId="0" xfId="1" applyNumberFormat="1" applyFont="1" applyFill="1" applyAlignment="1">
      <alignment horizontal="center"/>
    </xf>
    <xf numFmtId="0" fontId="0" fillId="2" borderId="20" xfId="0" quotePrefix="1" applyFill="1" applyBorder="1" applyAlignment="1">
      <alignment horizontal="center"/>
    </xf>
    <xf numFmtId="0" fontId="24" fillId="2" borderId="0" xfId="0" applyFont="1" applyFill="1"/>
    <xf numFmtId="175" fontId="0" fillId="2" borderId="0" xfId="9" applyNumberFormat="1" applyFont="1" applyFill="1" applyAlignment="1">
      <alignment horizontal="center"/>
    </xf>
    <xf numFmtId="0" fontId="64" fillId="2" borderId="13" xfId="4" applyFont="1" applyFill="1" applyBorder="1"/>
    <xf numFmtId="0" fontId="11" fillId="2" borderId="29" xfId="4" applyFont="1" applyFill="1" applyBorder="1"/>
    <xf numFmtId="164" fontId="11" fillId="2" borderId="29" xfId="4" applyNumberFormat="1" applyFont="1" applyFill="1" applyBorder="1"/>
    <xf numFmtId="0" fontId="11" fillId="2" borderId="30" xfId="4" applyFont="1" applyFill="1" applyBorder="1"/>
    <xf numFmtId="0" fontId="0" fillId="10" borderId="13" xfId="0" applyFill="1" applyBorder="1" applyAlignment="1">
      <alignment horizontal="centerContinuous"/>
    </xf>
    <xf numFmtId="0" fontId="0" fillId="10" borderId="30" xfId="0" applyFont="1" applyFill="1" applyBorder="1" applyAlignment="1">
      <alignment horizontal="centerContinuous"/>
    </xf>
    <xf numFmtId="0" fontId="0" fillId="10" borderId="1" xfId="0" applyFill="1" applyBorder="1" applyAlignment="1">
      <alignment horizontal="center"/>
    </xf>
    <xf numFmtId="3" fontId="0" fillId="0" borderId="16" xfId="0" applyNumberFormat="1" applyFont="1" applyBorder="1" applyAlignment="1">
      <alignment horizontal="right"/>
    </xf>
    <xf numFmtId="3" fontId="0" fillId="0" borderId="15" xfId="0" applyNumberFormat="1" applyFont="1" applyBorder="1" applyAlignment="1">
      <alignment horizontal="right"/>
    </xf>
    <xf numFmtId="3" fontId="0" fillId="0" borderId="19" xfId="0" applyNumberFormat="1" applyFont="1" applyBorder="1" applyAlignment="1">
      <alignment horizontal="right"/>
    </xf>
    <xf numFmtId="3" fontId="0" fillId="0" borderId="14" xfId="0" applyNumberFormat="1" applyFont="1" applyBorder="1" applyAlignment="1">
      <alignment horizontal="right"/>
    </xf>
    <xf numFmtId="3" fontId="0" fillId="0" borderId="18" xfId="0" applyNumberFormat="1" applyFont="1" applyBorder="1" applyAlignment="1">
      <alignment horizontal="right"/>
    </xf>
    <xf numFmtId="164" fontId="0" fillId="0" borderId="21" xfId="1" applyNumberFormat="1" applyFont="1" applyBorder="1"/>
    <xf numFmtId="3" fontId="0" fillId="0" borderId="16" xfId="0" applyNumberFormat="1" applyFont="1" applyBorder="1"/>
    <xf numFmtId="164" fontId="0" fillId="0" borderId="14" xfId="1" applyNumberFormat="1" applyFont="1" applyBorder="1"/>
    <xf numFmtId="164" fontId="14" fillId="4" borderId="0" xfId="4" applyNumberFormat="1"/>
    <xf numFmtId="3" fontId="0" fillId="0" borderId="0" xfId="0" applyNumberFormat="1" applyFont="1" applyAlignment="1">
      <alignment horizontal="centerContinuous"/>
    </xf>
    <xf numFmtId="0" fontId="40" fillId="0" borderId="0" xfId="0" applyFont="1"/>
    <xf numFmtId="3" fontId="32" fillId="0" borderId="0" xfId="0" quotePrefix="1" applyNumberFormat="1" applyFont="1"/>
    <xf numFmtId="164" fontId="0" fillId="0" borderId="0" xfId="1" applyNumberFormat="1" applyFont="1" applyAlignment="1">
      <alignment horizontal="centerContinuous"/>
    </xf>
    <xf numFmtId="3" fontId="14" fillId="4" borderId="13" xfId="4" applyNumberFormat="1" applyBorder="1" applyAlignment="1">
      <alignment horizontal="centerContinuous"/>
    </xf>
    <xf numFmtId="3" fontId="14" fillId="4" borderId="29" xfId="4" applyNumberFormat="1" applyBorder="1" applyAlignment="1">
      <alignment horizontal="centerContinuous"/>
    </xf>
    <xf numFmtId="3" fontId="14" fillId="4" borderId="29" xfId="4" quotePrefix="1" applyNumberFormat="1" applyBorder="1" applyAlignment="1">
      <alignment horizontal="center"/>
    </xf>
    <xf numFmtId="3" fontId="14" fillId="4" borderId="30" xfId="4" applyNumberFormat="1" applyBorder="1" applyAlignment="1">
      <alignment horizontal="center"/>
    </xf>
    <xf numFmtId="3" fontId="39" fillId="0" borderId="0" xfId="0" applyNumberFormat="1" applyFont="1"/>
    <xf numFmtId="3" fontId="0" fillId="2" borderId="16" xfId="0" applyNumberFormat="1" applyFont="1" applyFill="1" applyBorder="1" applyAlignment="1">
      <alignment horizontal="right"/>
    </xf>
    <xf numFmtId="3" fontId="16" fillId="2" borderId="26" xfId="0" applyNumberFormat="1" applyFont="1" applyFill="1" applyBorder="1" applyAlignment="1">
      <alignment horizontal="right"/>
    </xf>
    <xf numFmtId="3" fontId="0" fillId="2" borderId="19" xfId="0" applyNumberFormat="1" applyFont="1" applyFill="1" applyBorder="1" applyAlignment="1">
      <alignment horizontal="right"/>
    </xf>
    <xf numFmtId="3" fontId="16" fillId="2" borderId="12" xfId="0" applyNumberFormat="1" applyFont="1" applyFill="1" applyBorder="1" applyAlignment="1">
      <alignment horizontal="right"/>
    </xf>
    <xf numFmtId="9" fontId="0" fillId="2" borderId="14" xfId="1" applyFont="1" applyFill="1" applyBorder="1"/>
    <xf numFmtId="9" fontId="0" fillId="2" borderId="15" xfId="1" applyFont="1" applyFill="1" applyBorder="1"/>
    <xf numFmtId="3" fontId="0" fillId="2" borderId="12" xfId="1" applyNumberFormat="1" applyFont="1" applyFill="1" applyBorder="1"/>
    <xf numFmtId="0" fontId="2" fillId="0" borderId="1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7" fillId="2" borderId="4" xfId="2" quotePrefix="1" applyFont="1" applyFill="1" applyBorder="1" applyAlignment="1" applyProtection="1">
      <alignment horizontal="right"/>
    </xf>
    <xf numFmtId="0" fontId="7" fillId="0" borderId="5" xfId="2" applyFont="1" applyBorder="1" applyAlignment="1">
      <alignment horizontal="right"/>
    </xf>
    <xf numFmtId="0" fontId="7" fillId="2" borderId="5" xfId="2" quotePrefix="1" applyFont="1" applyFill="1" applyBorder="1" applyAlignment="1" applyProtection="1">
      <alignment horizontal="right"/>
    </xf>
  </cellXfs>
  <cellStyles count="12">
    <cellStyle name="40% - Accent1" xfId="8" builtinId="31"/>
    <cellStyle name="40% - Accent4" xfId="10" builtinId="43"/>
    <cellStyle name="40% - Accent6" xfId="11" builtinId="51"/>
    <cellStyle name="Bad" xfId="5" builtinId="27"/>
    <cellStyle name="Comma" xfId="9" builtinId="3"/>
    <cellStyle name="Currency" xfId="6" builtinId="4"/>
    <cellStyle name="Good" xfId="4" builtinId="26"/>
    <cellStyle name="Hyperlink" xfId="2" builtinId="8"/>
    <cellStyle name="Neutral" xfId="7" builtinId="28"/>
    <cellStyle name="Normal" xfId="0" builtinId="0"/>
    <cellStyle name="Normal 2" xfId="3"/>
    <cellStyle name="Percent" xfId="1" builtinId="5"/>
  </cellStyles>
  <dxfs count="102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6</xdr:col>
      <xdr:colOff>189230</xdr:colOff>
      <xdr:row>4</xdr:row>
      <xdr:rowOff>17569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3322955" cy="7795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514350</xdr:colOff>
      <xdr:row>5</xdr:row>
      <xdr:rowOff>57150</xdr:rowOff>
    </xdr:from>
    <xdr:to>
      <xdr:col>18</xdr:col>
      <xdr:colOff>400050</xdr:colOff>
      <xdr:row>13</xdr:row>
      <xdr:rowOff>28575</xdr:rowOff>
    </xdr:to>
    <xdr:pic>
      <xdr:nvPicPr>
        <xdr:cNvPr id="3" name="CRLdiagram" descr="rate change diagram not foun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009650"/>
          <a:ext cx="4762500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201084</xdr:colOff>
      <xdr:row>26</xdr:row>
      <xdr:rowOff>85725</xdr:rowOff>
    </xdr:from>
    <xdr:to>
      <xdr:col>8</xdr:col>
      <xdr:colOff>628650</xdr:colOff>
      <xdr:row>29</xdr:row>
      <xdr:rowOff>74084</xdr:rowOff>
    </xdr:to>
    <xdr:cxnSp macro="">
      <xdr:nvCxnSpPr>
        <xdr:cNvPr id="2" name="Straight Connector 1"/>
        <xdr:cNvCxnSpPr/>
      </xdr:nvCxnSpPr>
      <xdr:spPr>
        <a:xfrm flipV="1">
          <a:off x="4849284" y="5057775"/>
          <a:ext cx="1913466" cy="559859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190500</xdr:colOff>
      <xdr:row>33</xdr:row>
      <xdr:rowOff>105833</xdr:rowOff>
    </xdr:from>
    <xdr:to>
      <xdr:col>9</xdr:col>
      <xdr:colOff>21167</xdr:colOff>
      <xdr:row>33</xdr:row>
      <xdr:rowOff>158751</xdr:rowOff>
    </xdr:to>
    <xdr:cxnSp macro="">
      <xdr:nvCxnSpPr>
        <xdr:cNvPr id="3" name="Straight Connector 2"/>
        <xdr:cNvCxnSpPr/>
      </xdr:nvCxnSpPr>
      <xdr:spPr>
        <a:xfrm flipV="1">
          <a:off x="4267200" y="6201833"/>
          <a:ext cx="1659467" cy="52918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74084</xdr:colOff>
      <xdr:row>38</xdr:row>
      <xdr:rowOff>95250</xdr:rowOff>
    </xdr:from>
    <xdr:to>
      <xdr:col>10</xdr:col>
      <xdr:colOff>296334</xdr:colOff>
      <xdr:row>38</xdr:row>
      <xdr:rowOff>105834</xdr:rowOff>
    </xdr:to>
    <xdr:cxnSp macro="">
      <xdr:nvCxnSpPr>
        <xdr:cNvPr id="4" name="Straight Connector 3"/>
        <xdr:cNvCxnSpPr/>
      </xdr:nvCxnSpPr>
      <xdr:spPr>
        <a:xfrm flipV="1">
          <a:off x="5369984" y="7143750"/>
          <a:ext cx="831850" cy="10584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201084</xdr:colOff>
      <xdr:row>44</xdr:row>
      <xdr:rowOff>133350</xdr:rowOff>
    </xdr:from>
    <xdr:to>
      <xdr:col>8</xdr:col>
      <xdr:colOff>657225</xdr:colOff>
      <xdr:row>48</xdr:row>
      <xdr:rowOff>137587</xdr:rowOff>
    </xdr:to>
    <xdr:cxnSp macro="">
      <xdr:nvCxnSpPr>
        <xdr:cNvPr id="5" name="Straight Connector 4"/>
        <xdr:cNvCxnSpPr/>
      </xdr:nvCxnSpPr>
      <xdr:spPr>
        <a:xfrm flipV="1">
          <a:off x="4849284" y="8534400"/>
          <a:ext cx="1942041" cy="766237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293158</xdr:colOff>
      <xdr:row>47</xdr:row>
      <xdr:rowOff>9525</xdr:rowOff>
    </xdr:from>
    <xdr:to>
      <xdr:col>9</xdr:col>
      <xdr:colOff>133350</xdr:colOff>
      <xdr:row>50</xdr:row>
      <xdr:rowOff>81494</xdr:rowOff>
    </xdr:to>
    <xdr:cxnSp macro="">
      <xdr:nvCxnSpPr>
        <xdr:cNvPr id="6" name="Straight Connector 5"/>
        <xdr:cNvCxnSpPr/>
      </xdr:nvCxnSpPr>
      <xdr:spPr>
        <a:xfrm flipV="1">
          <a:off x="4941358" y="8982075"/>
          <a:ext cx="2069042" cy="643469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74084</xdr:colOff>
      <xdr:row>57</xdr:row>
      <xdr:rowOff>95250</xdr:rowOff>
    </xdr:from>
    <xdr:to>
      <xdr:col>10</xdr:col>
      <xdr:colOff>296334</xdr:colOff>
      <xdr:row>57</xdr:row>
      <xdr:rowOff>105834</xdr:rowOff>
    </xdr:to>
    <xdr:cxnSp macro="">
      <xdr:nvCxnSpPr>
        <xdr:cNvPr id="7" name="Straight Connector 6"/>
        <xdr:cNvCxnSpPr/>
      </xdr:nvCxnSpPr>
      <xdr:spPr>
        <a:xfrm flipV="1">
          <a:off x="5369984" y="10915650"/>
          <a:ext cx="831850" cy="10584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497417</xdr:colOff>
      <xdr:row>3</xdr:row>
      <xdr:rowOff>158751</xdr:rowOff>
    </xdr:from>
    <xdr:to>
      <xdr:col>21</xdr:col>
      <xdr:colOff>560917</xdr:colOff>
      <xdr:row>7</xdr:row>
      <xdr:rowOff>148167</xdr:rowOff>
    </xdr:to>
    <xdr:cxnSp macro="">
      <xdr:nvCxnSpPr>
        <xdr:cNvPr id="2" name="Straight Arrow Connector 1"/>
        <xdr:cNvCxnSpPr/>
      </xdr:nvCxnSpPr>
      <xdr:spPr>
        <a:xfrm flipH="1">
          <a:off x="12508442" y="539751"/>
          <a:ext cx="673100" cy="75141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497417</xdr:colOff>
      <xdr:row>53</xdr:row>
      <xdr:rowOff>158751</xdr:rowOff>
    </xdr:from>
    <xdr:to>
      <xdr:col>21</xdr:col>
      <xdr:colOff>560917</xdr:colOff>
      <xdr:row>57</xdr:row>
      <xdr:rowOff>148167</xdr:rowOff>
    </xdr:to>
    <xdr:cxnSp macro="">
      <xdr:nvCxnSpPr>
        <xdr:cNvPr id="2" name="Straight Arrow Connector 1"/>
        <xdr:cNvCxnSpPr/>
      </xdr:nvCxnSpPr>
      <xdr:spPr>
        <a:xfrm flipH="1">
          <a:off x="11889317" y="8540751"/>
          <a:ext cx="939800" cy="75141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95251</xdr:colOff>
      <xdr:row>14</xdr:row>
      <xdr:rowOff>127000</xdr:rowOff>
    </xdr:from>
    <xdr:to>
      <xdr:col>21</xdr:col>
      <xdr:colOff>571500</xdr:colOff>
      <xdr:row>17</xdr:row>
      <xdr:rowOff>169333</xdr:rowOff>
    </xdr:to>
    <xdr:cxnSp macro="">
      <xdr:nvCxnSpPr>
        <xdr:cNvPr id="2" name="Straight Arrow Connector 1"/>
        <xdr:cNvCxnSpPr/>
      </xdr:nvCxnSpPr>
      <xdr:spPr>
        <a:xfrm flipH="1">
          <a:off x="11487151" y="1841500"/>
          <a:ext cx="1085849" cy="61383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28"/>
  <sheetViews>
    <sheetView tabSelected="1" workbookViewId="0"/>
  </sheetViews>
  <sheetFormatPr defaultRowHeight="15"/>
  <cols>
    <col min="1" max="11" width="9.140625" style="37"/>
    <col min="12" max="12" width="7" style="37" customWidth="1"/>
    <col min="13" max="13" width="12.42578125" style="37" customWidth="1"/>
    <col min="14" max="16384" width="9.140625" style="37"/>
  </cols>
  <sheetData>
    <row r="6" spans="1:13" ht="21">
      <c r="A6" s="12" t="s">
        <v>15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8" spans="1:13">
      <c r="A8" s="37" t="s">
        <v>16</v>
      </c>
    </row>
    <row r="10" spans="1:13">
      <c r="A10" s="37" t="s">
        <v>28</v>
      </c>
    </row>
    <row r="12" spans="1:13">
      <c r="A12" s="37" t="s">
        <v>17</v>
      </c>
    </row>
    <row r="14" spans="1:13">
      <c r="A14" s="37" t="s">
        <v>29</v>
      </c>
    </row>
    <row r="15" spans="1:13">
      <c r="A15" s="37" t="s">
        <v>18</v>
      </c>
    </row>
    <row r="17" spans="1:13">
      <c r="A17" s="37" t="s">
        <v>19</v>
      </c>
    </row>
    <row r="18" spans="1:13">
      <c r="A18" s="37" t="s">
        <v>30</v>
      </c>
    </row>
    <row r="19" spans="1:13">
      <c r="A19" s="37" t="s">
        <v>31</v>
      </c>
    </row>
    <row r="20" spans="1:13" ht="15.75" thickBot="1"/>
    <row r="21" spans="1:13" ht="15.75" thickBot="1">
      <c r="A21" s="37" t="s">
        <v>22</v>
      </c>
      <c r="M21" s="5"/>
    </row>
    <row r="23" spans="1:13">
      <c r="A23" s="37" t="s">
        <v>32</v>
      </c>
    </row>
    <row r="25" spans="1:13">
      <c r="A25" s="37" t="s">
        <v>20</v>
      </c>
    </row>
    <row r="26" spans="1:13">
      <c r="A26" s="37" t="s">
        <v>21</v>
      </c>
    </row>
    <row r="27" spans="1:13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3" ht="15.75">
      <c r="A28" s="13" t="s">
        <v>23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37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8" sqref="A8"/>
    </sheetView>
  </sheetViews>
  <sheetFormatPr defaultRowHeight="15"/>
  <cols>
    <col min="1" max="1" width="9.7109375" style="37" customWidth="1"/>
    <col min="2" max="2" width="10.42578125" style="37" customWidth="1"/>
    <col min="3" max="9" width="6.7109375" style="37" customWidth="1"/>
    <col min="10" max="10" width="14.140625" style="37" bestFit="1" customWidth="1"/>
    <col min="11" max="11" width="2.7109375" style="37" customWidth="1"/>
    <col min="12" max="12" width="12.7109375" style="37" customWidth="1"/>
    <col min="13" max="19" width="6.7109375" style="37" customWidth="1"/>
    <col min="20" max="26" width="9.140625" style="37"/>
    <col min="27" max="27" width="12.140625" style="37" bestFit="1" customWidth="1"/>
    <col min="28" max="28" width="12.7109375" style="37" customWidth="1"/>
    <col min="29" max="16384" width="9.140625" style="37"/>
  </cols>
  <sheetData>
    <row r="1" spans="1:25" ht="15.75" thickBot="1"/>
    <row r="2" spans="1:25" ht="15" customHeight="1" thickBot="1">
      <c r="L2" s="14" t="s">
        <v>25</v>
      </c>
      <c r="M2" s="29" t="str">
        <f t="array" ref="M2">IF(SUM(IF(M8:S32="",0,1))=0,"",SUM(M8:S32))</f>
        <v/>
      </c>
      <c r="O2" s="10" t="s">
        <v>14</v>
      </c>
      <c r="P2" s="6" t="str">
        <f>IF(M2="","",M2/M3)</f>
        <v/>
      </c>
    </row>
    <row r="3" spans="1:25">
      <c r="L3" s="15" t="s">
        <v>26</v>
      </c>
      <c r="M3" s="30">
        <f>SUM(B8:B37)</f>
        <v>60</v>
      </c>
    </row>
    <row r="5" spans="1:25" ht="23.25">
      <c r="A5" s="11" t="s">
        <v>38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25" ht="15.75">
      <c r="A6" s="1"/>
      <c r="B6" s="852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25">
      <c r="A7" s="3" t="s">
        <v>0</v>
      </c>
      <c r="B7" s="853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  <c r="Y7" s="54">
        <f>SUM(Y8:Y37)</f>
        <v>60</v>
      </c>
    </row>
    <row r="8" spans="1:25">
      <c r="A8" s="39">
        <v>1</v>
      </c>
      <c r="B8" s="61">
        <f>SUM(C8:I8)</f>
        <v>1</v>
      </c>
      <c r="C8" s="40">
        <v>1</v>
      </c>
      <c r="D8" s="40"/>
      <c r="E8" s="40"/>
      <c r="F8" s="40"/>
      <c r="G8" s="40"/>
      <c r="H8" s="40"/>
      <c r="I8" s="40"/>
      <c r="J8" s="41" t="str">
        <f ca="1">INDIRECT("'"&amp;A8&amp;"'!B1")</f>
        <v>Incomplete</v>
      </c>
      <c r="L8" s="39">
        <f>A8</f>
        <v>1</v>
      </c>
      <c r="M8" s="42" t="str">
        <f>IF('1'!$A$8="","",'1'!$A$8)</f>
        <v/>
      </c>
      <c r="N8" s="42"/>
      <c r="O8" s="42"/>
      <c r="P8" s="42"/>
      <c r="Q8" s="42"/>
      <c r="R8" s="42"/>
      <c r="S8" s="42"/>
      <c r="T8" s="78" t="s">
        <v>44</v>
      </c>
      <c r="U8" s="78"/>
      <c r="V8" s="78"/>
      <c r="W8" s="78"/>
      <c r="X8" s="78"/>
      <c r="Y8" s="53">
        <f t="shared" ref="Y8:Y37" si="0">B8</f>
        <v>1</v>
      </c>
    </row>
    <row r="9" spans="1:25">
      <c r="A9" s="39">
        <v>2</v>
      </c>
      <c r="B9" s="55">
        <f t="shared" ref="B9:B32" si="1">SUM(C9:I9)</f>
        <v>1</v>
      </c>
      <c r="C9" s="40">
        <v>1</v>
      </c>
      <c r="D9" s="40"/>
      <c r="E9" s="40"/>
      <c r="F9" s="40"/>
      <c r="G9" s="40"/>
      <c r="H9" s="40"/>
      <c r="I9" s="40"/>
      <c r="J9" s="41" t="str">
        <f t="shared" ref="J9:J26" ca="1" si="2">INDIRECT("'"&amp;A9&amp;"'!B1")</f>
        <v>Incomplete</v>
      </c>
      <c r="L9" s="39">
        <f t="shared" ref="L9:L26" si="3">A9</f>
        <v>2</v>
      </c>
      <c r="M9" s="42" t="str">
        <f>IF('2'!$A$8="","",'2'!$A$8)</f>
        <v/>
      </c>
      <c r="N9" s="42"/>
      <c r="O9" s="42"/>
      <c r="P9" s="42"/>
      <c r="Q9" s="42"/>
      <c r="R9" s="42"/>
      <c r="S9" s="42"/>
      <c r="T9" s="78" t="s">
        <v>44</v>
      </c>
      <c r="U9" s="78"/>
      <c r="V9" s="78"/>
      <c r="W9" s="78"/>
      <c r="X9" s="78"/>
      <c r="Y9" s="53">
        <f t="shared" si="0"/>
        <v>1</v>
      </c>
    </row>
    <row r="10" spans="1:25">
      <c r="A10" s="39">
        <v>3</v>
      </c>
      <c r="B10" s="55">
        <f t="shared" si="1"/>
        <v>1</v>
      </c>
      <c r="C10" s="40">
        <v>1</v>
      </c>
      <c r="D10" s="40"/>
      <c r="E10" s="40"/>
      <c r="F10" s="40"/>
      <c r="G10" s="40"/>
      <c r="H10" s="40"/>
      <c r="I10" s="40"/>
      <c r="J10" s="41" t="str">
        <f t="shared" ca="1" si="2"/>
        <v>Incomplete</v>
      </c>
      <c r="L10" s="39">
        <f t="shared" si="3"/>
        <v>3</v>
      </c>
      <c r="M10" s="42" t="str">
        <f>IF('3'!$A$8="","",'3'!$A$8)</f>
        <v/>
      </c>
      <c r="N10" s="42"/>
      <c r="O10" s="42"/>
      <c r="P10" s="42"/>
      <c r="Q10" s="42"/>
      <c r="R10" s="42"/>
      <c r="S10" s="42"/>
      <c r="T10" s="78" t="s">
        <v>45</v>
      </c>
      <c r="U10" s="119"/>
      <c r="V10" s="119"/>
      <c r="W10" s="78"/>
      <c r="X10" s="78"/>
      <c r="Y10" s="53">
        <f t="shared" si="0"/>
        <v>1</v>
      </c>
    </row>
    <row r="11" spans="1:25">
      <c r="A11" s="39">
        <v>4</v>
      </c>
      <c r="B11" s="55">
        <f t="shared" si="1"/>
        <v>1</v>
      </c>
      <c r="C11" s="40">
        <v>1</v>
      </c>
      <c r="D11" s="40"/>
      <c r="E11" s="40"/>
      <c r="F11" s="40"/>
      <c r="G11" s="40"/>
      <c r="H11" s="40"/>
      <c r="I11" s="40"/>
      <c r="J11" s="41" t="str">
        <f t="shared" ca="1" si="2"/>
        <v>Incomplete</v>
      </c>
      <c r="L11" s="39">
        <f t="shared" si="3"/>
        <v>4</v>
      </c>
      <c r="M11" s="42" t="str">
        <f>IF('4'!$A$8="","",'4'!$A$8)</f>
        <v/>
      </c>
      <c r="N11" s="42"/>
      <c r="O11" s="42"/>
      <c r="P11" s="42"/>
      <c r="Q11" s="42"/>
      <c r="R11" s="42"/>
      <c r="S11" s="42"/>
      <c r="T11" s="78" t="s">
        <v>45</v>
      </c>
      <c r="U11" s="119"/>
      <c r="V11" s="78"/>
      <c r="W11" s="78"/>
      <c r="X11" s="78"/>
      <c r="Y11" s="53">
        <f t="shared" si="0"/>
        <v>1</v>
      </c>
    </row>
    <row r="12" spans="1:25">
      <c r="A12" s="39">
        <v>5</v>
      </c>
      <c r="B12" s="55">
        <f t="shared" si="1"/>
        <v>1</v>
      </c>
      <c r="C12" s="40">
        <v>1</v>
      </c>
      <c r="D12" s="40"/>
      <c r="E12" s="40"/>
      <c r="F12" s="40"/>
      <c r="G12" s="40"/>
      <c r="H12" s="40"/>
      <c r="I12" s="40"/>
      <c r="J12" s="41" t="str">
        <f t="shared" ca="1" si="2"/>
        <v>Incomplete</v>
      </c>
      <c r="L12" s="39">
        <f t="shared" si="3"/>
        <v>5</v>
      </c>
      <c r="M12" s="42" t="str">
        <f>IF('5'!$A$8="","",'5'!$A$8)</f>
        <v/>
      </c>
      <c r="N12" s="42"/>
      <c r="O12" s="42"/>
      <c r="P12" s="42"/>
      <c r="Q12" s="42"/>
      <c r="R12" s="42"/>
      <c r="S12" s="42"/>
      <c r="T12" s="78" t="s">
        <v>47</v>
      </c>
      <c r="U12" s="119"/>
      <c r="V12" s="78"/>
      <c r="W12" s="78"/>
      <c r="X12" s="78"/>
      <c r="Y12" s="53">
        <f t="shared" si="0"/>
        <v>1</v>
      </c>
    </row>
    <row r="13" spans="1:25">
      <c r="A13" s="39">
        <v>6</v>
      </c>
      <c r="B13" s="55">
        <f t="shared" si="1"/>
        <v>1</v>
      </c>
      <c r="C13" s="40">
        <v>1</v>
      </c>
      <c r="D13" s="40"/>
      <c r="E13" s="40"/>
      <c r="F13" s="40"/>
      <c r="G13" s="40"/>
      <c r="H13" s="40"/>
      <c r="I13" s="40"/>
      <c r="J13" s="41" t="str">
        <f t="shared" ca="1" si="2"/>
        <v>Incomplete</v>
      </c>
      <c r="L13" s="39">
        <f t="shared" si="3"/>
        <v>6</v>
      </c>
      <c r="M13" s="42" t="str">
        <f>IF('6'!$A$8="","",'6'!$A$8)</f>
        <v/>
      </c>
      <c r="N13" s="42"/>
      <c r="O13" s="42"/>
      <c r="P13" s="42"/>
      <c r="Q13" s="42"/>
      <c r="R13" s="42"/>
      <c r="S13" s="42"/>
      <c r="T13" s="120" t="s">
        <v>46</v>
      </c>
      <c r="U13" s="120"/>
      <c r="V13" s="120"/>
      <c r="W13" s="120"/>
      <c r="X13" s="120"/>
      <c r="Y13" s="76">
        <f t="shared" si="0"/>
        <v>1</v>
      </c>
    </row>
    <row r="14" spans="1:25">
      <c r="A14" s="39">
        <v>7</v>
      </c>
      <c r="B14" s="55">
        <f t="shared" si="1"/>
        <v>2</v>
      </c>
      <c r="C14" s="40">
        <v>0.75</v>
      </c>
      <c r="D14" s="40">
        <v>0.75</v>
      </c>
      <c r="E14" s="40">
        <v>0.5</v>
      </c>
      <c r="F14" s="40"/>
      <c r="G14" s="40"/>
      <c r="H14" s="40"/>
      <c r="I14" s="40"/>
      <c r="J14" s="41" t="str">
        <f t="shared" ca="1" si="2"/>
        <v>Incomplete</v>
      </c>
      <c r="L14" s="39">
        <f t="shared" si="3"/>
        <v>7</v>
      </c>
      <c r="M14" s="42" t="str">
        <f>IF('7'!$A$8="","",'7'!$A$8)</f>
        <v/>
      </c>
      <c r="N14" s="42" t="str">
        <f>IF('7'!$A$12="","",'7'!$A$12)</f>
        <v/>
      </c>
      <c r="O14" s="42" t="str">
        <f>IF('7'!$A$16="","",'7'!$A$16)</f>
        <v/>
      </c>
      <c r="P14" s="42"/>
      <c r="Q14" s="42"/>
      <c r="R14" s="42"/>
      <c r="S14" s="42"/>
      <c r="T14" s="78" t="s">
        <v>87</v>
      </c>
      <c r="U14" s="78"/>
      <c r="V14" s="78"/>
      <c r="W14" s="78"/>
      <c r="X14" s="78"/>
      <c r="Y14" s="79">
        <f t="shared" si="0"/>
        <v>2</v>
      </c>
    </row>
    <row r="15" spans="1:25">
      <c r="A15" s="39">
        <v>8</v>
      </c>
      <c r="B15" s="55">
        <f t="shared" si="1"/>
        <v>2.5</v>
      </c>
      <c r="C15" s="40">
        <v>2</v>
      </c>
      <c r="D15" s="40">
        <v>0.5</v>
      </c>
      <c r="E15" s="40"/>
      <c r="F15" s="40"/>
      <c r="G15" s="40"/>
      <c r="H15" s="40"/>
      <c r="I15" s="40"/>
      <c r="J15" s="41" t="str">
        <f t="shared" ca="1" si="2"/>
        <v>Incomplete</v>
      </c>
      <c r="L15" s="39">
        <f t="shared" si="3"/>
        <v>8</v>
      </c>
      <c r="M15" s="42" t="str">
        <f>IF('8'!$A$8="","",'8'!$A$8)</f>
        <v/>
      </c>
      <c r="N15" s="42" t="str">
        <f>IF('8'!$A$15="","",'8'!$A$15)</f>
        <v/>
      </c>
      <c r="O15" s="42"/>
      <c r="P15" s="42"/>
      <c r="Q15" s="42"/>
      <c r="R15" s="42"/>
      <c r="S15" s="42"/>
      <c r="T15" s="78" t="s">
        <v>88</v>
      </c>
      <c r="U15" s="78"/>
      <c r="V15" s="78"/>
      <c r="W15" s="78"/>
      <c r="X15" s="78"/>
      <c r="Y15" s="53">
        <f t="shared" si="0"/>
        <v>2.5</v>
      </c>
    </row>
    <row r="16" spans="1:25">
      <c r="A16" s="39">
        <v>9</v>
      </c>
      <c r="B16" s="55">
        <f t="shared" si="1"/>
        <v>2.5</v>
      </c>
      <c r="C16" s="40">
        <v>0.5</v>
      </c>
      <c r="D16" s="40">
        <v>2</v>
      </c>
      <c r="E16" s="40"/>
      <c r="F16" s="40"/>
      <c r="G16" s="40"/>
      <c r="H16" s="40"/>
      <c r="I16" s="40"/>
      <c r="J16" s="41" t="str">
        <f t="shared" ca="1" si="2"/>
        <v>Incomplete</v>
      </c>
      <c r="L16" s="39">
        <f t="shared" si="3"/>
        <v>9</v>
      </c>
      <c r="M16" s="42" t="str">
        <f>IF('9'!$A$8="","",'9'!$A$8)</f>
        <v/>
      </c>
      <c r="N16" s="42" t="str">
        <f>IF('9'!$A$12="","",'9'!$A$12)</f>
        <v/>
      </c>
      <c r="O16" s="42"/>
      <c r="P16" s="42"/>
      <c r="Q16" s="42"/>
      <c r="R16" s="42"/>
      <c r="S16" s="42"/>
      <c r="T16" s="78" t="s">
        <v>134</v>
      </c>
      <c r="U16" s="78"/>
      <c r="V16" s="78"/>
      <c r="W16" s="78"/>
      <c r="X16" s="78"/>
      <c r="Y16" s="53">
        <f t="shared" si="0"/>
        <v>2.5</v>
      </c>
    </row>
    <row r="17" spans="1:25">
      <c r="A17" s="39">
        <v>10</v>
      </c>
      <c r="B17" s="55">
        <f t="shared" si="1"/>
        <v>2</v>
      </c>
      <c r="C17" s="40">
        <v>1</v>
      </c>
      <c r="D17" s="40">
        <v>1</v>
      </c>
      <c r="E17" s="40"/>
      <c r="F17" s="40"/>
      <c r="G17" s="40"/>
      <c r="H17" s="40"/>
      <c r="I17" s="40"/>
      <c r="J17" s="41" t="str">
        <f t="shared" ca="1" si="2"/>
        <v>Incomplete</v>
      </c>
      <c r="L17" s="39">
        <f t="shared" si="3"/>
        <v>10</v>
      </c>
      <c r="M17" s="42" t="str">
        <f>IF('10'!$A$8="","",'10'!$A$8)</f>
        <v/>
      </c>
      <c r="N17" s="42" t="str">
        <f>IF('10'!$A$12="","",'10'!$A$12)</f>
        <v/>
      </c>
      <c r="O17" s="42"/>
      <c r="P17" s="42"/>
      <c r="Q17" s="42"/>
      <c r="R17" s="42"/>
      <c r="S17" s="42"/>
      <c r="T17" s="119" t="s">
        <v>153</v>
      </c>
      <c r="U17" s="78"/>
      <c r="V17" s="78"/>
      <c r="W17" s="78"/>
      <c r="X17" s="78"/>
      <c r="Y17" s="53">
        <f t="shared" si="0"/>
        <v>2</v>
      </c>
    </row>
    <row r="18" spans="1:25">
      <c r="A18" s="39">
        <v>11</v>
      </c>
      <c r="B18" s="55">
        <f t="shared" si="1"/>
        <v>1.5</v>
      </c>
      <c r="C18" s="40">
        <v>1</v>
      </c>
      <c r="D18" s="40">
        <v>0.5</v>
      </c>
      <c r="E18" s="40"/>
      <c r="F18" s="40"/>
      <c r="G18" s="40"/>
      <c r="H18" s="40"/>
      <c r="I18" s="40"/>
      <c r="J18" s="41" t="str">
        <f t="shared" ca="1" si="2"/>
        <v>Incomplete</v>
      </c>
      <c r="L18" s="39">
        <f t="shared" si="3"/>
        <v>11</v>
      </c>
      <c r="M18" s="42" t="str">
        <f>IF('11'!$A$8="","",'11'!$A$8)</f>
        <v/>
      </c>
      <c r="N18" s="42" t="str">
        <f>IF('11'!$A$16="","",'11'!$A$16)</f>
        <v/>
      </c>
      <c r="O18" s="42"/>
      <c r="P18" s="42"/>
      <c r="Q18" s="42"/>
      <c r="R18" s="42"/>
      <c r="S18" s="42"/>
      <c r="T18" s="78" t="s">
        <v>195</v>
      </c>
      <c r="U18" s="78"/>
      <c r="V18" s="78"/>
      <c r="W18" s="78"/>
      <c r="X18" s="78"/>
      <c r="Y18" s="53">
        <f t="shared" si="0"/>
        <v>1.5</v>
      </c>
    </row>
    <row r="19" spans="1:25">
      <c r="A19" s="39">
        <v>12</v>
      </c>
      <c r="B19" s="55">
        <f t="shared" si="1"/>
        <v>3.25</v>
      </c>
      <c r="C19" s="40">
        <v>2</v>
      </c>
      <c r="D19" s="40">
        <v>0.5</v>
      </c>
      <c r="E19" s="40">
        <v>0.75</v>
      </c>
      <c r="F19" s="40"/>
      <c r="G19" s="40"/>
      <c r="H19" s="40"/>
      <c r="I19" s="40"/>
      <c r="J19" s="41" t="str">
        <f t="shared" ca="1" si="2"/>
        <v>Incomplete</v>
      </c>
      <c r="L19" s="39">
        <f t="shared" si="3"/>
        <v>12</v>
      </c>
      <c r="M19" s="42" t="str">
        <f>IF('12'!$A$8="","",'12'!$A$8)</f>
        <v/>
      </c>
      <c r="N19" s="42" t="str">
        <f>IF('12'!$A$12="","",'12'!$A$12)</f>
        <v/>
      </c>
      <c r="O19" s="42" t="str">
        <f>IF('12'!$A$16="","",'12'!$A$16)</f>
        <v/>
      </c>
      <c r="P19" s="42"/>
      <c r="Q19" s="42"/>
      <c r="R19" s="42"/>
      <c r="S19" s="42"/>
      <c r="T19" s="119" t="s">
        <v>195</v>
      </c>
      <c r="U19" s="78"/>
      <c r="V19" s="78"/>
      <c r="W19" s="78"/>
      <c r="X19" s="78"/>
      <c r="Y19" s="53">
        <f t="shared" si="0"/>
        <v>3.25</v>
      </c>
    </row>
    <row r="20" spans="1:25">
      <c r="A20" s="39">
        <v>13</v>
      </c>
      <c r="B20" s="55">
        <f t="shared" si="1"/>
        <v>3.75</v>
      </c>
      <c r="C20" s="40">
        <v>1</v>
      </c>
      <c r="D20" s="40">
        <v>1.25</v>
      </c>
      <c r="E20" s="40">
        <v>1.5</v>
      </c>
      <c r="F20" s="40"/>
      <c r="G20" s="40"/>
      <c r="H20" s="40"/>
      <c r="I20" s="40"/>
      <c r="J20" s="41" t="str">
        <f t="shared" ca="1" si="2"/>
        <v>Incomplete</v>
      </c>
      <c r="L20" s="39">
        <f t="shared" si="3"/>
        <v>13</v>
      </c>
      <c r="M20" s="42" t="str">
        <f>IF('13'!$A$8="","",'13'!$A$8)</f>
        <v/>
      </c>
      <c r="N20" s="42" t="str">
        <f>IF('13'!$A$12="","",'13'!$A$12)</f>
        <v/>
      </c>
      <c r="O20" s="42" t="str">
        <f>IF('13'!$A$31="","",'13'!$A$31)</f>
        <v/>
      </c>
      <c r="P20" s="42"/>
      <c r="Q20" s="42"/>
      <c r="R20" s="42"/>
      <c r="S20" s="42"/>
      <c r="T20" s="119" t="s">
        <v>345</v>
      </c>
      <c r="U20" s="78"/>
      <c r="V20" s="78"/>
      <c r="W20" s="78"/>
      <c r="X20" s="78"/>
      <c r="Y20" s="79">
        <f t="shared" si="0"/>
        <v>3.75</v>
      </c>
    </row>
    <row r="21" spans="1:25">
      <c r="A21" s="39">
        <v>14</v>
      </c>
      <c r="B21" s="55">
        <f t="shared" si="1"/>
        <v>2</v>
      </c>
      <c r="C21" s="40">
        <v>2</v>
      </c>
      <c r="D21" s="40"/>
      <c r="E21" s="40"/>
      <c r="F21" s="40"/>
      <c r="G21" s="40"/>
      <c r="H21" s="40"/>
      <c r="I21" s="40"/>
      <c r="J21" s="41" t="str">
        <f t="shared" ca="1" si="2"/>
        <v>Incomplete</v>
      </c>
      <c r="L21" s="39">
        <f t="shared" si="3"/>
        <v>14</v>
      </c>
      <c r="M21" s="42" t="str">
        <f>IF('14'!$A$8="","",'14'!$A$8)</f>
        <v/>
      </c>
      <c r="N21" s="42"/>
      <c r="O21" s="42"/>
      <c r="P21" s="42"/>
      <c r="Q21" s="42"/>
      <c r="R21" s="42"/>
      <c r="S21" s="42"/>
      <c r="T21" s="119" t="s">
        <v>350</v>
      </c>
      <c r="U21" s="78"/>
      <c r="V21" s="78"/>
      <c r="W21" s="78"/>
      <c r="X21" s="78"/>
      <c r="Y21" s="53">
        <f t="shared" si="0"/>
        <v>2</v>
      </c>
    </row>
    <row r="22" spans="1:25">
      <c r="A22" s="39">
        <v>15</v>
      </c>
      <c r="B22" s="55">
        <f t="shared" si="1"/>
        <v>1.25</v>
      </c>
      <c r="C22" s="40">
        <v>1.25</v>
      </c>
      <c r="D22" s="40"/>
      <c r="E22" s="40"/>
      <c r="F22" s="40"/>
      <c r="G22" s="40"/>
      <c r="H22" s="40"/>
      <c r="I22" s="40"/>
      <c r="J22" s="41" t="str">
        <f t="shared" ca="1" si="2"/>
        <v>Incomplete</v>
      </c>
      <c r="L22" s="39">
        <f t="shared" si="3"/>
        <v>15</v>
      </c>
      <c r="M22" s="42" t="str">
        <f>IF('15'!$A$8="","",'15'!$A$8)</f>
        <v/>
      </c>
      <c r="N22" s="42"/>
      <c r="O22" s="42"/>
      <c r="P22" s="42"/>
      <c r="Q22" s="42"/>
      <c r="R22" s="42"/>
      <c r="S22" s="42"/>
      <c r="T22" s="119" t="s">
        <v>397</v>
      </c>
      <c r="U22" s="78"/>
      <c r="V22" s="78"/>
      <c r="W22" s="78"/>
      <c r="X22" s="78"/>
      <c r="Y22" s="53">
        <f t="shared" si="0"/>
        <v>1.25</v>
      </c>
    </row>
    <row r="23" spans="1:25">
      <c r="A23" s="39">
        <v>16</v>
      </c>
      <c r="B23" s="55">
        <f t="shared" si="1"/>
        <v>2.5</v>
      </c>
      <c r="C23" s="40">
        <v>0.25</v>
      </c>
      <c r="D23" s="40">
        <v>0.5</v>
      </c>
      <c r="E23" s="40">
        <v>0.75</v>
      </c>
      <c r="F23" s="40">
        <v>1</v>
      </c>
      <c r="G23" s="40"/>
      <c r="H23" s="40"/>
      <c r="I23" s="40"/>
      <c r="J23" s="41" t="str">
        <f t="shared" ca="1" si="2"/>
        <v>Incomplete</v>
      </c>
      <c r="L23" s="39">
        <f t="shared" si="3"/>
        <v>16</v>
      </c>
      <c r="M23" s="42" t="str">
        <f>IF('16'!$A$8="","",'16'!$A$8)</f>
        <v/>
      </c>
      <c r="N23" s="42" t="str">
        <f>IF('16'!$A$12="","",'16'!$A$12)</f>
        <v/>
      </c>
      <c r="O23" s="42" t="str">
        <f>IF('16'!$A$16="","",'16'!$A$16)</f>
        <v/>
      </c>
      <c r="P23" s="42" t="str">
        <f>IF('16'!$A$20="","",'16'!$A$20)</f>
        <v/>
      </c>
      <c r="Q23" s="42"/>
      <c r="R23" s="42"/>
      <c r="S23" s="42"/>
      <c r="T23" s="119" t="s">
        <v>397</v>
      </c>
      <c r="U23" s="78"/>
      <c r="V23" s="78"/>
      <c r="W23" s="78"/>
      <c r="X23" s="78"/>
      <c r="Y23" s="53">
        <f t="shared" si="0"/>
        <v>2.5</v>
      </c>
    </row>
    <row r="24" spans="1:25">
      <c r="A24" s="39">
        <v>17</v>
      </c>
      <c r="B24" s="55">
        <f t="shared" si="1"/>
        <v>2.75</v>
      </c>
      <c r="C24" s="40">
        <v>0.5</v>
      </c>
      <c r="D24" s="40">
        <v>1.5</v>
      </c>
      <c r="E24" s="40">
        <v>0.75</v>
      </c>
      <c r="F24" s="40"/>
      <c r="G24" s="40"/>
      <c r="H24" s="40"/>
      <c r="I24" s="40"/>
      <c r="J24" s="41" t="str">
        <f t="shared" ca="1" si="2"/>
        <v>Incomplete</v>
      </c>
      <c r="L24" s="39">
        <f t="shared" si="3"/>
        <v>17</v>
      </c>
      <c r="M24" s="42" t="str">
        <f>IF('17'!$A$8="","",'17'!$A$8)</f>
        <v/>
      </c>
      <c r="N24" s="42" t="str">
        <f>IF('17'!$A$12="","",'17'!$A$12)</f>
        <v/>
      </c>
      <c r="O24" s="42" t="str">
        <f>IF('17'!$A$16="","",'17'!$A$16)</f>
        <v/>
      </c>
      <c r="P24" s="42"/>
      <c r="Q24" s="42"/>
      <c r="R24" s="42"/>
      <c r="S24" s="42"/>
      <c r="T24" s="78" t="s">
        <v>442</v>
      </c>
      <c r="U24" s="78"/>
      <c r="V24" s="78"/>
      <c r="W24" s="78"/>
      <c r="X24" s="78"/>
      <c r="Y24" s="53">
        <f t="shared" si="0"/>
        <v>2.75</v>
      </c>
    </row>
    <row r="25" spans="1:25">
      <c r="A25" s="39">
        <v>18</v>
      </c>
      <c r="B25" s="55">
        <f t="shared" si="1"/>
        <v>1</v>
      </c>
      <c r="C25" s="40">
        <v>0.75</v>
      </c>
      <c r="D25" s="40">
        <v>0.25</v>
      </c>
      <c r="E25" s="40"/>
      <c r="F25" s="40"/>
      <c r="G25" s="40"/>
      <c r="H25" s="40"/>
      <c r="I25" s="40"/>
      <c r="J25" s="41" t="str">
        <f t="shared" ca="1" si="2"/>
        <v>Incomplete</v>
      </c>
      <c r="L25" s="39">
        <f t="shared" si="3"/>
        <v>18</v>
      </c>
      <c r="M25" s="42" t="str">
        <f>IF('18'!$A$8="","",'18'!$A$8)</f>
        <v/>
      </c>
      <c r="N25" s="42" t="str">
        <f>IF('18'!$A$18="","",'18'!$A$18)</f>
        <v/>
      </c>
      <c r="O25" s="42"/>
      <c r="P25" s="42"/>
      <c r="Q25" s="42"/>
      <c r="R25" s="42"/>
      <c r="S25" s="42"/>
      <c r="T25" s="120" t="s">
        <v>967</v>
      </c>
      <c r="U25" s="120"/>
      <c r="V25" s="120"/>
      <c r="W25" s="120"/>
      <c r="X25" s="120"/>
      <c r="Y25" s="76">
        <f t="shared" si="0"/>
        <v>1</v>
      </c>
    </row>
    <row r="26" spans="1:25">
      <c r="A26" s="39">
        <v>19</v>
      </c>
      <c r="B26" s="55">
        <f t="shared" si="1"/>
        <v>0.75</v>
      </c>
      <c r="C26" s="40">
        <v>0.75</v>
      </c>
      <c r="D26" s="40"/>
      <c r="E26" s="40"/>
      <c r="F26" s="40"/>
      <c r="G26" s="40"/>
      <c r="H26" s="40"/>
      <c r="I26" s="40"/>
      <c r="J26" s="41" t="str">
        <f t="shared" ca="1" si="2"/>
        <v>Incomplete</v>
      </c>
      <c r="L26" s="39">
        <f t="shared" si="3"/>
        <v>19</v>
      </c>
      <c r="M26" s="42" t="str">
        <f>IF('19'!$A$8="","",'19'!$A$8)</f>
        <v/>
      </c>
      <c r="N26" s="42"/>
      <c r="O26" s="42"/>
      <c r="P26" s="42"/>
      <c r="Q26" s="42"/>
      <c r="R26" s="42"/>
      <c r="S26" s="42"/>
      <c r="T26" s="78" t="s">
        <v>535</v>
      </c>
      <c r="U26" s="78"/>
      <c r="V26" s="78"/>
      <c r="W26" s="78"/>
      <c r="X26" s="78"/>
      <c r="Y26" s="53">
        <f t="shared" si="0"/>
        <v>0.75</v>
      </c>
    </row>
    <row r="27" spans="1:25">
      <c r="A27" s="39">
        <v>20</v>
      </c>
      <c r="B27" s="55">
        <f t="shared" si="1"/>
        <v>1.5</v>
      </c>
      <c r="C27" s="40">
        <v>0.25</v>
      </c>
      <c r="D27" s="40">
        <v>0.25</v>
      </c>
      <c r="E27" s="40">
        <v>0.25</v>
      </c>
      <c r="F27" s="40">
        <v>0.25</v>
      </c>
      <c r="G27" s="40">
        <v>0.25</v>
      </c>
      <c r="H27" s="40">
        <v>0.25</v>
      </c>
      <c r="I27" s="40"/>
      <c r="J27" s="41" t="str">
        <f t="shared" ref="J27:J32" ca="1" si="4">INDIRECT("'"&amp;A27&amp;"'!B1")</f>
        <v>Incomplete</v>
      </c>
      <c r="L27" s="39">
        <f t="shared" ref="L27:L32" si="5">A27</f>
        <v>20</v>
      </c>
      <c r="M27" s="42" t="str">
        <f>IF('20'!$A$8="","",'20'!$A$8)</f>
        <v/>
      </c>
      <c r="N27" s="42" t="str">
        <f>IF('20'!$A$12="","",'20'!$A$12)</f>
        <v/>
      </c>
      <c r="O27" s="42" t="str">
        <f>IF('20'!$A$16="","",'20'!$A$16)</f>
        <v/>
      </c>
      <c r="P27" s="42" t="str">
        <f>IF('20'!$A$20="","",'20'!$A$20)</f>
        <v/>
      </c>
      <c r="Q27" s="42" t="str">
        <f>IF('20'!$A$24="","",'20'!$A$24)</f>
        <v/>
      </c>
      <c r="R27" s="42" t="str">
        <f>IF('20'!$A$28="","",'20'!$A$28)</f>
        <v/>
      </c>
      <c r="S27" s="42"/>
      <c r="T27" s="119" t="s">
        <v>563</v>
      </c>
      <c r="U27" s="78"/>
      <c r="V27" s="78"/>
      <c r="W27" s="78"/>
      <c r="X27" s="78"/>
      <c r="Y27" s="53">
        <f t="shared" si="0"/>
        <v>1.5</v>
      </c>
    </row>
    <row r="28" spans="1:25">
      <c r="A28" s="39">
        <v>21</v>
      </c>
      <c r="B28" s="55">
        <f t="shared" si="1"/>
        <v>2.25</v>
      </c>
      <c r="C28" s="40">
        <v>1</v>
      </c>
      <c r="D28" s="40">
        <v>0.25</v>
      </c>
      <c r="E28" s="40">
        <v>1</v>
      </c>
      <c r="F28" s="40"/>
      <c r="G28" s="40"/>
      <c r="H28" s="40"/>
      <c r="I28" s="40"/>
      <c r="J28" s="41" t="str">
        <f t="shared" ca="1" si="4"/>
        <v>Incomplete</v>
      </c>
      <c r="L28" s="39">
        <f t="shared" si="5"/>
        <v>21</v>
      </c>
      <c r="M28" s="42" t="str">
        <f>IF('21'!$A$8="","",'21'!$A$8)</f>
        <v/>
      </c>
      <c r="N28" s="42" t="str">
        <f>IF('21'!$A$22="","",'21'!$A$22)</f>
        <v/>
      </c>
      <c r="O28" s="42" t="str">
        <f>IF('21'!$A$26="","",'21'!$A$26)</f>
        <v/>
      </c>
      <c r="P28" s="42"/>
      <c r="Q28" s="42"/>
      <c r="R28" s="42"/>
      <c r="S28" s="42"/>
      <c r="T28" s="78" t="s">
        <v>564</v>
      </c>
      <c r="U28" s="78"/>
      <c r="V28" s="78"/>
      <c r="W28" s="78"/>
      <c r="X28" s="78"/>
      <c r="Y28" s="53">
        <f t="shared" si="0"/>
        <v>2.25</v>
      </c>
    </row>
    <row r="29" spans="1:25">
      <c r="A29" s="39">
        <v>22</v>
      </c>
      <c r="B29" s="55">
        <f t="shared" si="1"/>
        <v>1.75</v>
      </c>
      <c r="C29" s="40">
        <v>0.25</v>
      </c>
      <c r="D29" s="40">
        <v>0.5</v>
      </c>
      <c r="E29" s="40">
        <v>1</v>
      </c>
      <c r="F29" s="40"/>
      <c r="G29" s="40"/>
      <c r="H29" s="40"/>
      <c r="I29" s="40"/>
      <c r="J29" s="41" t="str">
        <f t="shared" ca="1" si="4"/>
        <v>Incomplete</v>
      </c>
      <c r="L29" s="39">
        <f t="shared" si="5"/>
        <v>22</v>
      </c>
      <c r="M29" s="42" t="str">
        <f>IF('22'!$A$8="","",'22'!$A$8)</f>
        <v/>
      </c>
      <c r="N29" s="42" t="str">
        <f>IF('22'!$A$12="","",'22'!$A$12)</f>
        <v/>
      </c>
      <c r="O29" s="42" t="str">
        <f>IF('22'!$A$16="","",'22'!$A$16)</f>
        <v/>
      </c>
      <c r="P29" s="42"/>
      <c r="Q29" s="42"/>
      <c r="R29" s="42"/>
      <c r="S29" s="42"/>
      <c r="T29" s="119" t="s">
        <v>567</v>
      </c>
      <c r="U29" s="78"/>
      <c r="V29" s="78"/>
      <c r="W29" s="78"/>
      <c r="X29" s="78"/>
      <c r="Y29" s="53">
        <f t="shared" si="0"/>
        <v>1.75</v>
      </c>
    </row>
    <row r="30" spans="1:25">
      <c r="A30" s="43">
        <v>23</v>
      </c>
      <c r="B30" s="55">
        <f t="shared" si="1"/>
        <v>3</v>
      </c>
      <c r="C30" s="40">
        <v>0.5</v>
      </c>
      <c r="D30" s="40">
        <v>1</v>
      </c>
      <c r="E30" s="40">
        <v>1.5</v>
      </c>
      <c r="F30" s="40"/>
      <c r="G30" s="40"/>
      <c r="H30" s="40"/>
      <c r="I30" s="40"/>
      <c r="J30" s="41" t="str">
        <f t="shared" ca="1" si="4"/>
        <v>Incomplete</v>
      </c>
      <c r="L30" s="39">
        <f t="shared" si="5"/>
        <v>23</v>
      </c>
      <c r="M30" s="42" t="str">
        <f>IF('23'!$A$8="","",'23'!$A$8)</f>
        <v/>
      </c>
      <c r="N30" s="42" t="str">
        <f>IF('23'!$A$12="","",'23'!$A$12)</f>
        <v/>
      </c>
      <c r="O30" s="42" t="str">
        <f>IF('23'!$A$16="","",'23'!$A$16)</f>
        <v/>
      </c>
      <c r="P30" s="42"/>
      <c r="Q30" s="42"/>
      <c r="R30" s="42"/>
      <c r="S30" s="42"/>
      <c r="T30" s="78" t="s">
        <v>565</v>
      </c>
      <c r="U30" s="78"/>
      <c r="V30" s="78"/>
      <c r="W30" s="78"/>
      <c r="X30" s="78"/>
      <c r="Y30" s="53">
        <f t="shared" si="0"/>
        <v>3</v>
      </c>
    </row>
    <row r="31" spans="1:25">
      <c r="A31" s="43">
        <v>24</v>
      </c>
      <c r="B31" s="55">
        <f t="shared" si="1"/>
        <v>4.5</v>
      </c>
      <c r="C31" s="40">
        <v>1</v>
      </c>
      <c r="D31" s="40">
        <v>1</v>
      </c>
      <c r="E31" s="40">
        <v>2.5</v>
      </c>
      <c r="F31" s="40"/>
      <c r="G31" s="40"/>
      <c r="H31" s="40"/>
      <c r="I31" s="40"/>
      <c r="J31" s="41" t="str">
        <f t="shared" ca="1" si="4"/>
        <v>Incomplete</v>
      </c>
      <c r="L31" s="39">
        <f t="shared" si="5"/>
        <v>24</v>
      </c>
      <c r="M31" s="42" t="str">
        <f>IF('24'!$A$8="","",'24'!$A$8)</f>
        <v/>
      </c>
      <c r="N31" s="42" t="str">
        <f>IF('24'!$A$12="","",'24'!$A$12)</f>
        <v/>
      </c>
      <c r="O31" s="42" t="str">
        <f>IF('24'!$A$16="","",'24'!$A$16)</f>
        <v/>
      </c>
      <c r="P31" s="42"/>
      <c r="Q31" s="42"/>
      <c r="R31" s="42"/>
      <c r="S31" s="42"/>
      <c r="T31" s="78" t="s">
        <v>566</v>
      </c>
      <c r="U31" s="78"/>
      <c r="V31" s="78"/>
      <c r="W31" s="78"/>
      <c r="X31" s="78"/>
      <c r="Y31" s="53">
        <f t="shared" si="0"/>
        <v>4.5</v>
      </c>
    </row>
    <row r="32" spans="1:25">
      <c r="A32" s="39">
        <v>25</v>
      </c>
      <c r="B32" s="57">
        <f t="shared" si="1"/>
        <v>2</v>
      </c>
      <c r="C32" s="40">
        <v>0.5</v>
      </c>
      <c r="D32" s="40">
        <v>1.5</v>
      </c>
      <c r="E32" s="40"/>
      <c r="F32" s="40"/>
      <c r="G32" s="40"/>
      <c r="H32" s="40"/>
      <c r="I32" s="40"/>
      <c r="J32" s="41" t="str">
        <f t="shared" ca="1" si="4"/>
        <v>Incomplete</v>
      </c>
      <c r="L32" s="39">
        <f t="shared" si="5"/>
        <v>25</v>
      </c>
      <c r="M32" s="42" t="str">
        <f>IF('25'!$A$8="","",'25'!$A$8)</f>
        <v/>
      </c>
      <c r="N32" s="42" t="str">
        <f>IF('25'!$A$15="","",'25'!$A$15)</f>
        <v/>
      </c>
      <c r="O32" s="42"/>
      <c r="P32" s="42"/>
      <c r="Q32" s="42"/>
      <c r="R32" s="42"/>
      <c r="S32" s="42"/>
      <c r="T32" s="78" t="s">
        <v>568</v>
      </c>
      <c r="U32" s="78"/>
      <c r="V32" s="78"/>
      <c r="W32" s="78"/>
      <c r="X32" s="78"/>
      <c r="Y32" s="53">
        <f t="shared" si="0"/>
        <v>2</v>
      </c>
    </row>
    <row r="33" spans="1:25">
      <c r="A33" s="58">
        <v>26</v>
      </c>
      <c r="B33" s="59">
        <f t="shared" ref="B33:B37" si="6">SUM(C33:I33)</f>
        <v>2.25</v>
      </c>
      <c r="C33" s="60">
        <v>0.25</v>
      </c>
      <c r="D33" s="60">
        <v>0.25</v>
      </c>
      <c r="E33" s="60">
        <v>1.75</v>
      </c>
      <c r="F33" s="60"/>
      <c r="G33" s="60"/>
      <c r="H33" s="60"/>
      <c r="I33" s="40"/>
      <c r="J33" s="41" t="str">
        <f t="shared" ref="J33:J37" ca="1" si="7">INDIRECT("'"&amp;A33&amp;"'!B1")</f>
        <v>Incomplete</v>
      </c>
      <c r="L33" s="58">
        <v>26</v>
      </c>
      <c r="M33" s="42" t="str">
        <f>IF('26'!$A$8="","",'26'!$A$8)</f>
        <v/>
      </c>
      <c r="N33" s="42" t="str">
        <f>IF('26'!$A$12="","",'26'!$A$12)</f>
        <v/>
      </c>
      <c r="O33" s="42" t="str">
        <f>IF('26'!$A$16="","",'26'!$A$16)</f>
        <v/>
      </c>
      <c r="P33" s="42"/>
      <c r="Q33" s="42"/>
      <c r="R33" s="42"/>
      <c r="S33" s="42"/>
      <c r="T33" s="78" t="s">
        <v>569</v>
      </c>
      <c r="U33" s="78"/>
      <c r="V33" s="78"/>
      <c r="W33" s="78"/>
      <c r="X33" s="78"/>
      <c r="Y33" s="53">
        <f t="shared" si="0"/>
        <v>2.25</v>
      </c>
    </row>
    <row r="34" spans="1:25">
      <c r="A34" s="58">
        <v>27</v>
      </c>
      <c r="B34" s="59">
        <f t="shared" si="6"/>
        <v>1.5</v>
      </c>
      <c r="C34" s="60">
        <v>0.25</v>
      </c>
      <c r="D34" s="60">
        <v>0.25</v>
      </c>
      <c r="E34" s="60">
        <v>0.5</v>
      </c>
      <c r="F34" s="60">
        <v>0.5</v>
      </c>
      <c r="G34" s="60"/>
      <c r="H34" s="60"/>
      <c r="I34" s="40"/>
      <c r="J34" s="41" t="str">
        <f t="shared" ca="1" si="7"/>
        <v>Incomplete</v>
      </c>
      <c r="L34" s="58">
        <v>27</v>
      </c>
      <c r="M34" s="42" t="str">
        <f>IF('27'!$A$8="","",'27'!$A$8)</f>
        <v/>
      </c>
      <c r="N34" s="42" t="str">
        <f>IF('27'!$A$12="","",'27'!$A$12)</f>
        <v/>
      </c>
      <c r="O34" s="42" t="str">
        <f>IF('27'!$A$16="","",'27'!$A$16)</f>
        <v/>
      </c>
      <c r="P34" s="42" t="str">
        <f>IF('27'!$A$24="","",'27'!$A$24)</f>
        <v/>
      </c>
      <c r="Q34" s="42"/>
      <c r="R34" s="42"/>
      <c r="S34" s="42"/>
      <c r="T34" s="78" t="s">
        <v>570</v>
      </c>
      <c r="U34" s="78"/>
      <c r="V34" s="78"/>
      <c r="W34" s="78"/>
      <c r="X34" s="78"/>
      <c r="Y34" s="53">
        <f t="shared" si="0"/>
        <v>1.5</v>
      </c>
    </row>
    <row r="35" spans="1:25">
      <c r="A35" s="58">
        <v>28</v>
      </c>
      <c r="B35" s="59">
        <f t="shared" si="6"/>
        <v>3</v>
      </c>
      <c r="C35" s="60">
        <v>0.5</v>
      </c>
      <c r="D35" s="60">
        <v>0.5</v>
      </c>
      <c r="E35" s="60">
        <v>0.5</v>
      </c>
      <c r="F35" s="60">
        <v>1.5</v>
      </c>
      <c r="G35" s="60"/>
      <c r="H35" s="60"/>
      <c r="I35" s="40"/>
      <c r="J35" s="41" t="str">
        <f t="shared" ca="1" si="7"/>
        <v>Incomplete</v>
      </c>
      <c r="L35" s="58">
        <v>28</v>
      </c>
      <c r="M35" s="42" t="str">
        <f>IF('28'!$A$8="","",'28'!$A$8)</f>
        <v/>
      </c>
      <c r="N35" s="42" t="str">
        <f>IF('28'!$A$23="","",'28'!$A$23)</f>
        <v/>
      </c>
      <c r="O35" s="42" t="str">
        <f>IF('28'!$A$27="","",'28'!$A$27)</f>
        <v/>
      </c>
      <c r="P35" s="42" t="str">
        <f>IF('28'!$A$39="","",'28'!$A$39)</f>
        <v/>
      </c>
      <c r="Q35" s="42"/>
      <c r="R35" s="42"/>
      <c r="S35" s="42"/>
      <c r="T35" s="78" t="s">
        <v>571</v>
      </c>
      <c r="U35" s="78"/>
      <c r="V35" s="78"/>
      <c r="W35" s="78"/>
      <c r="X35" s="78"/>
      <c r="Y35" s="53">
        <f t="shared" si="0"/>
        <v>3</v>
      </c>
    </row>
    <row r="36" spans="1:25">
      <c r="A36" s="58">
        <v>29</v>
      </c>
      <c r="B36" s="59">
        <f t="shared" si="6"/>
        <v>2</v>
      </c>
      <c r="C36" s="60">
        <v>2</v>
      </c>
      <c r="D36" s="60"/>
      <c r="E36" s="60"/>
      <c r="F36" s="60"/>
      <c r="G36" s="60"/>
      <c r="H36" s="60"/>
      <c r="I36" s="40"/>
      <c r="J36" s="41" t="str">
        <f t="shared" ca="1" si="7"/>
        <v>Incomplete</v>
      </c>
      <c r="L36" s="58">
        <v>29</v>
      </c>
      <c r="M36" s="42" t="str">
        <f>IF('29'!$A$8="","",'29'!$A$8)</f>
        <v/>
      </c>
      <c r="N36" s="42"/>
      <c r="O36" s="42"/>
      <c r="P36" s="42"/>
      <c r="Q36" s="42"/>
      <c r="R36" s="42"/>
      <c r="S36" s="42"/>
      <c r="T36" s="78" t="s">
        <v>572</v>
      </c>
      <c r="U36" s="78"/>
      <c r="V36" s="78"/>
      <c r="W36" s="78"/>
      <c r="X36" s="78"/>
      <c r="Y36" s="53">
        <f t="shared" si="0"/>
        <v>2</v>
      </c>
    </row>
    <row r="37" spans="1:25">
      <c r="A37" s="58">
        <v>30</v>
      </c>
      <c r="B37" s="62">
        <f t="shared" si="6"/>
        <v>2.5</v>
      </c>
      <c r="C37" s="60">
        <v>0.75</v>
      </c>
      <c r="D37" s="60">
        <v>1.75</v>
      </c>
      <c r="E37" s="60"/>
      <c r="F37" s="60"/>
      <c r="G37" s="60"/>
      <c r="H37" s="60"/>
      <c r="I37" s="40"/>
      <c r="J37" s="41" t="str">
        <f t="shared" ca="1" si="7"/>
        <v>Incomplete</v>
      </c>
      <c r="L37" s="58">
        <v>30</v>
      </c>
      <c r="M37" s="42" t="str">
        <f>IF('30'!$A$8="","",'30'!$A$8)</f>
        <v/>
      </c>
      <c r="N37" s="42" t="str">
        <f>IF('30'!$A$12="","",'30'!$A$12)</f>
        <v/>
      </c>
      <c r="O37" s="42"/>
      <c r="P37" s="42"/>
      <c r="Q37" s="42"/>
      <c r="R37" s="42"/>
      <c r="S37" s="42"/>
      <c r="T37" s="78" t="s">
        <v>573</v>
      </c>
      <c r="U37" s="78"/>
      <c r="V37" s="78"/>
      <c r="W37" s="78"/>
      <c r="X37" s="78"/>
      <c r="Y37" s="53">
        <f t="shared" si="0"/>
        <v>2.5</v>
      </c>
    </row>
  </sheetData>
  <mergeCells count="1">
    <mergeCell ref="B6:B7"/>
  </mergeCells>
  <conditionalFormatting sqref="J8:J37">
    <cfRule type="cellIs" dxfId="101" priority="217" operator="equal">
      <formula>"Finished"</formula>
    </cfRule>
    <cfRule type="cellIs" dxfId="100" priority="218" operator="equal">
      <formula>"Flag for Review"</formula>
    </cfRule>
    <cfRule type="cellIs" dxfId="99" priority="219" operator="equal">
      <formula>"Incomplete"</formula>
    </cfRule>
  </conditionalFormatting>
  <conditionalFormatting sqref="P2">
    <cfRule type="expression" dxfId="98" priority="56">
      <formula>LEN(P2)=0</formula>
    </cfRule>
    <cfRule type="cellIs" dxfId="97" priority="214" operator="greaterThanOrEqual">
      <formula>0.75</formula>
    </cfRule>
    <cfRule type="cellIs" dxfId="96" priority="215" operator="greaterThanOrEqual">
      <formula>0.65</formula>
    </cfRule>
    <cfRule type="cellIs" dxfId="95" priority="216" operator="greaterThanOrEqual">
      <formula>0</formula>
    </cfRule>
  </conditionalFormatting>
  <conditionalFormatting sqref="C8:I32 I32:I37 C10:H37">
    <cfRule type="containsBlanks" dxfId="94" priority="220">
      <formula>LEN(TRIM(C8))=0</formula>
    </cfRule>
  </conditionalFormatting>
  <conditionalFormatting sqref="M8:S37">
    <cfRule type="expression" dxfId="93" priority="29">
      <formula>C8=""</formula>
    </cfRule>
    <cfRule type="expression" dxfId="92" priority="30">
      <formula>M8/C8&gt;=0.75</formula>
    </cfRule>
    <cfRule type="expression" dxfId="91" priority="31">
      <formula>M8/C8&gt;=0.65</formula>
    </cfRule>
    <cfRule type="expression" dxfId="90" priority="32">
      <formula>M8/C8&gt;=0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L32" location="'25'!A1" display="'25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A33" location="'26'!A1" display="'26'!A1"/>
    <hyperlink ref="A34" location="'27'!A1" display="'27'!A1"/>
    <hyperlink ref="A35" location="'28'!A1" display="'28'!A1"/>
    <hyperlink ref="A36" location="'29'!A1" display="'29'!A1"/>
    <hyperlink ref="A37" location="'30'!A1" display="'30'!A1"/>
    <hyperlink ref="L33" location="'26'!A1" display="'26'!A1"/>
    <hyperlink ref="L34" location="'27'!A1" display="'27'!A1"/>
    <hyperlink ref="L35" location="'28'!A1" display="'28'!A1"/>
    <hyperlink ref="L36" location="'29'!A1" display="'29'!A1"/>
    <hyperlink ref="L37" location="'30'!A1" display="'30'!A1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>
      <c r="A1" s="7">
        <v>1</v>
      </c>
      <c r="B1" s="27" t="s">
        <v>12</v>
      </c>
      <c r="C1" s="20"/>
      <c r="D1" s="20"/>
      <c r="E1" s="20"/>
      <c r="F1" s="20"/>
      <c r="G1" s="20"/>
      <c r="H1" s="854" t="s">
        <v>24</v>
      </c>
      <c r="I1" s="855"/>
      <c r="K1" s="1" t="s">
        <v>33</v>
      </c>
      <c r="L1" s="52" t="str">
        <f>VLOOKUP(A1,'Point Grid'!$L$8:$T$54,9,FALSE)</f>
        <v>General Pricing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1"/>
      <c r="K3" s="48" t="s">
        <v>306</v>
      </c>
      <c r="L3" t="s">
        <v>506</v>
      </c>
      <c r="M3"/>
      <c r="N3"/>
      <c r="O3"/>
      <c r="P3"/>
      <c r="Q3"/>
      <c r="R3"/>
      <c r="S3"/>
      <c r="T3"/>
      <c r="U3"/>
    </row>
    <row r="4" spans="1:21">
      <c r="A4" s="9">
        <f>INDEX('Point Grid'!B:B,MATCH('1'!A1,'Point Grid'!A:A,0))</f>
        <v>1</v>
      </c>
      <c r="B4" s="17" t="s">
        <v>39</v>
      </c>
      <c r="C4" s="17"/>
      <c r="D4" s="17"/>
      <c r="E4" s="17"/>
      <c r="F4" s="17"/>
      <c r="G4" s="17"/>
      <c r="H4" s="17"/>
      <c r="I4" s="18"/>
      <c r="J4" s="31"/>
      <c r="K4" s="48"/>
      <c r="L4"/>
      <c r="M4"/>
      <c r="N4"/>
      <c r="O4"/>
      <c r="P4"/>
      <c r="Q4"/>
      <c r="R4"/>
      <c r="S4"/>
      <c r="T4"/>
      <c r="U4"/>
    </row>
    <row r="5" spans="1:21">
      <c r="A5" s="16"/>
      <c r="B5" s="17"/>
      <c r="C5" s="17"/>
      <c r="D5" s="17"/>
      <c r="E5" s="17"/>
      <c r="F5" s="17"/>
      <c r="G5" s="17"/>
      <c r="H5" s="17"/>
      <c r="I5" s="18"/>
      <c r="J5" s="31"/>
      <c r="K5" s="48"/>
      <c r="L5"/>
      <c r="M5"/>
      <c r="N5"/>
      <c r="O5"/>
      <c r="P5"/>
      <c r="Q5"/>
      <c r="R5"/>
      <c r="S5"/>
      <c r="T5"/>
      <c r="U5"/>
    </row>
    <row r="6" spans="1:21">
      <c r="A6" s="25" t="s">
        <v>2</v>
      </c>
      <c r="B6" s="17" t="s">
        <v>505</v>
      </c>
      <c r="C6" s="17"/>
      <c r="D6" s="17"/>
      <c r="E6" s="17"/>
      <c r="F6" s="17"/>
      <c r="G6" s="17"/>
      <c r="H6" s="17"/>
      <c r="I6" s="18"/>
      <c r="J6" s="31"/>
      <c r="K6" s="48"/>
      <c r="L6" s="1"/>
      <c r="M6"/>
      <c r="N6"/>
      <c r="O6"/>
      <c r="P6"/>
      <c r="Q6"/>
      <c r="R6"/>
      <c r="S6"/>
      <c r="T6"/>
      <c r="U6"/>
    </row>
    <row r="7" spans="1:21" ht="15.75" thickBot="1">
      <c r="A7" s="9">
        <f>INDEX('Point Grid'!$C$8:$I$54,MATCH($A$1,'Point Grid'!$A$8:$A$54,0),MATCH(A6,'Point Grid'!$C$7:$I$7,0))</f>
        <v>1</v>
      </c>
      <c r="B7" s="17"/>
      <c r="C7" s="17"/>
      <c r="D7" s="17"/>
      <c r="E7" s="17"/>
      <c r="F7" s="17"/>
      <c r="G7" s="17"/>
      <c r="H7" s="17"/>
      <c r="I7" s="18"/>
      <c r="J7" s="31"/>
      <c r="K7" s="48"/>
      <c r="L7"/>
      <c r="M7"/>
      <c r="N7"/>
      <c r="O7"/>
      <c r="P7"/>
      <c r="Q7"/>
      <c r="R7"/>
      <c r="S7"/>
      <c r="T7"/>
      <c r="U7"/>
    </row>
    <row r="8" spans="1:21" ht="15.75" thickBot="1">
      <c r="A8" s="5"/>
      <c r="B8" s="35"/>
      <c r="C8" s="28"/>
      <c r="D8" s="28"/>
      <c r="E8" s="28"/>
      <c r="F8" s="28"/>
      <c r="G8" s="28"/>
      <c r="H8" s="28"/>
      <c r="I8" s="18"/>
      <c r="J8" s="31"/>
      <c r="K8"/>
      <c r="L8"/>
      <c r="M8"/>
      <c r="N8"/>
      <c r="O8"/>
      <c r="P8"/>
      <c r="Q8"/>
      <c r="R8"/>
      <c r="S8"/>
      <c r="T8"/>
      <c r="U8"/>
    </row>
    <row r="9" spans="1:21">
      <c r="A9" s="25"/>
      <c r="B9" s="35"/>
      <c r="C9" s="17"/>
      <c r="D9" s="17"/>
      <c r="E9" s="17"/>
      <c r="F9" s="17"/>
      <c r="G9" s="17"/>
      <c r="H9" s="17"/>
      <c r="I9" s="18"/>
      <c r="J9" s="31"/>
      <c r="K9" s="48"/>
      <c r="L9"/>
      <c r="M9"/>
      <c r="N9"/>
      <c r="O9"/>
      <c r="P9"/>
      <c r="Q9"/>
      <c r="R9"/>
      <c r="S9"/>
    </row>
    <row r="10" spans="1:21">
      <c r="A10" s="25"/>
      <c r="B10" s="35"/>
      <c r="C10" s="17"/>
      <c r="D10" s="17"/>
      <c r="E10" s="17"/>
      <c r="F10" s="17"/>
      <c r="G10" s="17"/>
      <c r="H10" s="17"/>
      <c r="I10" s="18"/>
      <c r="J10" s="31"/>
      <c r="K10"/>
      <c r="L10" s="1"/>
      <c r="M10"/>
      <c r="N10"/>
      <c r="O10"/>
      <c r="P10"/>
      <c r="Q10"/>
      <c r="R10"/>
      <c r="S10"/>
      <c r="T10"/>
      <c r="U10"/>
    </row>
    <row r="11" spans="1:21">
      <c r="A11" s="25"/>
      <c r="B11" s="34" t="s">
        <v>41</v>
      </c>
      <c r="C11" s="17" t="s">
        <v>506</v>
      </c>
      <c r="D11" s="17"/>
      <c r="E11" s="17"/>
      <c r="F11" s="17"/>
      <c r="G11" s="17"/>
      <c r="H11" s="17"/>
      <c r="I11" s="18"/>
      <c r="J11" s="31"/>
      <c r="K11"/>
      <c r="L11"/>
      <c r="M11"/>
      <c r="N11"/>
      <c r="O11"/>
      <c r="P11"/>
      <c r="Q11"/>
      <c r="R11"/>
      <c r="S11"/>
      <c r="T11"/>
      <c r="U11"/>
    </row>
    <row r="12" spans="1:21">
      <c r="A12" s="25"/>
      <c r="B12" s="34"/>
      <c r="C12" s="17"/>
      <c r="D12" s="17"/>
      <c r="E12" s="17"/>
      <c r="F12" s="17"/>
      <c r="G12" s="17"/>
      <c r="H12" s="17"/>
      <c r="I12" s="18"/>
      <c r="J12" s="31"/>
      <c r="K12"/>
      <c r="L12"/>
      <c r="M12"/>
      <c r="N12"/>
      <c r="O12"/>
      <c r="P12"/>
      <c r="Q12"/>
      <c r="R12"/>
      <c r="S12"/>
      <c r="T12"/>
      <c r="U12"/>
    </row>
    <row r="13" spans="1:21">
      <c r="A13" s="25"/>
      <c r="B13" s="34"/>
      <c r="C13" s="17"/>
      <c r="D13" s="17"/>
      <c r="E13" s="17"/>
      <c r="F13" s="17"/>
      <c r="G13" s="17"/>
      <c r="H13" s="17"/>
      <c r="I13" s="18"/>
      <c r="J13" s="31"/>
      <c r="K13" s="48"/>
      <c r="L13"/>
      <c r="M13"/>
      <c r="N13"/>
      <c r="O13"/>
      <c r="P13"/>
      <c r="Q13"/>
      <c r="R13"/>
      <c r="S13"/>
      <c r="T13"/>
      <c r="U13"/>
    </row>
    <row r="14" spans="1:21">
      <c r="A14" s="25"/>
      <c r="B14" s="34" t="s">
        <v>40</v>
      </c>
      <c r="C14" s="17" t="s">
        <v>507</v>
      </c>
      <c r="D14" s="17"/>
      <c r="E14" s="17"/>
      <c r="F14" s="17"/>
      <c r="G14" s="17"/>
      <c r="H14" s="17"/>
      <c r="I14" s="18"/>
      <c r="J14" s="31"/>
      <c r="K14"/>
      <c r="L14"/>
      <c r="M14"/>
      <c r="N14"/>
      <c r="O14"/>
      <c r="P14"/>
      <c r="Q14"/>
      <c r="R14"/>
      <c r="S14"/>
      <c r="T14"/>
      <c r="U14"/>
    </row>
    <row r="15" spans="1:21">
      <c r="A15" s="25"/>
      <c r="B15" s="34"/>
      <c r="C15" s="17"/>
      <c r="D15" s="17"/>
      <c r="E15" s="17"/>
      <c r="F15" s="17"/>
      <c r="G15" s="17"/>
      <c r="H15" s="17"/>
      <c r="I15" s="18"/>
      <c r="J15" s="31"/>
      <c r="K15"/>
      <c r="L15"/>
      <c r="M15"/>
      <c r="N15"/>
      <c r="O15"/>
      <c r="P15"/>
      <c r="Q15"/>
      <c r="R15"/>
      <c r="S15"/>
      <c r="T15"/>
      <c r="U15"/>
    </row>
    <row r="16" spans="1:21">
      <c r="A16" s="25"/>
      <c r="B16" s="34"/>
      <c r="C16" s="17"/>
      <c r="D16" s="17"/>
      <c r="E16" s="17"/>
      <c r="F16" s="17"/>
      <c r="G16" s="17"/>
      <c r="H16" s="17"/>
      <c r="I16" s="18"/>
      <c r="J16" s="31"/>
      <c r="K16" s="48"/>
      <c r="L16" s="1"/>
      <c r="M16"/>
      <c r="N16"/>
      <c r="O16"/>
      <c r="P16"/>
      <c r="Q16"/>
      <c r="R16"/>
      <c r="S16"/>
      <c r="T16"/>
      <c r="U16"/>
    </row>
    <row r="17" spans="1:21">
      <c r="A17" s="25"/>
      <c r="B17" s="34" t="s">
        <v>42</v>
      </c>
      <c r="C17" s="17" t="s">
        <v>508</v>
      </c>
      <c r="D17" s="17"/>
      <c r="E17" s="17"/>
      <c r="F17" s="17"/>
      <c r="G17" s="17"/>
      <c r="H17" s="17"/>
      <c r="I17" s="18"/>
      <c r="J17" s="31"/>
      <c r="K17"/>
      <c r="L17"/>
      <c r="M17"/>
      <c r="N17"/>
      <c r="O17"/>
      <c r="P17"/>
      <c r="Q17"/>
      <c r="R17"/>
      <c r="S17"/>
      <c r="T17"/>
      <c r="U17"/>
    </row>
    <row r="18" spans="1:21" ht="15" customHeight="1">
      <c r="A18" s="25"/>
      <c r="B18" s="34"/>
      <c r="C18" s="17"/>
      <c r="D18" s="17"/>
      <c r="E18" s="17"/>
      <c r="F18" s="17"/>
      <c r="G18" s="17"/>
      <c r="H18" s="17"/>
      <c r="I18" s="18"/>
      <c r="J18" s="31"/>
      <c r="K18"/>
      <c r="L18"/>
      <c r="M18"/>
      <c r="N18"/>
      <c r="O18"/>
      <c r="P18"/>
      <c r="Q18"/>
      <c r="R18"/>
      <c r="S18"/>
      <c r="T18"/>
      <c r="U18"/>
    </row>
    <row r="19" spans="1:21" ht="15" customHeight="1">
      <c r="A19" s="25"/>
      <c r="B19" s="34"/>
      <c r="C19" s="17"/>
      <c r="D19" s="17"/>
      <c r="E19" s="17"/>
      <c r="F19" s="17"/>
      <c r="G19" s="17"/>
      <c r="H19" s="17"/>
      <c r="I19" s="18"/>
      <c r="J19" s="31"/>
      <c r="K19"/>
      <c r="L19"/>
      <c r="M19"/>
      <c r="N19"/>
      <c r="O19"/>
      <c r="P19"/>
      <c r="Q19"/>
      <c r="R19"/>
      <c r="S19"/>
      <c r="T19"/>
      <c r="U19"/>
    </row>
    <row r="20" spans="1:21" ht="15" customHeight="1">
      <c r="A20" s="25"/>
      <c r="B20" s="34" t="s">
        <v>43</v>
      </c>
      <c r="C20" s="17" t="s">
        <v>509</v>
      </c>
      <c r="D20" s="17"/>
      <c r="E20" s="17"/>
      <c r="F20" s="17"/>
      <c r="G20" s="17"/>
      <c r="H20" s="17"/>
      <c r="I20" s="18"/>
      <c r="J20" s="31"/>
      <c r="K20"/>
      <c r="L20"/>
      <c r="M20"/>
      <c r="N20"/>
      <c r="O20"/>
      <c r="P20"/>
      <c r="Q20"/>
      <c r="R20"/>
      <c r="S20"/>
      <c r="T20"/>
      <c r="U20"/>
    </row>
    <row r="21" spans="1:21" ht="15" customHeight="1">
      <c r="A21" s="25"/>
      <c r="B21" s="34"/>
      <c r="C21" s="17"/>
      <c r="D21" s="17"/>
      <c r="E21" s="17"/>
      <c r="F21" s="17"/>
      <c r="G21" s="17"/>
      <c r="H21" s="17"/>
      <c r="I21" s="18"/>
      <c r="J21" s="31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25"/>
      <c r="B22" s="34"/>
      <c r="C22" s="17"/>
      <c r="D22" s="17"/>
      <c r="E22" s="17"/>
      <c r="F22" s="17"/>
      <c r="G22" s="17"/>
      <c r="H22" s="17"/>
      <c r="I22" s="18"/>
      <c r="J22" s="31"/>
      <c r="K22"/>
      <c r="L22"/>
      <c r="M22"/>
      <c r="N22"/>
      <c r="O22"/>
      <c r="P22"/>
      <c r="Q22"/>
      <c r="R22"/>
      <c r="S22"/>
      <c r="T22"/>
      <c r="U22"/>
    </row>
    <row r="23" spans="1:21" ht="15" customHeight="1">
      <c r="A23" s="25"/>
      <c r="B23" s="34"/>
      <c r="C23" s="17"/>
      <c r="D23" s="17"/>
      <c r="E23" s="17"/>
      <c r="F23" s="17"/>
      <c r="G23" s="17"/>
      <c r="H23" s="17"/>
      <c r="I23" s="18"/>
      <c r="J23" s="31"/>
      <c r="K23"/>
      <c r="L23"/>
      <c r="M23"/>
      <c r="N23"/>
      <c r="O23"/>
      <c r="P23"/>
      <c r="Q23"/>
      <c r="R23"/>
      <c r="S23"/>
      <c r="T23"/>
      <c r="U23"/>
    </row>
    <row r="24" spans="1:21" ht="15" customHeight="1">
      <c r="A24" s="25"/>
      <c r="B24" s="34"/>
      <c r="C24" s="17"/>
      <c r="D24" s="17"/>
      <c r="E24" s="17"/>
      <c r="F24" s="17"/>
      <c r="G24" s="17"/>
      <c r="H24" s="17"/>
      <c r="I24" s="18"/>
      <c r="J24" s="31"/>
      <c r="K24"/>
      <c r="L24"/>
      <c r="M24"/>
      <c r="N24"/>
      <c r="O24"/>
      <c r="P24"/>
      <c r="Q24"/>
      <c r="R24"/>
      <c r="S24"/>
      <c r="T24"/>
      <c r="U24"/>
    </row>
    <row r="25" spans="1:21" ht="15" customHeight="1">
      <c r="A25" s="25"/>
      <c r="B25" s="34"/>
      <c r="C25" s="17"/>
      <c r="D25" s="17"/>
      <c r="E25" s="17"/>
      <c r="F25" s="17"/>
      <c r="G25" s="17"/>
      <c r="H25" s="17"/>
      <c r="I25" s="18"/>
      <c r="J25" s="31"/>
      <c r="K25"/>
      <c r="L25"/>
      <c r="M25"/>
      <c r="N25"/>
      <c r="O25"/>
      <c r="P25"/>
      <c r="Q25"/>
      <c r="R25"/>
      <c r="S25"/>
      <c r="T25"/>
      <c r="U25"/>
    </row>
    <row r="26" spans="1:21" ht="15" customHeight="1">
      <c r="A26" s="25"/>
      <c r="B26" s="34"/>
      <c r="C26" s="17"/>
      <c r="D26" s="17"/>
      <c r="E26" s="17"/>
      <c r="F26" s="17"/>
      <c r="G26" s="17"/>
      <c r="H26" s="17"/>
      <c r="I26" s="18"/>
      <c r="J26" s="31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25"/>
      <c r="B27" s="17"/>
      <c r="C27" s="17"/>
      <c r="D27" s="17"/>
      <c r="E27" s="17"/>
      <c r="F27" s="17"/>
      <c r="G27" s="17"/>
      <c r="H27" s="17"/>
      <c r="I27" s="18"/>
      <c r="J27" s="31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25"/>
      <c r="B28" s="17"/>
      <c r="C28" s="17"/>
      <c r="D28" s="17"/>
      <c r="E28" s="17"/>
      <c r="F28" s="17"/>
      <c r="G28" s="17"/>
      <c r="H28" s="17"/>
      <c r="I28" s="18"/>
      <c r="J28" s="31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22"/>
      <c r="B29" s="17"/>
      <c r="C29" s="17"/>
      <c r="D29" s="17"/>
      <c r="E29" s="17"/>
      <c r="F29" s="17"/>
      <c r="G29" s="17"/>
      <c r="H29" s="17"/>
      <c r="I29" s="18"/>
      <c r="J29" s="31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>
      <c r="A30" s="24"/>
      <c r="B30" s="32"/>
      <c r="C30" s="32"/>
      <c r="D30" s="32"/>
      <c r="E30" s="32"/>
      <c r="F30" s="32"/>
      <c r="G30" s="32"/>
      <c r="H30" s="32"/>
      <c r="I30" s="33"/>
      <c r="J30" s="31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B31" s="31"/>
      <c r="C31" s="31"/>
      <c r="D31" s="31"/>
      <c r="E31" s="31"/>
      <c r="F31" s="31"/>
      <c r="G31" s="31"/>
      <c r="H31" s="31"/>
      <c r="I31" s="31"/>
      <c r="J31" s="31"/>
      <c r="K31"/>
      <c r="L31"/>
      <c r="M31"/>
      <c r="N31"/>
      <c r="O31"/>
      <c r="P31"/>
      <c r="Q31"/>
      <c r="R31"/>
      <c r="S31"/>
      <c r="T31"/>
      <c r="U31"/>
    </row>
    <row r="32" spans="1:21" ht="15" customHeight="1">
      <c r="J32" s="31"/>
      <c r="K32"/>
      <c r="L32"/>
      <c r="M32"/>
      <c r="N32"/>
      <c r="O32"/>
      <c r="P32"/>
      <c r="Q32"/>
      <c r="R32"/>
      <c r="S32"/>
      <c r="T32"/>
      <c r="U32"/>
    </row>
    <row r="33" spans="2:21" ht="15" customHeight="1">
      <c r="J33" s="31"/>
      <c r="K33" s="48"/>
      <c r="L33" s="1"/>
      <c r="M33"/>
      <c r="N33"/>
      <c r="O33"/>
      <c r="P33"/>
      <c r="Q33"/>
      <c r="R33"/>
      <c r="S33"/>
      <c r="T33"/>
      <c r="U33"/>
    </row>
    <row r="34" spans="2:21" ht="15" customHeight="1">
      <c r="J34" s="31"/>
      <c r="K34"/>
      <c r="L34"/>
      <c r="M34"/>
      <c r="N34"/>
      <c r="O34"/>
      <c r="P34"/>
      <c r="Q34"/>
      <c r="R34"/>
      <c r="S34"/>
      <c r="T34"/>
      <c r="U34"/>
    </row>
    <row r="35" spans="2:21" ht="15" customHeight="1">
      <c r="J35" s="31"/>
      <c r="K35" s="48"/>
      <c r="L35"/>
      <c r="M35"/>
      <c r="N35"/>
      <c r="O35"/>
      <c r="P35"/>
      <c r="Q35"/>
      <c r="R35"/>
      <c r="S35"/>
      <c r="T35"/>
      <c r="U35"/>
    </row>
    <row r="36" spans="2:21" ht="15" customHeight="1">
      <c r="J36" s="31"/>
      <c r="K36"/>
      <c r="L36"/>
      <c r="M36"/>
      <c r="N36"/>
      <c r="O36"/>
      <c r="P36"/>
      <c r="Q36"/>
      <c r="R36"/>
      <c r="S36"/>
      <c r="T36"/>
      <c r="U36"/>
    </row>
    <row r="37" spans="2:21" ht="15" customHeight="1">
      <c r="J37" s="31"/>
      <c r="K37"/>
      <c r="L37"/>
      <c r="M37"/>
      <c r="N37"/>
      <c r="O37"/>
      <c r="P37"/>
      <c r="Q37"/>
      <c r="R37"/>
      <c r="S37"/>
      <c r="T37"/>
      <c r="U37"/>
    </row>
    <row r="38" spans="2:21" ht="15" customHeight="1">
      <c r="J38" s="31"/>
      <c r="K38"/>
      <c r="L38"/>
      <c r="M38"/>
      <c r="N38"/>
      <c r="O38"/>
      <c r="P38"/>
      <c r="Q38"/>
      <c r="R38"/>
      <c r="S38"/>
      <c r="T38"/>
      <c r="U38"/>
    </row>
    <row r="39" spans="2:21" ht="15" customHeight="1">
      <c r="J39" s="31"/>
      <c r="K39"/>
      <c r="L39"/>
      <c r="M39"/>
      <c r="N39"/>
      <c r="O39"/>
      <c r="P39"/>
      <c r="Q39"/>
      <c r="R39"/>
      <c r="S39"/>
      <c r="T39"/>
      <c r="U39"/>
    </row>
    <row r="40" spans="2:21" ht="15" customHeight="1">
      <c r="J40" s="31"/>
      <c r="K40"/>
      <c r="L40"/>
      <c r="M40"/>
      <c r="N40"/>
      <c r="O40"/>
      <c r="P40"/>
      <c r="Q40"/>
      <c r="R40"/>
      <c r="S40"/>
      <c r="T40"/>
      <c r="U40"/>
    </row>
    <row r="41" spans="2:21" ht="15" customHeight="1">
      <c r="J41" s="31"/>
      <c r="K41"/>
      <c r="L41"/>
      <c r="M41"/>
      <c r="N41"/>
      <c r="O41"/>
      <c r="P41"/>
      <c r="Q41"/>
      <c r="R41"/>
      <c r="S41"/>
      <c r="T41"/>
      <c r="U41"/>
    </row>
    <row r="42" spans="2:21" ht="15" customHeight="1">
      <c r="J42" s="31"/>
      <c r="K42"/>
      <c r="L42"/>
      <c r="M42"/>
      <c r="N42"/>
      <c r="O42"/>
      <c r="P42"/>
      <c r="Q42"/>
      <c r="R42"/>
      <c r="S42"/>
      <c r="T42"/>
      <c r="U42"/>
    </row>
    <row r="43" spans="2:21" ht="15" customHeight="1">
      <c r="J43" s="31"/>
      <c r="K43"/>
      <c r="L43"/>
      <c r="M43"/>
      <c r="N43"/>
      <c r="O43"/>
      <c r="P43"/>
      <c r="Q43"/>
      <c r="R43"/>
      <c r="S43"/>
      <c r="T43"/>
      <c r="U43"/>
    </row>
    <row r="44" spans="2:21" ht="15" customHeight="1">
      <c r="J44" s="31"/>
      <c r="K44"/>
      <c r="L44"/>
      <c r="M44"/>
      <c r="N44"/>
      <c r="O44"/>
      <c r="P44"/>
      <c r="Q44"/>
      <c r="R44"/>
      <c r="S44"/>
      <c r="T44"/>
      <c r="U44"/>
    </row>
    <row r="45" spans="2:21" ht="15" customHeight="1">
      <c r="J45" s="31"/>
      <c r="K45"/>
      <c r="L45"/>
      <c r="M45"/>
      <c r="N45"/>
      <c r="O45"/>
      <c r="P45"/>
      <c r="Q45"/>
      <c r="R45"/>
      <c r="S45"/>
      <c r="T45"/>
      <c r="U45"/>
    </row>
    <row r="46" spans="2:21" ht="15" customHeight="1">
      <c r="B46" s="31"/>
      <c r="C46" s="31"/>
      <c r="D46" s="31"/>
      <c r="E46" s="31"/>
      <c r="F46" s="31"/>
      <c r="G46" s="31"/>
      <c r="H46" s="31"/>
      <c r="I46" s="31"/>
      <c r="J46" s="31"/>
      <c r="K46"/>
      <c r="L46"/>
      <c r="M46"/>
      <c r="N46"/>
      <c r="O46"/>
      <c r="P46"/>
      <c r="Q46"/>
      <c r="R46"/>
      <c r="S46"/>
      <c r="T46"/>
      <c r="U46"/>
    </row>
    <row r="47" spans="2:21" ht="15" customHeight="1">
      <c r="B47" s="31"/>
      <c r="C47" s="31"/>
      <c r="D47" s="31"/>
      <c r="E47" s="31"/>
      <c r="F47" s="31"/>
      <c r="G47" s="31"/>
      <c r="H47" s="31"/>
      <c r="I47" s="31"/>
      <c r="J47" s="31"/>
      <c r="K47"/>
      <c r="L47"/>
      <c r="M47"/>
      <c r="N47"/>
      <c r="O47"/>
      <c r="P47"/>
      <c r="Q47"/>
      <c r="R47"/>
      <c r="S47"/>
      <c r="T47"/>
      <c r="U47"/>
    </row>
    <row r="48" spans="2:21" ht="15" customHeight="1">
      <c r="B48" s="31"/>
      <c r="C48" s="31"/>
      <c r="D48" s="31"/>
      <c r="E48" s="31"/>
      <c r="F48" s="31"/>
      <c r="G48" s="31"/>
      <c r="H48" s="31"/>
      <c r="I48" s="31"/>
      <c r="J48" s="31"/>
      <c r="K48"/>
      <c r="L48"/>
      <c r="M48"/>
      <c r="N48"/>
      <c r="O48"/>
      <c r="P48"/>
      <c r="Q48"/>
      <c r="R48"/>
      <c r="S48"/>
      <c r="T48"/>
      <c r="U48"/>
    </row>
    <row r="49" spans="2:21" ht="15" customHeight="1">
      <c r="B49" s="31"/>
      <c r="C49" s="31"/>
      <c r="D49" s="31"/>
      <c r="E49" s="31"/>
      <c r="F49" s="31"/>
      <c r="G49" s="31"/>
      <c r="H49" s="31"/>
      <c r="I49" s="31"/>
      <c r="J49" s="31"/>
      <c r="K49"/>
      <c r="L49"/>
      <c r="M49"/>
      <c r="N49"/>
      <c r="O49"/>
      <c r="P49"/>
      <c r="Q49"/>
      <c r="R49"/>
      <c r="S49"/>
      <c r="T49"/>
      <c r="U49"/>
    </row>
    <row r="50" spans="2:21" ht="15" customHeight="1">
      <c r="B50" s="31"/>
      <c r="C50" s="31"/>
      <c r="D50" s="31"/>
      <c r="E50" s="31"/>
      <c r="F50" s="31"/>
      <c r="G50" s="31"/>
      <c r="H50" s="31"/>
      <c r="I50" s="31"/>
      <c r="J50" s="31"/>
      <c r="K50"/>
      <c r="L50"/>
      <c r="M50"/>
      <c r="N50"/>
      <c r="O50"/>
      <c r="P50"/>
      <c r="Q50"/>
      <c r="R50"/>
      <c r="S50"/>
      <c r="T50"/>
      <c r="U50"/>
    </row>
    <row r="51" spans="2:21" ht="15" customHeight="1">
      <c r="B51" s="31"/>
      <c r="C51" s="31"/>
      <c r="D51" s="31"/>
      <c r="E51" s="31"/>
      <c r="F51" s="31"/>
      <c r="G51" s="31"/>
      <c r="H51" s="31"/>
      <c r="I51" s="31"/>
      <c r="J51" s="31"/>
    </row>
    <row r="52" spans="2:21" ht="15" customHeight="1">
      <c r="B52" s="31"/>
      <c r="C52" s="31"/>
      <c r="D52" s="31"/>
      <c r="E52" s="31"/>
      <c r="F52" s="31"/>
      <c r="G52" s="31"/>
      <c r="H52" s="31"/>
      <c r="I52" s="31"/>
      <c r="J52" s="31"/>
    </row>
    <row r="53" spans="2:21" ht="15" customHeight="1">
      <c r="B53" s="31"/>
      <c r="C53" s="31"/>
      <c r="D53" s="31"/>
      <c r="E53" s="31"/>
      <c r="F53" s="31"/>
      <c r="G53" s="31"/>
      <c r="H53" s="31"/>
      <c r="I53" s="31"/>
      <c r="J53" s="31"/>
    </row>
    <row r="54" spans="2:21" ht="15" customHeight="1">
      <c r="B54" s="31"/>
      <c r="C54" s="31"/>
      <c r="D54" s="31"/>
      <c r="E54" s="31"/>
      <c r="F54" s="31"/>
      <c r="G54" s="31"/>
      <c r="H54" s="31"/>
      <c r="I54" s="31"/>
      <c r="J54" s="31"/>
    </row>
    <row r="55" spans="2:21" ht="15" customHeight="1">
      <c r="B55" s="31"/>
      <c r="C55" s="31"/>
      <c r="D55" s="31"/>
      <c r="E55" s="31"/>
      <c r="F55" s="31"/>
      <c r="G55" s="31"/>
      <c r="H55" s="31"/>
      <c r="I55" s="31"/>
      <c r="J55" s="31"/>
    </row>
    <row r="56" spans="2:21" ht="15" customHeight="1">
      <c r="B56" s="31"/>
      <c r="C56" s="31"/>
      <c r="D56" s="31"/>
      <c r="E56" s="31"/>
      <c r="F56" s="31"/>
      <c r="G56" s="31"/>
      <c r="H56" s="31"/>
      <c r="I56" s="31"/>
      <c r="J56" s="31"/>
    </row>
    <row r="57" spans="2:21" ht="15" customHeight="1">
      <c r="B57" s="31"/>
      <c r="C57" s="31"/>
      <c r="D57" s="31"/>
      <c r="E57" s="31"/>
      <c r="F57" s="31"/>
      <c r="G57" s="31"/>
      <c r="H57" s="31"/>
      <c r="I57" s="31"/>
      <c r="J57" s="31"/>
    </row>
    <row r="58" spans="2:21" ht="15" customHeight="1">
      <c r="B58" s="31"/>
      <c r="C58" s="31"/>
      <c r="D58" s="31"/>
      <c r="E58" s="31"/>
      <c r="F58" s="31"/>
      <c r="G58" s="31"/>
      <c r="H58" s="31"/>
      <c r="I58" s="31"/>
      <c r="J58" s="31"/>
    </row>
    <row r="59" spans="2:21" ht="15" customHeight="1">
      <c r="B59" s="31"/>
      <c r="C59" s="31"/>
      <c r="D59" s="31"/>
      <c r="E59" s="31"/>
      <c r="F59" s="31"/>
      <c r="G59" s="31"/>
      <c r="H59" s="31"/>
      <c r="I59" s="31"/>
      <c r="J59" s="31"/>
    </row>
    <row r="60" spans="2:21" ht="15" customHeight="1">
      <c r="B60" s="31"/>
      <c r="C60" s="31"/>
      <c r="D60" s="31"/>
      <c r="E60" s="31"/>
      <c r="F60" s="31"/>
      <c r="G60" s="31"/>
      <c r="H60" s="31"/>
      <c r="I60" s="31"/>
      <c r="J60" s="31"/>
    </row>
    <row r="61" spans="2:21" ht="15" customHeight="1">
      <c r="B61" s="31"/>
      <c r="C61" s="31"/>
      <c r="D61" s="31"/>
      <c r="E61" s="31"/>
      <c r="F61" s="31"/>
      <c r="G61" s="31"/>
      <c r="H61" s="31"/>
      <c r="I61" s="31"/>
      <c r="J61" s="31"/>
    </row>
    <row r="62" spans="2:21" ht="15" customHeight="1">
      <c r="B62" s="31"/>
      <c r="C62" s="31"/>
      <c r="D62" s="31"/>
      <c r="E62" s="31"/>
      <c r="F62" s="31"/>
      <c r="G62" s="31"/>
      <c r="H62" s="31"/>
      <c r="I62" s="31"/>
      <c r="J62" s="31"/>
    </row>
    <row r="63" spans="2:21" ht="15" customHeight="1">
      <c r="B63" s="31"/>
      <c r="C63" s="31"/>
      <c r="D63" s="31"/>
      <c r="E63" s="31"/>
      <c r="F63" s="31"/>
      <c r="G63" s="31"/>
      <c r="H63" s="31"/>
      <c r="I63" s="31"/>
      <c r="J63" s="31"/>
    </row>
    <row r="64" spans="2:21" ht="15" customHeight="1">
      <c r="B64" s="31"/>
      <c r="C64" s="31"/>
      <c r="D64" s="31"/>
      <c r="E64" s="31"/>
      <c r="F64" s="31"/>
      <c r="G64" s="31"/>
      <c r="H64" s="31"/>
      <c r="I64" s="31"/>
      <c r="J64" s="31"/>
    </row>
    <row r="65" spans="2:10" ht="15" customHeight="1">
      <c r="B65" s="31"/>
      <c r="C65" s="31"/>
      <c r="D65" s="31"/>
      <c r="E65" s="31"/>
      <c r="F65" s="31"/>
      <c r="G65" s="31"/>
      <c r="H65" s="31"/>
      <c r="I65" s="31"/>
      <c r="J65" s="31"/>
    </row>
    <row r="66" spans="2:10" ht="15" customHeight="1">
      <c r="B66" s="31"/>
      <c r="C66" s="31"/>
      <c r="D66" s="31"/>
      <c r="E66" s="31"/>
      <c r="F66" s="31"/>
      <c r="G66" s="31"/>
      <c r="H66" s="31"/>
      <c r="I66" s="31"/>
      <c r="J66" s="31"/>
    </row>
    <row r="67" spans="2:10" ht="15" customHeight="1">
      <c r="B67" s="31"/>
      <c r="C67" s="31"/>
      <c r="D67" s="31"/>
      <c r="E67" s="31"/>
      <c r="F67" s="31"/>
      <c r="G67" s="31"/>
      <c r="H67" s="31"/>
      <c r="I67" s="31"/>
      <c r="J67" s="31"/>
    </row>
    <row r="68" spans="2:10" ht="15" customHeight="1">
      <c r="B68" s="31"/>
      <c r="C68" s="31"/>
      <c r="D68" s="31"/>
      <c r="E68" s="31"/>
      <c r="F68" s="31"/>
      <c r="G68" s="31"/>
      <c r="H68" s="31"/>
      <c r="I68" s="31"/>
      <c r="J68" s="31"/>
    </row>
    <row r="69" spans="2:10" ht="15" customHeight="1">
      <c r="B69" s="31"/>
      <c r="C69" s="31"/>
      <c r="D69" s="31"/>
      <c r="E69" s="31"/>
      <c r="F69" s="31"/>
      <c r="G69" s="31"/>
      <c r="H69" s="31"/>
      <c r="I69" s="31"/>
      <c r="J69" s="31"/>
    </row>
    <row r="70" spans="2:10" ht="15" customHeight="1">
      <c r="B70" s="31"/>
      <c r="C70" s="31"/>
      <c r="D70" s="31"/>
      <c r="E70" s="31"/>
      <c r="F70" s="31"/>
      <c r="G70" s="31"/>
      <c r="H70" s="31"/>
      <c r="I70" s="31"/>
      <c r="J70" s="31"/>
    </row>
    <row r="71" spans="2:10" ht="15" customHeight="1">
      <c r="B71" s="31"/>
      <c r="C71" s="31"/>
      <c r="D71" s="31"/>
      <c r="E71" s="31"/>
      <c r="F71" s="31"/>
      <c r="G71" s="31"/>
      <c r="H71" s="31"/>
      <c r="I71" s="31"/>
      <c r="J71" s="31"/>
    </row>
    <row r="72" spans="2:10" ht="15" customHeight="1">
      <c r="B72" s="31"/>
      <c r="C72" s="31"/>
      <c r="D72" s="31"/>
      <c r="E72" s="31"/>
      <c r="F72" s="31"/>
      <c r="G72" s="31"/>
      <c r="H72" s="31"/>
      <c r="I72" s="31"/>
      <c r="J72" s="31"/>
    </row>
    <row r="73" spans="2:10" ht="15" customHeight="1">
      <c r="B73" s="31"/>
      <c r="C73" s="31"/>
      <c r="D73" s="31"/>
      <c r="E73" s="31"/>
      <c r="F73" s="31"/>
      <c r="G73" s="31"/>
      <c r="H73" s="31"/>
      <c r="I73" s="31"/>
      <c r="J73" s="31"/>
    </row>
    <row r="74" spans="2:10" ht="15" customHeight="1">
      <c r="B74" s="31"/>
      <c r="C74" s="31"/>
      <c r="D74" s="31"/>
      <c r="E74" s="31"/>
      <c r="F74" s="31"/>
      <c r="G74" s="31"/>
      <c r="H74" s="31"/>
      <c r="I74" s="31"/>
      <c r="J74" s="31"/>
    </row>
    <row r="75" spans="2:10" ht="15" customHeight="1">
      <c r="B75" s="31"/>
      <c r="C75" s="31"/>
      <c r="D75" s="31"/>
      <c r="E75" s="31"/>
      <c r="F75" s="31"/>
      <c r="G75" s="31"/>
      <c r="H75" s="31"/>
      <c r="I75" s="31"/>
      <c r="J75" s="31"/>
    </row>
    <row r="76" spans="2:10" ht="15" customHeight="1">
      <c r="B76" s="31"/>
      <c r="C76" s="31"/>
      <c r="D76" s="31"/>
      <c r="E76" s="31"/>
      <c r="F76" s="31"/>
      <c r="G76" s="31"/>
      <c r="H76" s="31"/>
      <c r="I76" s="31"/>
      <c r="J76" s="31"/>
    </row>
    <row r="77" spans="2:10" ht="15" customHeight="1">
      <c r="B77" s="31"/>
      <c r="C77" s="31"/>
      <c r="D77" s="31"/>
      <c r="E77" s="31"/>
      <c r="F77" s="31"/>
      <c r="G77" s="31"/>
      <c r="H77" s="31"/>
      <c r="I77" s="31"/>
      <c r="J77" s="31"/>
    </row>
    <row r="78" spans="2:10" ht="15" customHeight="1">
      <c r="B78" s="31"/>
      <c r="C78" s="31"/>
      <c r="D78" s="31"/>
      <c r="E78" s="31"/>
      <c r="F78" s="31"/>
      <c r="G78" s="31"/>
      <c r="H78" s="31"/>
      <c r="I78" s="31"/>
      <c r="J78" s="31"/>
    </row>
    <row r="79" spans="2:10" ht="15" customHeight="1">
      <c r="B79" s="31"/>
      <c r="C79" s="31"/>
      <c r="D79" s="31"/>
      <c r="E79" s="31"/>
      <c r="F79" s="31"/>
      <c r="G79" s="31"/>
      <c r="H79" s="31"/>
      <c r="I79" s="31"/>
      <c r="J79" s="31"/>
    </row>
    <row r="80" spans="2:10" ht="15" customHeight="1">
      <c r="B80" s="31"/>
      <c r="C80" s="31"/>
      <c r="D80" s="31"/>
      <c r="E80" s="31"/>
      <c r="F80" s="31"/>
      <c r="G80" s="31"/>
      <c r="H80" s="31"/>
      <c r="I80" s="31"/>
      <c r="J80" s="31"/>
    </row>
    <row r="81" spans="2:10" ht="15" customHeight="1">
      <c r="B81" s="31"/>
      <c r="C81" s="31"/>
      <c r="D81" s="31"/>
      <c r="E81" s="31"/>
      <c r="F81" s="31"/>
      <c r="G81" s="31"/>
      <c r="H81" s="31"/>
      <c r="I81" s="31"/>
      <c r="J81" s="31"/>
    </row>
    <row r="82" spans="2:10" ht="15" customHeight="1">
      <c r="B82" s="31"/>
      <c r="C82" s="31"/>
      <c r="D82" s="31"/>
      <c r="E82" s="31"/>
      <c r="F82" s="31"/>
      <c r="G82" s="31"/>
      <c r="H82" s="31"/>
      <c r="I82" s="31"/>
      <c r="J82" s="31"/>
    </row>
    <row r="83" spans="2:10" ht="15" customHeight="1">
      <c r="B83" s="31"/>
      <c r="C83" s="31"/>
      <c r="D83" s="31"/>
      <c r="E83" s="31"/>
      <c r="F83" s="31"/>
      <c r="G83" s="31"/>
      <c r="H83" s="31"/>
      <c r="I83" s="31"/>
      <c r="J83" s="31"/>
    </row>
    <row r="84" spans="2:10" ht="15" customHeight="1">
      <c r="B84" s="31"/>
      <c r="C84" s="31"/>
      <c r="D84" s="31"/>
      <c r="E84" s="31"/>
      <c r="F84" s="31"/>
      <c r="G84" s="31"/>
      <c r="H84" s="31"/>
      <c r="I84" s="31"/>
      <c r="J84" s="31"/>
    </row>
    <row r="85" spans="2:10" ht="15" customHeight="1">
      <c r="B85" s="31"/>
      <c r="C85" s="31"/>
      <c r="D85" s="31"/>
      <c r="E85" s="31"/>
      <c r="F85" s="31"/>
      <c r="G85" s="31"/>
      <c r="H85" s="31"/>
      <c r="I85" s="31"/>
      <c r="J85" s="31"/>
    </row>
    <row r="86" spans="2:10" ht="15" customHeight="1">
      <c r="B86" s="31"/>
      <c r="C86" s="31"/>
      <c r="D86" s="31"/>
      <c r="E86" s="31"/>
      <c r="F86" s="31"/>
      <c r="G86" s="31"/>
      <c r="H86" s="31"/>
      <c r="I86" s="31"/>
      <c r="J86" s="31"/>
    </row>
    <row r="87" spans="2:10" ht="15" customHeight="1">
      <c r="B87" s="31"/>
      <c r="C87" s="31"/>
      <c r="D87" s="31"/>
      <c r="E87" s="31"/>
      <c r="F87" s="31"/>
      <c r="G87" s="31"/>
      <c r="H87" s="31"/>
      <c r="I87" s="31"/>
      <c r="J87" s="31"/>
    </row>
    <row r="88" spans="2:10" ht="15" customHeight="1">
      <c r="B88" s="31"/>
      <c r="C88" s="31"/>
      <c r="D88" s="31"/>
      <c r="E88" s="31"/>
      <c r="F88" s="31"/>
      <c r="G88" s="31"/>
      <c r="H88" s="31"/>
      <c r="I88" s="31"/>
      <c r="J88" s="31"/>
    </row>
    <row r="89" spans="2:10" ht="15" customHeight="1">
      <c r="B89" s="31"/>
      <c r="C89" s="31"/>
      <c r="D89" s="31"/>
      <c r="E89" s="31"/>
      <c r="F89" s="31"/>
      <c r="G89" s="31"/>
      <c r="H89" s="31"/>
      <c r="I89" s="31"/>
      <c r="J89" s="31"/>
    </row>
    <row r="90" spans="2:10" ht="15" customHeight="1">
      <c r="B90" s="31"/>
      <c r="C90" s="31"/>
      <c r="D90" s="31"/>
      <c r="E90" s="31"/>
      <c r="F90" s="31"/>
      <c r="G90" s="31"/>
      <c r="H90" s="31"/>
      <c r="I90" s="31"/>
      <c r="J90" s="31"/>
    </row>
    <row r="91" spans="2:10" ht="15" customHeight="1">
      <c r="B91" s="31"/>
      <c r="C91" s="31"/>
      <c r="D91" s="31"/>
      <c r="E91" s="31"/>
      <c r="F91" s="31"/>
      <c r="G91" s="31"/>
      <c r="H91" s="31"/>
      <c r="I91" s="31"/>
      <c r="J91" s="31"/>
    </row>
    <row r="92" spans="2:10" ht="15" customHeight="1">
      <c r="B92" s="31"/>
      <c r="C92" s="31"/>
      <c r="D92" s="31"/>
      <c r="E92" s="31"/>
      <c r="F92" s="31"/>
      <c r="G92" s="31"/>
      <c r="H92" s="31"/>
      <c r="I92" s="31"/>
      <c r="J92" s="31"/>
    </row>
    <row r="93" spans="2:10" ht="15" customHeight="1">
      <c r="B93" s="31"/>
      <c r="C93" s="31"/>
      <c r="D93" s="31"/>
      <c r="E93" s="31"/>
      <c r="F93" s="31"/>
      <c r="G93" s="31"/>
      <c r="H93" s="31"/>
      <c r="I93" s="31"/>
      <c r="J93" s="31"/>
    </row>
    <row r="94" spans="2:10" ht="15" customHeight="1">
      <c r="B94" s="31"/>
      <c r="C94" s="31"/>
      <c r="D94" s="31"/>
      <c r="E94" s="31"/>
      <c r="F94" s="31"/>
      <c r="G94" s="31"/>
      <c r="H94" s="31"/>
      <c r="I94" s="31"/>
      <c r="J94" s="31"/>
    </row>
    <row r="95" spans="2:10" ht="15" customHeight="1">
      <c r="B95" s="31"/>
      <c r="C95" s="31"/>
      <c r="D95" s="31"/>
      <c r="E95" s="31"/>
      <c r="F95" s="31"/>
      <c r="G95" s="31"/>
      <c r="H95" s="31"/>
      <c r="I95" s="31"/>
      <c r="J95" s="31"/>
    </row>
    <row r="96" spans="2:10" ht="15" customHeight="1">
      <c r="B96" s="31"/>
      <c r="C96" s="31"/>
      <c r="D96" s="31"/>
      <c r="E96" s="31"/>
      <c r="F96" s="31"/>
      <c r="G96" s="31"/>
      <c r="H96" s="31"/>
      <c r="I96" s="31"/>
      <c r="J96" s="31"/>
    </row>
    <row r="97" spans="2:10" ht="15" customHeight="1">
      <c r="B97" s="31"/>
      <c r="C97" s="31"/>
      <c r="D97" s="31"/>
      <c r="E97" s="31"/>
      <c r="F97" s="31"/>
      <c r="G97" s="31"/>
      <c r="H97" s="31"/>
      <c r="I97" s="31"/>
      <c r="J97" s="31"/>
    </row>
    <row r="98" spans="2:10" ht="15" customHeight="1">
      <c r="B98" s="31"/>
      <c r="C98" s="31"/>
      <c r="D98" s="31"/>
      <c r="E98" s="31"/>
      <c r="F98" s="31"/>
      <c r="G98" s="31"/>
      <c r="H98" s="31"/>
      <c r="I98" s="31"/>
      <c r="J98" s="31"/>
    </row>
    <row r="99" spans="2:10" ht="15" customHeight="1">
      <c r="B99" s="31"/>
      <c r="C99" s="31"/>
      <c r="D99" s="31"/>
      <c r="E99" s="31"/>
      <c r="F99" s="31"/>
      <c r="G99" s="31"/>
      <c r="H99" s="31"/>
      <c r="I99" s="31"/>
      <c r="J99" s="31"/>
    </row>
    <row r="100" spans="2:10" ht="15" customHeight="1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2:10" ht="15" customHeight="1">
      <c r="B101" s="31"/>
      <c r="C101" s="31"/>
      <c r="D101" s="31"/>
      <c r="E101" s="31"/>
      <c r="F101" s="31"/>
      <c r="G101" s="31"/>
      <c r="H101" s="31"/>
      <c r="I101" s="31"/>
      <c r="J101" s="31"/>
    </row>
  </sheetData>
  <mergeCells count="1">
    <mergeCell ref="H1:I1"/>
  </mergeCells>
  <conditionalFormatting sqref="B1">
    <cfRule type="cellIs" dxfId="89" priority="1" operator="equal">
      <formula>"Incomplete"</formula>
    </cfRule>
    <cfRule type="cellIs" dxfId="88" priority="2" operator="equal">
      <formula>"Flag for Review"</formula>
    </cfRule>
    <cfRule type="cellIs" dxfId="8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>
      <c r="A1" s="7">
        <v>2</v>
      </c>
      <c r="B1" s="27" t="s">
        <v>12</v>
      </c>
      <c r="C1" s="20"/>
      <c r="D1" s="20"/>
      <c r="E1" s="20"/>
      <c r="F1" s="20"/>
      <c r="G1" s="20"/>
      <c r="H1" s="854" t="s">
        <v>24</v>
      </c>
      <c r="I1" s="855"/>
      <c r="K1" s="1" t="s">
        <v>33</v>
      </c>
      <c r="L1" s="52" t="str">
        <f>VLOOKUP(A1,'Point Grid'!$L$8:$T$54,9,FALSE)</f>
        <v>General Pricing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1"/>
      <c r="K3" s="48" t="s">
        <v>308</v>
      </c>
      <c r="L3" t="s">
        <v>513</v>
      </c>
      <c r="M3"/>
      <c r="N3"/>
      <c r="O3"/>
      <c r="P3"/>
      <c r="Q3"/>
      <c r="R3"/>
      <c r="S3"/>
      <c r="T3"/>
      <c r="U3"/>
    </row>
    <row r="4" spans="1:21">
      <c r="A4" s="9">
        <f>INDEX('Point Grid'!B:B,MATCH(A1,'Point Grid'!A:A,0))</f>
        <v>1</v>
      </c>
      <c r="B4" s="17" t="s">
        <v>39</v>
      </c>
      <c r="C4" s="17"/>
      <c r="D4" s="17"/>
      <c r="E4" s="17"/>
      <c r="F4" s="17"/>
      <c r="G4" s="17"/>
      <c r="H4" s="17"/>
      <c r="I4" s="18"/>
      <c r="J4" s="31"/>
      <c r="K4" s="48"/>
      <c r="L4"/>
      <c r="M4"/>
      <c r="N4"/>
      <c r="O4"/>
      <c r="P4"/>
      <c r="Q4"/>
      <c r="R4"/>
      <c r="S4"/>
      <c r="T4"/>
      <c r="U4"/>
    </row>
    <row r="5" spans="1:21">
      <c r="A5" s="16"/>
      <c r="B5" s="17"/>
      <c r="C5" s="17"/>
      <c r="D5" s="17"/>
      <c r="E5" s="17"/>
      <c r="F5" s="17"/>
      <c r="G5" s="17"/>
      <c r="H5" s="17"/>
      <c r="I5" s="18"/>
      <c r="J5" s="31"/>
      <c r="K5" s="48"/>
      <c r="L5"/>
      <c r="M5"/>
      <c r="N5"/>
      <c r="O5"/>
      <c r="P5"/>
      <c r="Q5"/>
      <c r="R5"/>
      <c r="S5"/>
      <c r="T5"/>
      <c r="U5"/>
    </row>
    <row r="6" spans="1:21">
      <c r="A6" s="25" t="s">
        <v>2</v>
      </c>
      <c r="B6" s="17" t="s">
        <v>510</v>
      </c>
      <c r="C6" s="17"/>
      <c r="D6" s="17"/>
      <c r="E6" s="17"/>
      <c r="F6" s="17"/>
      <c r="G6" s="17"/>
      <c r="H6" s="17"/>
      <c r="I6" s="18"/>
      <c r="J6" s="31"/>
      <c r="K6" s="48"/>
      <c r="L6" s="1"/>
      <c r="M6"/>
      <c r="N6"/>
      <c r="O6"/>
      <c r="P6"/>
      <c r="Q6"/>
      <c r="R6"/>
      <c r="S6"/>
      <c r="T6"/>
      <c r="U6"/>
    </row>
    <row r="7" spans="1:21" ht="15.75" thickBot="1">
      <c r="A7" s="9">
        <f>INDEX('Point Grid'!$C$8:$I$54,MATCH($A$1,'Point Grid'!$A$8:$A$54,0),MATCH(A6,'Point Grid'!$C$7:$I$7,0))</f>
        <v>1</v>
      </c>
      <c r="B7" s="17"/>
      <c r="C7" s="17"/>
      <c r="D7" s="17"/>
      <c r="E7" s="17"/>
      <c r="F7" s="17"/>
      <c r="G7" s="17"/>
      <c r="H7" s="17"/>
      <c r="I7" s="18"/>
      <c r="J7" s="31"/>
      <c r="K7" s="48"/>
      <c r="L7"/>
      <c r="M7"/>
      <c r="N7"/>
      <c r="O7"/>
      <c r="P7"/>
      <c r="Q7"/>
      <c r="R7"/>
      <c r="S7"/>
      <c r="T7"/>
      <c r="U7"/>
    </row>
    <row r="8" spans="1:21" ht="15.75" thickBot="1">
      <c r="A8" s="5"/>
      <c r="B8" s="35"/>
      <c r="C8" s="28"/>
      <c r="D8" s="28"/>
      <c r="E8" s="28"/>
      <c r="F8" s="28"/>
      <c r="G8" s="28"/>
      <c r="H8" s="28"/>
      <c r="I8" s="18"/>
      <c r="J8" s="31"/>
      <c r="K8"/>
      <c r="L8"/>
      <c r="M8"/>
      <c r="N8"/>
      <c r="O8"/>
      <c r="P8"/>
      <c r="Q8"/>
      <c r="R8"/>
      <c r="S8"/>
      <c r="T8"/>
      <c r="U8"/>
    </row>
    <row r="9" spans="1:21">
      <c r="A9" s="25"/>
      <c r="B9" s="35"/>
      <c r="C9" s="17"/>
      <c r="D9" s="17"/>
      <c r="E9" s="17"/>
      <c r="F9" s="17"/>
      <c r="G9" s="17"/>
      <c r="H9" s="17"/>
      <c r="I9" s="18"/>
      <c r="J9" s="31"/>
      <c r="K9" s="48"/>
      <c r="L9"/>
      <c r="M9"/>
      <c r="N9"/>
      <c r="O9"/>
      <c r="P9"/>
      <c r="Q9"/>
      <c r="R9"/>
      <c r="S9"/>
    </row>
    <row r="10" spans="1:21">
      <c r="A10" s="25"/>
      <c r="B10" s="35"/>
      <c r="C10" s="17"/>
      <c r="D10" s="17"/>
      <c r="E10" s="17"/>
      <c r="F10" s="17"/>
      <c r="G10" s="17"/>
      <c r="H10" s="17"/>
      <c r="I10" s="18"/>
      <c r="J10" s="31"/>
      <c r="K10"/>
      <c r="L10" s="1"/>
      <c r="M10"/>
      <c r="N10"/>
      <c r="O10"/>
      <c r="P10"/>
      <c r="Q10"/>
      <c r="R10"/>
      <c r="S10"/>
      <c r="T10"/>
      <c r="U10"/>
    </row>
    <row r="11" spans="1:21">
      <c r="A11" s="25"/>
      <c r="B11" s="34" t="s">
        <v>41</v>
      </c>
      <c r="C11" s="17" t="s">
        <v>511</v>
      </c>
      <c r="D11" s="17"/>
      <c r="E11" s="17"/>
      <c r="F11" s="17"/>
      <c r="G11" s="17"/>
      <c r="H11" s="17"/>
      <c r="I11" s="18"/>
      <c r="J11" s="31"/>
      <c r="K11"/>
      <c r="L11"/>
      <c r="M11"/>
      <c r="N11"/>
      <c r="O11"/>
      <c r="P11"/>
      <c r="Q11"/>
      <c r="R11"/>
      <c r="S11"/>
      <c r="T11"/>
      <c r="U11"/>
    </row>
    <row r="12" spans="1:21">
      <c r="A12" s="25"/>
      <c r="B12" s="34"/>
      <c r="C12" s="17"/>
      <c r="D12" s="17"/>
      <c r="E12" s="17"/>
      <c r="F12" s="17"/>
      <c r="G12" s="17"/>
      <c r="H12" s="17"/>
      <c r="I12" s="18"/>
      <c r="J12" s="31"/>
      <c r="K12"/>
      <c r="L12"/>
      <c r="M12"/>
      <c r="N12"/>
      <c r="O12"/>
      <c r="P12"/>
      <c r="Q12"/>
      <c r="R12"/>
      <c r="S12"/>
      <c r="T12"/>
      <c r="U12"/>
    </row>
    <row r="13" spans="1:21">
      <c r="A13" s="25"/>
      <c r="B13" s="34"/>
      <c r="C13" s="17"/>
      <c r="D13" s="17"/>
      <c r="E13" s="17"/>
      <c r="F13" s="17"/>
      <c r="G13" s="17"/>
      <c r="H13" s="17"/>
      <c r="I13" s="18"/>
      <c r="J13" s="31"/>
      <c r="K13" s="48"/>
      <c r="L13"/>
      <c r="M13"/>
      <c r="N13"/>
      <c r="O13"/>
      <c r="P13"/>
      <c r="Q13"/>
      <c r="R13"/>
      <c r="S13"/>
      <c r="T13"/>
      <c r="U13"/>
    </row>
    <row r="14" spans="1:21">
      <c r="A14" s="25"/>
      <c r="B14" s="34" t="s">
        <v>40</v>
      </c>
      <c r="C14" s="17" t="s">
        <v>512</v>
      </c>
      <c r="D14" s="17"/>
      <c r="E14" s="17"/>
      <c r="F14" s="17"/>
      <c r="G14" s="17"/>
      <c r="H14" s="17"/>
      <c r="I14" s="18"/>
      <c r="J14" s="31"/>
      <c r="K14"/>
      <c r="L14"/>
      <c r="M14"/>
      <c r="N14"/>
      <c r="O14"/>
      <c r="P14"/>
      <c r="Q14"/>
      <c r="R14"/>
      <c r="S14"/>
      <c r="T14"/>
      <c r="U14"/>
    </row>
    <row r="15" spans="1:21">
      <c r="A15" s="25"/>
      <c r="B15" s="34"/>
      <c r="C15" s="17"/>
      <c r="D15" s="17"/>
      <c r="E15" s="17"/>
      <c r="F15" s="17"/>
      <c r="G15" s="17"/>
      <c r="H15" s="17"/>
      <c r="I15" s="18"/>
      <c r="J15" s="31"/>
      <c r="K15"/>
      <c r="L15"/>
      <c r="M15"/>
      <c r="N15"/>
      <c r="O15"/>
      <c r="P15"/>
      <c r="Q15"/>
      <c r="R15"/>
      <c r="S15"/>
      <c r="T15"/>
      <c r="U15"/>
    </row>
    <row r="16" spans="1:21">
      <c r="A16" s="25"/>
      <c r="B16" s="34"/>
      <c r="C16" s="17"/>
      <c r="D16" s="17"/>
      <c r="E16" s="17"/>
      <c r="F16" s="17"/>
      <c r="G16" s="17"/>
      <c r="H16" s="17"/>
      <c r="I16" s="18"/>
      <c r="J16" s="31"/>
      <c r="K16" s="48"/>
      <c r="L16" s="1"/>
      <c r="M16"/>
      <c r="N16"/>
      <c r="O16"/>
      <c r="P16"/>
      <c r="Q16"/>
      <c r="R16"/>
      <c r="S16"/>
      <c r="T16"/>
      <c r="U16"/>
    </row>
    <row r="17" spans="1:21">
      <c r="A17" s="25"/>
      <c r="B17" s="34" t="s">
        <v>42</v>
      </c>
      <c r="C17" s="17" t="s">
        <v>513</v>
      </c>
      <c r="D17" s="17"/>
      <c r="E17" s="17"/>
      <c r="F17" s="17"/>
      <c r="G17" s="17"/>
      <c r="H17" s="17"/>
      <c r="I17" s="18"/>
      <c r="J17" s="31"/>
      <c r="K17"/>
      <c r="L17"/>
      <c r="M17"/>
      <c r="N17"/>
      <c r="O17"/>
      <c r="P17"/>
      <c r="Q17"/>
      <c r="R17"/>
      <c r="S17"/>
      <c r="T17"/>
      <c r="U17"/>
    </row>
    <row r="18" spans="1:21" ht="15" customHeight="1">
      <c r="A18" s="25"/>
      <c r="B18" s="34"/>
      <c r="C18" s="17"/>
      <c r="D18" s="17"/>
      <c r="E18" s="17"/>
      <c r="F18" s="17"/>
      <c r="G18" s="17"/>
      <c r="H18" s="17"/>
      <c r="I18" s="18"/>
      <c r="J18" s="31"/>
      <c r="K18"/>
      <c r="L18"/>
      <c r="M18"/>
      <c r="N18"/>
      <c r="O18"/>
      <c r="P18"/>
      <c r="Q18"/>
      <c r="R18"/>
      <c r="S18"/>
      <c r="T18"/>
      <c r="U18"/>
    </row>
    <row r="19" spans="1:21" ht="15" customHeight="1">
      <c r="A19" s="25"/>
      <c r="B19" s="34"/>
      <c r="C19" s="17"/>
      <c r="D19" s="17"/>
      <c r="E19" s="17"/>
      <c r="F19" s="17"/>
      <c r="G19" s="17"/>
      <c r="H19" s="17"/>
      <c r="I19" s="18"/>
      <c r="J19" s="31"/>
      <c r="K19"/>
      <c r="L19"/>
      <c r="M19"/>
      <c r="N19"/>
      <c r="O19"/>
      <c r="P19"/>
      <c r="Q19"/>
      <c r="R19"/>
      <c r="S19"/>
      <c r="T19"/>
      <c r="U19"/>
    </row>
    <row r="20" spans="1:21" ht="15" customHeight="1">
      <c r="A20" s="25"/>
      <c r="B20" s="34" t="s">
        <v>43</v>
      </c>
      <c r="C20" s="17" t="s">
        <v>514</v>
      </c>
      <c r="D20" s="17"/>
      <c r="E20" s="17"/>
      <c r="F20" s="17"/>
      <c r="G20" s="17"/>
      <c r="H20" s="17"/>
      <c r="I20" s="18"/>
      <c r="J20" s="31"/>
      <c r="K20"/>
      <c r="L20"/>
      <c r="M20"/>
      <c r="N20"/>
      <c r="O20"/>
      <c r="P20"/>
      <c r="Q20"/>
      <c r="R20"/>
      <c r="S20"/>
      <c r="T20"/>
      <c r="U20"/>
    </row>
    <row r="21" spans="1:21" ht="15" customHeight="1">
      <c r="A21" s="25"/>
      <c r="B21" s="34"/>
      <c r="C21" s="17"/>
      <c r="D21" s="17"/>
      <c r="E21" s="17"/>
      <c r="F21" s="17"/>
      <c r="G21" s="17"/>
      <c r="H21" s="17"/>
      <c r="I21" s="18"/>
      <c r="J21" s="31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25"/>
      <c r="B22" s="34"/>
      <c r="C22" s="17"/>
      <c r="D22" s="17"/>
      <c r="E22" s="17"/>
      <c r="F22" s="17"/>
      <c r="G22" s="17"/>
      <c r="H22" s="17"/>
      <c r="I22" s="18"/>
      <c r="J22" s="31"/>
      <c r="K22"/>
      <c r="L22"/>
      <c r="M22"/>
      <c r="N22"/>
      <c r="O22"/>
      <c r="P22"/>
      <c r="Q22"/>
      <c r="R22"/>
      <c r="S22"/>
      <c r="T22"/>
      <c r="U22"/>
    </row>
    <row r="23" spans="1:21" ht="15" customHeight="1">
      <c r="A23" s="25"/>
      <c r="B23" s="34"/>
      <c r="C23" s="17"/>
      <c r="D23" s="17"/>
      <c r="E23" s="17"/>
      <c r="F23" s="17"/>
      <c r="G23" s="17"/>
      <c r="H23" s="17"/>
      <c r="I23" s="18"/>
      <c r="J23" s="31"/>
      <c r="K23"/>
      <c r="L23"/>
      <c r="M23"/>
      <c r="N23"/>
      <c r="O23"/>
      <c r="P23"/>
      <c r="Q23"/>
      <c r="R23"/>
      <c r="S23"/>
      <c r="T23"/>
      <c r="U23"/>
    </row>
    <row r="24" spans="1:21" ht="15" customHeight="1">
      <c r="A24" s="25"/>
      <c r="B24" s="34"/>
      <c r="C24" s="17"/>
      <c r="D24" s="17"/>
      <c r="E24" s="17"/>
      <c r="F24" s="17"/>
      <c r="G24" s="17"/>
      <c r="H24" s="17"/>
      <c r="I24" s="18"/>
      <c r="J24" s="31"/>
      <c r="K24"/>
      <c r="L24"/>
      <c r="M24"/>
      <c r="N24"/>
      <c r="O24"/>
      <c r="P24"/>
      <c r="Q24"/>
      <c r="R24"/>
      <c r="S24"/>
      <c r="T24"/>
      <c r="U24"/>
    </row>
    <row r="25" spans="1:21" ht="15" customHeight="1">
      <c r="A25" s="25"/>
      <c r="B25" s="34"/>
      <c r="C25" s="17"/>
      <c r="D25" s="17"/>
      <c r="E25" s="17"/>
      <c r="F25" s="17"/>
      <c r="G25" s="17"/>
      <c r="H25" s="17"/>
      <c r="I25" s="18"/>
      <c r="J25" s="31"/>
      <c r="K25"/>
      <c r="L25"/>
      <c r="M25"/>
      <c r="N25"/>
      <c r="O25"/>
      <c r="P25"/>
      <c r="Q25"/>
      <c r="R25"/>
      <c r="S25"/>
      <c r="T25"/>
      <c r="U25"/>
    </row>
    <row r="26" spans="1:21" ht="15" customHeight="1">
      <c r="A26" s="25"/>
      <c r="B26" s="34"/>
      <c r="C26" s="17"/>
      <c r="D26" s="17"/>
      <c r="E26" s="17"/>
      <c r="F26" s="17"/>
      <c r="G26" s="17"/>
      <c r="H26" s="17"/>
      <c r="I26" s="18"/>
      <c r="J26" s="31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25"/>
      <c r="B27" s="17"/>
      <c r="C27" s="17"/>
      <c r="D27" s="17"/>
      <c r="E27" s="17"/>
      <c r="F27" s="17"/>
      <c r="G27" s="17"/>
      <c r="H27" s="17"/>
      <c r="I27" s="18"/>
      <c r="J27" s="31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25"/>
      <c r="B28" s="17"/>
      <c r="C28" s="17"/>
      <c r="D28" s="17"/>
      <c r="E28" s="17"/>
      <c r="F28" s="17"/>
      <c r="G28" s="17"/>
      <c r="H28" s="17"/>
      <c r="I28" s="18"/>
      <c r="J28" s="31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22"/>
      <c r="B29" s="17"/>
      <c r="C29" s="17"/>
      <c r="D29" s="17"/>
      <c r="E29" s="17"/>
      <c r="F29" s="17"/>
      <c r="G29" s="17"/>
      <c r="H29" s="17"/>
      <c r="I29" s="18"/>
      <c r="J29" s="31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>
      <c r="A30" s="24"/>
      <c r="B30" s="32"/>
      <c r="C30" s="32"/>
      <c r="D30" s="32"/>
      <c r="E30" s="32"/>
      <c r="F30" s="32"/>
      <c r="G30" s="32"/>
      <c r="H30" s="32"/>
      <c r="I30" s="33"/>
      <c r="J30" s="31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B31" s="31"/>
      <c r="C31" s="31"/>
      <c r="D31" s="31"/>
      <c r="E31" s="31"/>
      <c r="F31" s="31"/>
      <c r="G31" s="31"/>
      <c r="H31" s="31"/>
      <c r="I31" s="31"/>
      <c r="J31" s="31"/>
      <c r="K31"/>
      <c r="L31"/>
      <c r="M31"/>
      <c r="N31"/>
      <c r="O31"/>
      <c r="P31"/>
      <c r="Q31"/>
      <c r="R31"/>
      <c r="S31"/>
      <c r="T31"/>
      <c r="U31"/>
    </row>
    <row r="32" spans="1:21" ht="15" customHeight="1">
      <c r="J32" s="31"/>
      <c r="K32"/>
      <c r="L32"/>
      <c r="M32"/>
      <c r="N32"/>
      <c r="O32"/>
      <c r="P32"/>
      <c r="Q32"/>
      <c r="R32"/>
      <c r="S32"/>
      <c r="T32"/>
      <c r="U32"/>
    </row>
    <row r="33" spans="2:21" ht="15" customHeight="1">
      <c r="J33" s="31"/>
      <c r="K33" s="48"/>
      <c r="L33" s="1"/>
      <c r="M33"/>
      <c r="N33"/>
      <c r="O33"/>
      <c r="P33"/>
      <c r="Q33"/>
      <c r="R33"/>
      <c r="S33"/>
      <c r="T33"/>
      <c r="U33"/>
    </row>
    <row r="34" spans="2:21" ht="15" customHeight="1">
      <c r="J34" s="31"/>
      <c r="K34"/>
      <c r="L34"/>
      <c r="M34"/>
      <c r="N34"/>
      <c r="O34"/>
      <c r="P34"/>
      <c r="Q34"/>
      <c r="R34"/>
      <c r="S34"/>
      <c r="T34"/>
      <c r="U34"/>
    </row>
    <row r="35" spans="2:21" ht="15" customHeight="1">
      <c r="J35" s="31"/>
      <c r="K35" s="48"/>
      <c r="L35"/>
      <c r="M35"/>
      <c r="N35"/>
      <c r="O35"/>
      <c r="P35"/>
      <c r="Q35"/>
      <c r="R35"/>
      <c r="S35"/>
      <c r="T35"/>
      <c r="U35"/>
    </row>
    <row r="36" spans="2:21" ht="15" customHeight="1">
      <c r="J36" s="31"/>
      <c r="K36"/>
      <c r="L36"/>
      <c r="M36"/>
      <c r="N36"/>
      <c r="O36"/>
      <c r="P36"/>
      <c r="Q36"/>
      <c r="R36"/>
      <c r="S36"/>
      <c r="T36"/>
      <c r="U36"/>
    </row>
    <row r="37" spans="2:21" ht="15" customHeight="1">
      <c r="J37" s="31"/>
      <c r="K37"/>
      <c r="L37"/>
      <c r="M37"/>
      <c r="N37"/>
      <c r="O37"/>
      <c r="P37"/>
      <c r="Q37"/>
      <c r="R37"/>
      <c r="S37"/>
      <c r="T37"/>
      <c r="U37"/>
    </row>
    <row r="38" spans="2:21" ht="15" customHeight="1">
      <c r="J38" s="31"/>
      <c r="K38"/>
      <c r="L38"/>
      <c r="M38"/>
      <c r="N38"/>
      <c r="O38"/>
      <c r="P38"/>
      <c r="Q38"/>
      <c r="R38"/>
      <c r="S38"/>
      <c r="T38"/>
      <c r="U38"/>
    </row>
    <row r="39" spans="2:21" ht="15" customHeight="1">
      <c r="J39" s="31"/>
      <c r="K39"/>
      <c r="L39"/>
      <c r="M39"/>
      <c r="N39"/>
      <c r="O39"/>
      <c r="P39"/>
      <c r="Q39"/>
      <c r="R39"/>
      <c r="S39"/>
      <c r="T39"/>
      <c r="U39"/>
    </row>
    <row r="40" spans="2:21" ht="15" customHeight="1">
      <c r="J40" s="31"/>
      <c r="K40"/>
      <c r="L40"/>
      <c r="M40"/>
      <c r="N40"/>
      <c r="O40"/>
      <c r="P40"/>
      <c r="Q40"/>
      <c r="R40"/>
      <c r="S40"/>
      <c r="T40"/>
      <c r="U40"/>
    </row>
    <row r="41" spans="2:21" ht="15" customHeight="1">
      <c r="J41" s="31"/>
      <c r="K41"/>
      <c r="L41"/>
      <c r="M41"/>
      <c r="N41"/>
      <c r="O41"/>
      <c r="P41"/>
      <c r="Q41"/>
      <c r="R41"/>
      <c r="S41"/>
      <c r="T41"/>
      <c r="U41"/>
    </row>
    <row r="42" spans="2:21" ht="15" customHeight="1">
      <c r="J42" s="31"/>
      <c r="K42"/>
      <c r="L42"/>
      <c r="M42"/>
      <c r="N42"/>
      <c r="O42"/>
      <c r="P42"/>
      <c r="Q42"/>
      <c r="R42"/>
      <c r="S42"/>
      <c r="T42"/>
      <c r="U42"/>
    </row>
    <row r="43" spans="2:21" ht="15" customHeight="1">
      <c r="J43" s="31"/>
      <c r="K43"/>
      <c r="L43"/>
      <c r="M43"/>
      <c r="N43"/>
      <c r="O43"/>
      <c r="P43"/>
      <c r="Q43"/>
      <c r="R43"/>
      <c r="S43"/>
      <c r="T43"/>
      <c r="U43"/>
    </row>
    <row r="44" spans="2:21" ht="15" customHeight="1">
      <c r="J44" s="31"/>
      <c r="K44"/>
      <c r="L44"/>
      <c r="M44"/>
      <c r="N44"/>
      <c r="O44"/>
      <c r="P44"/>
      <c r="Q44"/>
      <c r="R44"/>
      <c r="S44"/>
      <c r="T44"/>
      <c r="U44"/>
    </row>
    <row r="45" spans="2:21" ht="15" customHeight="1">
      <c r="J45" s="31"/>
      <c r="K45"/>
      <c r="L45"/>
      <c r="M45"/>
      <c r="N45"/>
      <c r="O45"/>
      <c r="P45"/>
      <c r="Q45"/>
      <c r="R45"/>
      <c r="S45"/>
      <c r="T45"/>
      <c r="U45"/>
    </row>
    <row r="46" spans="2:21" ht="15" customHeight="1">
      <c r="B46" s="31"/>
      <c r="C46" s="31"/>
      <c r="D46" s="31"/>
      <c r="E46" s="31"/>
      <c r="F46" s="31"/>
      <c r="G46" s="31"/>
      <c r="H46" s="31"/>
      <c r="I46" s="31"/>
      <c r="J46" s="31"/>
      <c r="K46"/>
      <c r="L46"/>
      <c r="M46"/>
      <c r="N46"/>
      <c r="O46"/>
      <c r="P46"/>
      <c r="Q46"/>
      <c r="R46"/>
      <c r="S46"/>
      <c r="T46"/>
      <c r="U46"/>
    </row>
    <row r="47" spans="2:21" ht="15" customHeight="1">
      <c r="B47" s="31"/>
      <c r="C47" s="31"/>
      <c r="D47" s="31"/>
      <c r="E47" s="31"/>
      <c r="F47" s="31"/>
      <c r="G47" s="31"/>
      <c r="H47" s="31"/>
      <c r="I47" s="31"/>
      <c r="J47" s="31"/>
      <c r="K47"/>
      <c r="L47"/>
      <c r="M47"/>
      <c r="N47"/>
      <c r="O47"/>
      <c r="P47"/>
      <c r="Q47"/>
      <c r="R47"/>
      <c r="S47"/>
      <c r="T47"/>
      <c r="U47"/>
    </row>
    <row r="48" spans="2:21" ht="15" customHeight="1">
      <c r="B48" s="31"/>
      <c r="C48" s="31"/>
      <c r="D48" s="31"/>
      <c r="E48" s="31"/>
      <c r="F48" s="31"/>
      <c r="G48" s="31"/>
      <c r="H48" s="31"/>
      <c r="I48" s="31"/>
      <c r="J48" s="31"/>
      <c r="K48"/>
      <c r="L48"/>
      <c r="M48"/>
      <c r="N48"/>
      <c r="O48"/>
      <c r="P48"/>
      <c r="Q48"/>
      <c r="R48"/>
      <c r="S48"/>
      <c r="T48"/>
      <c r="U48"/>
    </row>
    <row r="49" spans="2:21" ht="15" customHeight="1">
      <c r="B49" s="31"/>
      <c r="C49" s="31"/>
      <c r="D49" s="31"/>
      <c r="E49" s="31"/>
      <c r="F49" s="31"/>
      <c r="G49" s="31"/>
      <c r="H49" s="31"/>
      <c r="I49" s="31"/>
      <c r="J49" s="31"/>
      <c r="K49"/>
      <c r="L49"/>
      <c r="M49"/>
      <c r="N49"/>
      <c r="O49"/>
      <c r="P49"/>
      <c r="Q49"/>
      <c r="R49"/>
      <c r="S49"/>
      <c r="T49"/>
      <c r="U49"/>
    </row>
    <row r="50" spans="2:21" ht="15" customHeight="1">
      <c r="B50" s="31"/>
      <c r="C50" s="31"/>
      <c r="D50" s="31"/>
      <c r="E50" s="31"/>
      <c r="F50" s="31"/>
      <c r="G50" s="31"/>
      <c r="H50" s="31"/>
      <c r="I50" s="31"/>
      <c r="J50" s="31"/>
      <c r="K50"/>
      <c r="L50"/>
      <c r="M50"/>
      <c r="N50"/>
      <c r="O50"/>
      <c r="P50"/>
      <c r="Q50"/>
      <c r="R50"/>
      <c r="S50"/>
      <c r="T50"/>
      <c r="U50"/>
    </row>
    <row r="51" spans="2:21" ht="15" customHeight="1">
      <c r="B51" s="31"/>
      <c r="C51" s="31"/>
      <c r="D51" s="31"/>
      <c r="E51" s="31"/>
      <c r="F51" s="31"/>
      <c r="G51" s="31"/>
      <c r="H51" s="31"/>
      <c r="I51" s="31"/>
      <c r="J51" s="31"/>
    </row>
    <row r="52" spans="2:21" ht="15" customHeight="1">
      <c r="B52" s="31"/>
      <c r="C52" s="31"/>
      <c r="D52" s="31"/>
      <c r="E52" s="31"/>
      <c r="F52" s="31"/>
      <c r="G52" s="31"/>
      <c r="H52" s="31"/>
      <c r="I52" s="31"/>
      <c r="J52" s="31"/>
    </row>
    <row r="53" spans="2:21" ht="15" customHeight="1">
      <c r="B53" s="31"/>
      <c r="C53" s="31"/>
      <c r="D53" s="31"/>
      <c r="E53" s="31"/>
      <c r="F53" s="31"/>
      <c r="G53" s="31"/>
      <c r="H53" s="31"/>
      <c r="I53" s="31"/>
      <c r="J53" s="31"/>
    </row>
    <row r="54" spans="2:21" ht="15" customHeight="1">
      <c r="B54" s="31"/>
      <c r="C54" s="31"/>
      <c r="D54" s="31"/>
      <c r="E54" s="31"/>
      <c r="F54" s="31"/>
      <c r="G54" s="31"/>
      <c r="H54" s="31"/>
      <c r="I54" s="31"/>
      <c r="J54" s="31"/>
    </row>
    <row r="55" spans="2:21" ht="15" customHeight="1">
      <c r="B55" s="31"/>
      <c r="C55" s="31"/>
      <c r="D55" s="31"/>
      <c r="E55" s="31"/>
      <c r="F55" s="31"/>
      <c r="G55" s="31"/>
      <c r="H55" s="31"/>
      <c r="I55" s="31"/>
      <c r="J55" s="31"/>
    </row>
    <row r="56" spans="2:21" ht="15" customHeight="1">
      <c r="B56" s="31"/>
      <c r="C56" s="31"/>
      <c r="D56" s="31"/>
      <c r="E56" s="31"/>
      <c r="F56" s="31"/>
      <c r="G56" s="31"/>
      <c r="H56" s="31"/>
      <c r="I56" s="31"/>
      <c r="J56" s="31"/>
    </row>
    <row r="57" spans="2:21" ht="15" customHeight="1">
      <c r="B57" s="31"/>
      <c r="C57" s="31"/>
      <c r="D57" s="31"/>
      <c r="E57" s="31"/>
      <c r="F57" s="31"/>
      <c r="G57" s="31"/>
      <c r="H57" s="31"/>
      <c r="I57" s="31"/>
      <c r="J57" s="31"/>
    </row>
    <row r="58" spans="2:21" ht="15" customHeight="1">
      <c r="B58" s="31"/>
      <c r="C58" s="31"/>
      <c r="D58" s="31"/>
      <c r="E58" s="31"/>
      <c r="F58" s="31"/>
      <c r="G58" s="31"/>
      <c r="H58" s="31"/>
      <c r="I58" s="31"/>
      <c r="J58" s="31"/>
    </row>
    <row r="59" spans="2:21" ht="15" customHeight="1">
      <c r="B59" s="31"/>
      <c r="C59" s="31"/>
      <c r="D59" s="31"/>
      <c r="E59" s="31"/>
      <c r="F59" s="31"/>
      <c r="G59" s="31"/>
      <c r="H59" s="31"/>
      <c r="I59" s="31"/>
      <c r="J59" s="31"/>
    </row>
    <row r="60" spans="2:21" ht="15" customHeight="1">
      <c r="B60" s="31"/>
      <c r="C60" s="31"/>
      <c r="D60" s="31"/>
      <c r="E60" s="31"/>
      <c r="F60" s="31"/>
      <c r="G60" s="31"/>
      <c r="H60" s="31"/>
      <c r="I60" s="31"/>
      <c r="J60" s="31"/>
    </row>
    <row r="61" spans="2:21" ht="15" customHeight="1">
      <c r="B61" s="31"/>
      <c r="C61" s="31"/>
      <c r="D61" s="31"/>
      <c r="E61" s="31"/>
      <c r="F61" s="31"/>
      <c r="G61" s="31"/>
      <c r="H61" s="31"/>
      <c r="I61" s="31"/>
      <c r="J61" s="31"/>
    </row>
    <row r="62" spans="2:21" ht="15" customHeight="1">
      <c r="B62" s="31"/>
      <c r="C62" s="31"/>
      <c r="D62" s="31"/>
      <c r="E62" s="31"/>
      <c r="F62" s="31"/>
      <c r="G62" s="31"/>
      <c r="H62" s="31"/>
      <c r="I62" s="31"/>
      <c r="J62" s="31"/>
    </row>
    <row r="63" spans="2:21" ht="15" customHeight="1">
      <c r="B63" s="31"/>
      <c r="C63" s="31"/>
      <c r="D63" s="31"/>
      <c r="E63" s="31"/>
      <c r="F63" s="31"/>
      <c r="G63" s="31"/>
      <c r="H63" s="31"/>
      <c r="I63" s="31"/>
      <c r="J63" s="31"/>
    </row>
    <row r="64" spans="2:21" ht="15" customHeight="1">
      <c r="B64" s="31"/>
      <c r="C64" s="31"/>
      <c r="D64" s="31"/>
      <c r="E64" s="31"/>
      <c r="F64" s="31"/>
      <c r="G64" s="31"/>
      <c r="H64" s="31"/>
      <c r="I64" s="31"/>
      <c r="J64" s="31"/>
    </row>
    <row r="65" spans="2:10" ht="15" customHeight="1">
      <c r="B65" s="31"/>
      <c r="C65" s="31"/>
      <c r="D65" s="31"/>
      <c r="E65" s="31"/>
      <c r="F65" s="31"/>
      <c r="G65" s="31"/>
      <c r="H65" s="31"/>
      <c r="I65" s="31"/>
      <c r="J65" s="31"/>
    </row>
    <row r="66" spans="2:10" ht="15" customHeight="1">
      <c r="B66" s="31"/>
      <c r="C66" s="31"/>
      <c r="D66" s="31"/>
      <c r="E66" s="31"/>
      <c r="F66" s="31"/>
      <c r="G66" s="31"/>
      <c r="H66" s="31"/>
      <c r="I66" s="31"/>
      <c r="J66" s="31"/>
    </row>
    <row r="67" spans="2:10" ht="15" customHeight="1">
      <c r="B67" s="31"/>
      <c r="C67" s="31"/>
      <c r="D67" s="31"/>
      <c r="E67" s="31"/>
      <c r="F67" s="31"/>
      <c r="G67" s="31"/>
      <c r="H67" s="31"/>
      <c r="I67" s="31"/>
      <c r="J67" s="31"/>
    </row>
    <row r="68" spans="2:10" ht="15" customHeight="1">
      <c r="B68" s="31"/>
      <c r="C68" s="31"/>
      <c r="D68" s="31"/>
      <c r="E68" s="31"/>
      <c r="F68" s="31"/>
      <c r="G68" s="31"/>
      <c r="H68" s="31"/>
      <c r="I68" s="31"/>
      <c r="J68" s="31"/>
    </row>
    <row r="69" spans="2:10" ht="15" customHeight="1">
      <c r="B69" s="31"/>
      <c r="C69" s="31"/>
      <c r="D69" s="31"/>
      <c r="E69" s="31"/>
      <c r="F69" s="31"/>
      <c r="G69" s="31"/>
      <c r="H69" s="31"/>
      <c r="I69" s="31"/>
      <c r="J69" s="31"/>
    </row>
    <row r="70" spans="2:10" ht="15" customHeight="1">
      <c r="B70" s="31"/>
      <c r="C70" s="31"/>
      <c r="D70" s="31"/>
      <c r="E70" s="31"/>
      <c r="F70" s="31"/>
      <c r="G70" s="31"/>
      <c r="H70" s="31"/>
      <c r="I70" s="31"/>
      <c r="J70" s="31"/>
    </row>
    <row r="71" spans="2:10" ht="15" customHeight="1">
      <c r="B71" s="31"/>
      <c r="C71" s="31"/>
      <c r="D71" s="31"/>
      <c r="E71" s="31"/>
      <c r="F71" s="31"/>
      <c r="G71" s="31"/>
      <c r="H71" s="31"/>
      <c r="I71" s="31"/>
      <c r="J71" s="31"/>
    </row>
    <row r="72" spans="2:10" ht="15" customHeight="1">
      <c r="B72" s="31"/>
      <c r="C72" s="31"/>
      <c r="D72" s="31"/>
      <c r="E72" s="31"/>
      <c r="F72" s="31"/>
      <c r="G72" s="31"/>
      <c r="H72" s="31"/>
      <c r="I72" s="31"/>
      <c r="J72" s="31"/>
    </row>
    <row r="73" spans="2:10" ht="15" customHeight="1">
      <c r="B73" s="31"/>
      <c r="C73" s="31"/>
      <c r="D73" s="31"/>
      <c r="E73" s="31"/>
      <c r="F73" s="31"/>
      <c r="G73" s="31"/>
      <c r="H73" s="31"/>
      <c r="I73" s="31"/>
      <c r="J73" s="31"/>
    </row>
    <row r="74" spans="2:10" ht="15" customHeight="1">
      <c r="B74" s="31"/>
      <c r="C74" s="31"/>
      <c r="D74" s="31"/>
      <c r="E74" s="31"/>
      <c r="F74" s="31"/>
      <c r="G74" s="31"/>
      <c r="H74" s="31"/>
      <c r="I74" s="31"/>
      <c r="J74" s="31"/>
    </row>
    <row r="75" spans="2:10" ht="15" customHeight="1">
      <c r="B75" s="31"/>
      <c r="C75" s="31"/>
      <c r="D75" s="31"/>
      <c r="E75" s="31"/>
      <c r="F75" s="31"/>
      <c r="G75" s="31"/>
      <c r="H75" s="31"/>
      <c r="I75" s="31"/>
      <c r="J75" s="31"/>
    </row>
    <row r="76" spans="2:10" ht="15" customHeight="1">
      <c r="B76" s="31"/>
      <c r="C76" s="31"/>
      <c r="D76" s="31"/>
      <c r="E76" s="31"/>
      <c r="F76" s="31"/>
      <c r="G76" s="31"/>
      <c r="H76" s="31"/>
      <c r="I76" s="31"/>
      <c r="J76" s="31"/>
    </row>
    <row r="77" spans="2:10" ht="15" customHeight="1">
      <c r="B77" s="31"/>
      <c r="C77" s="31"/>
      <c r="D77" s="31"/>
      <c r="E77" s="31"/>
      <c r="F77" s="31"/>
      <c r="G77" s="31"/>
      <c r="H77" s="31"/>
      <c r="I77" s="31"/>
      <c r="J77" s="31"/>
    </row>
    <row r="78" spans="2:10" ht="15" customHeight="1">
      <c r="B78" s="31"/>
      <c r="C78" s="31"/>
      <c r="D78" s="31"/>
      <c r="E78" s="31"/>
      <c r="F78" s="31"/>
      <c r="G78" s="31"/>
      <c r="H78" s="31"/>
      <c r="I78" s="31"/>
      <c r="J78" s="31"/>
    </row>
    <row r="79" spans="2:10" ht="15" customHeight="1">
      <c r="B79" s="31"/>
      <c r="C79" s="31"/>
      <c r="D79" s="31"/>
      <c r="E79" s="31"/>
      <c r="F79" s="31"/>
      <c r="G79" s="31"/>
      <c r="H79" s="31"/>
      <c r="I79" s="31"/>
      <c r="J79" s="31"/>
    </row>
    <row r="80" spans="2:10" ht="15" customHeight="1">
      <c r="B80" s="31"/>
      <c r="C80" s="31"/>
      <c r="D80" s="31"/>
      <c r="E80" s="31"/>
      <c r="F80" s="31"/>
      <c r="G80" s="31"/>
      <c r="H80" s="31"/>
      <c r="I80" s="31"/>
      <c r="J80" s="31"/>
    </row>
    <row r="81" spans="2:10" ht="15" customHeight="1">
      <c r="B81" s="31"/>
      <c r="C81" s="31"/>
      <c r="D81" s="31"/>
      <c r="E81" s="31"/>
      <c r="F81" s="31"/>
      <c r="G81" s="31"/>
      <c r="H81" s="31"/>
      <c r="I81" s="31"/>
      <c r="J81" s="31"/>
    </row>
    <row r="82" spans="2:10" ht="15" customHeight="1">
      <c r="B82" s="31"/>
      <c r="C82" s="31"/>
      <c r="D82" s="31"/>
      <c r="E82" s="31"/>
      <c r="F82" s="31"/>
      <c r="G82" s="31"/>
      <c r="H82" s="31"/>
      <c r="I82" s="31"/>
      <c r="J82" s="31"/>
    </row>
    <row r="83" spans="2:10" ht="15" customHeight="1">
      <c r="B83" s="31"/>
      <c r="C83" s="31"/>
      <c r="D83" s="31"/>
      <c r="E83" s="31"/>
      <c r="F83" s="31"/>
      <c r="G83" s="31"/>
      <c r="H83" s="31"/>
      <c r="I83" s="31"/>
      <c r="J83" s="31"/>
    </row>
    <row r="84" spans="2:10" ht="15" customHeight="1">
      <c r="B84" s="31"/>
      <c r="C84" s="31"/>
      <c r="D84" s="31"/>
      <c r="E84" s="31"/>
      <c r="F84" s="31"/>
      <c r="G84" s="31"/>
      <c r="H84" s="31"/>
      <c r="I84" s="31"/>
      <c r="J84" s="31"/>
    </row>
    <row r="85" spans="2:10" ht="15" customHeight="1">
      <c r="B85" s="31"/>
      <c r="C85" s="31"/>
      <c r="D85" s="31"/>
      <c r="E85" s="31"/>
      <c r="F85" s="31"/>
      <c r="G85" s="31"/>
      <c r="H85" s="31"/>
      <c r="I85" s="31"/>
      <c r="J85" s="31"/>
    </row>
    <row r="86" spans="2:10" ht="15" customHeight="1">
      <c r="B86" s="31"/>
      <c r="C86" s="31"/>
      <c r="D86" s="31"/>
      <c r="E86" s="31"/>
      <c r="F86" s="31"/>
      <c r="G86" s="31"/>
      <c r="H86" s="31"/>
      <c r="I86" s="31"/>
      <c r="J86" s="31"/>
    </row>
    <row r="87" spans="2:10" ht="15" customHeight="1">
      <c r="B87" s="31"/>
      <c r="C87" s="31"/>
      <c r="D87" s="31"/>
      <c r="E87" s="31"/>
      <c r="F87" s="31"/>
      <c r="G87" s="31"/>
      <c r="H87" s="31"/>
      <c r="I87" s="31"/>
      <c r="J87" s="31"/>
    </row>
    <row r="88" spans="2:10" ht="15" customHeight="1">
      <c r="B88" s="31"/>
      <c r="C88" s="31"/>
      <c r="D88" s="31"/>
      <c r="E88" s="31"/>
      <c r="F88" s="31"/>
      <c r="G88" s="31"/>
      <c r="H88" s="31"/>
      <c r="I88" s="31"/>
      <c r="J88" s="31"/>
    </row>
    <row r="89" spans="2:10" ht="15" customHeight="1">
      <c r="B89" s="31"/>
      <c r="C89" s="31"/>
      <c r="D89" s="31"/>
      <c r="E89" s="31"/>
      <c r="F89" s="31"/>
      <c r="G89" s="31"/>
      <c r="H89" s="31"/>
      <c r="I89" s="31"/>
      <c r="J89" s="31"/>
    </row>
    <row r="90" spans="2:10" ht="15" customHeight="1">
      <c r="B90" s="31"/>
      <c r="C90" s="31"/>
      <c r="D90" s="31"/>
      <c r="E90" s="31"/>
      <c r="F90" s="31"/>
      <c r="G90" s="31"/>
      <c r="H90" s="31"/>
      <c r="I90" s="31"/>
      <c r="J90" s="31"/>
    </row>
    <row r="91" spans="2:10" ht="15" customHeight="1">
      <c r="B91" s="31"/>
      <c r="C91" s="31"/>
      <c r="D91" s="31"/>
      <c r="E91" s="31"/>
      <c r="F91" s="31"/>
      <c r="G91" s="31"/>
      <c r="H91" s="31"/>
      <c r="I91" s="31"/>
      <c r="J91" s="31"/>
    </row>
    <row r="92" spans="2:10" ht="15" customHeight="1">
      <c r="B92" s="31"/>
      <c r="C92" s="31"/>
      <c r="D92" s="31"/>
      <c r="E92" s="31"/>
      <c r="F92" s="31"/>
      <c r="G92" s="31"/>
      <c r="H92" s="31"/>
      <c r="I92" s="31"/>
      <c r="J92" s="31"/>
    </row>
    <row r="93" spans="2:10" ht="15" customHeight="1">
      <c r="B93" s="31"/>
      <c r="C93" s="31"/>
      <c r="D93" s="31"/>
      <c r="E93" s="31"/>
      <c r="F93" s="31"/>
      <c r="G93" s="31"/>
      <c r="H93" s="31"/>
      <c r="I93" s="31"/>
      <c r="J93" s="31"/>
    </row>
    <row r="94" spans="2:10" ht="15" customHeight="1">
      <c r="B94" s="31"/>
      <c r="C94" s="31"/>
      <c r="D94" s="31"/>
      <c r="E94" s="31"/>
      <c r="F94" s="31"/>
      <c r="G94" s="31"/>
      <c r="H94" s="31"/>
      <c r="I94" s="31"/>
      <c r="J94" s="31"/>
    </row>
    <row r="95" spans="2:10" ht="15" customHeight="1">
      <c r="B95" s="31"/>
      <c r="C95" s="31"/>
      <c r="D95" s="31"/>
      <c r="E95" s="31"/>
      <c r="F95" s="31"/>
      <c r="G95" s="31"/>
      <c r="H95" s="31"/>
      <c r="I95" s="31"/>
      <c r="J95" s="31"/>
    </row>
    <row r="96" spans="2:10" ht="15" customHeight="1">
      <c r="B96" s="31"/>
      <c r="C96" s="31"/>
      <c r="D96" s="31"/>
      <c r="E96" s="31"/>
      <c r="F96" s="31"/>
      <c r="G96" s="31"/>
      <c r="H96" s="31"/>
      <c r="I96" s="31"/>
      <c r="J96" s="31"/>
    </row>
    <row r="97" spans="2:10" ht="15" customHeight="1">
      <c r="B97" s="31"/>
      <c r="C97" s="31"/>
      <c r="D97" s="31"/>
      <c r="E97" s="31"/>
      <c r="F97" s="31"/>
      <c r="G97" s="31"/>
      <c r="H97" s="31"/>
      <c r="I97" s="31"/>
      <c r="J97" s="31"/>
    </row>
    <row r="98" spans="2:10" ht="15" customHeight="1">
      <c r="B98" s="31"/>
      <c r="C98" s="31"/>
      <c r="D98" s="31"/>
      <c r="E98" s="31"/>
      <c r="F98" s="31"/>
      <c r="G98" s="31"/>
      <c r="H98" s="31"/>
      <c r="I98" s="31"/>
      <c r="J98" s="31"/>
    </row>
    <row r="99" spans="2:10" ht="15" customHeight="1">
      <c r="B99" s="31"/>
      <c r="C99" s="31"/>
      <c r="D99" s="31"/>
      <c r="E99" s="31"/>
      <c r="F99" s="31"/>
      <c r="G99" s="31"/>
      <c r="H99" s="31"/>
      <c r="I99" s="31"/>
      <c r="J99" s="31"/>
    </row>
    <row r="100" spans="2:10" ht="15" customHeight="1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2:10" ht="15" customHeight="1">
      <c r="B101" s="31"/>
      <c r="C101" s="31"/>
      <c r="D101" s="31"/>
      <c r="E101" s="31"/>
      <c r="F101" s="31"/>
      <c r="G101" s="31"/>
      <c r="H101" s="31"/>
      <c r="I101" s="31"/>
      <c r="J101" s="31"/>
    </row>
  </sheetData>
  <mergeCells count="1">
    <mergeCell ref="H1:I1"/>
  </mergeCells>
  <conditionalFormatting sqref="B1">
    <cfRule type="cellIs" dxfId="86" priority="1" operator="equal">
      <formula>"Incomplete"</formula>
    </cfRule>
    <cfRule type="cellIs" dxfId="85" priority="2" operator="equal">
      <formula>"Flag for Review"</formula>
    </cfRule>
    <cfRule type="cellIs" dxfId="8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>
      <c r="A1" s="7">
        <v>3</v>
      </c>
      <c r="B1" s="27" t="s">
        <v>12</v>
      </c>
      <c r="C1" s="20"/>
      <c r="D1" s="20"/>
      <c r="E1" s="20"/>
      <c r="F1" s="20"/>
      <c r="G1" s="20"/>
      <c r="H1" s="854" t="s">
        <v>24</v>
      </c>
      <c r="I1" s="855"/>
      <c r="K1" s="1" t="s">
        <v>33</v>
      </c>
      <c r="L1" s="52" t="str">
        <f>VLOOKUP(A1,'Point Grid'!$L$8:$T$54,9,FALSE)</f>
        <v>General Reserving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1"/>
      <c r="K3" s="48" t="s">
        <v>308</v>
      </c>
      <c r="L3" t="s">
        <v>519</v>
      </c>
      <c r="M3"/>
      <c r="N3"/>
      <c r="O3"/>
      <c r="P3"/>
      <c r="Q3"/>
      <c r="R3"/>
      <c r="S3"/>
      <c r="T3"/>
      <c r="U3"/>
    </row>
    <row r="4" spans="1:21">
      <c r="A4" s="9">
        <f>INDEX('Point Grid'!B:B,MATCH(A1,'Point Grid'!A:A,0))</f>
        <v>1</v>
      </c>
      <c r="B4" s="17" t="s">
        <v>39</v>
      </c>
      <c r="C4" s="17"/>
      <c r="D4" s="17"/>
      <c r="E4" s="17"/>
      <c r="F4" s="17"/>
      <c r="G4" s="17"/>
      <c r="H4" s="17"/>
      <c r="I4" s="18"/>
      <c r="J4" s="31"/>
      <c r="K4" s="48"/>
      <c r="L4" t="s">
        <v>520</v>
      </c>
      <c r="M4"/>
      <c r="N4"/>
      <c r="O4"/>
      <c r="P4"/>
      <c r="Q4"/>
      <c r="R4"/>
      <c r="S4"/>
      <c r="T4"/>
      <c r="U4"/>
    </row>
    <row r="5" spans="1:21">
      <c r="A5" s="16"/>
      <c r="B5" s="17"/>
      <c r="C5" s="17"/>
      <c r="D5" s="17"/>
      <c r="E5" s="17"/>
      <c r="F5" s="17"/>
      <c r="G5" s="17"/>
      <c r="H5" s="17"/>
      <c r="I5" s="18"/>
      <c r="J5" s="31"/>
      <c r="K5" s="48"/>
      <c r="L5"/>
      <c r="M5"/>
      <c r="N5"/>
      <c r="O5"/>
      <c r="P5"/>
      <c r="Q5"/>
      <c r="R5"/>
      <c r="S5"/>
      <c r="T5"/>
      <c r="U5"/>
    </row>
    <row r="6" spans="1:21">
      <c r="A6" s="25" t="s">
        <v>2</v>
      </c>
      <c r="B6" s="17" t="s">
        <v>515</v>
      </c>
      <c r="C6" s="17"/>
      <c r="D6" s="17"/>
      <c r="E6" s="17"/>
      <c r="F6" s="17"/>
      <c r="G6" s="17"/>
      <c r="H6" s="17"/>
      <c r="I6" s="18"/>
      <c r="J6" s="31"/>
      <c r="K6" s="48"/>
      <c r="L6" s="1"/>
      <c r="M6"/>
      <c r="N6"/>
      <c r="O6"/>
      <c r="P6"/>
      <c r="Q6"/>
      <c r="R6"/>
      <c r="S6"/>
      <c r="T6"/>
      <c r="U6"/>
    </row>
    <row r="7" spans="1:21" ht="15.75" thickBot="1">
      <c r="A7" s="9">
        <f>INDEX('Point Grid'!$C$8:$I$54,MATCH($A$1,'Point Grid'!$A$8:$A$54,0),MATCH(A6,'Point Grid'!$C$7:$I$7,0))</f>
        <v>1</v>
      </c>
      <c r="B7" s="17"/>
      <c r="C7" s="17"/>
      <c r="D7" s="17"/>
      <c r="E7" s="17"/>
      <c r="F7" s="17"/>
      <c r="G7" s="17"/>
      <c r="H7" s="17"/>
      <c r="I7" s="18"/>
      <c r="J7" s="31"/>
      <c r="K7" s="48"/>
      <c r="L7"/>
      <c r="M7"/>
      <c r="N7"/>
      <c r="O7"/>
      <c r="P7"/>
      <c r="Q7"/>
      <c r="R7"/>
      <c r="S7"/>
      <c r="T7"/>
      <c r="U7"/>
    </row>
    <row r="8" spans="1:21" ht="15.75" thickBot="1">
      <c r="A8" s="5"/>
      <c r="B8" s="35"/>
      <c r="C8" s="28"/>
      <c r="D8" s="28"/>
      <c r="E8" s="28"/>
      <c r="F8" s="28"/>
      <c r="G8" s="28"/>
      <c r="H8" s="28"/>
      <c r="I8" s="18"/>
      <c r="J8" s="31"/>
      <c r="K8"/>
      <c r="L8"/>
      <c r="M8"/>
      <c r="N8"/>
      <c r="O8"/>
      <c r="P8"/>
      <c r="Q8"/>
      <c r="R8"/>
      <c r="S8"/>
      <c r="T8"/>
      <c r="U8"/>
    </row>
    <row r="9" spans="1:21">
      <c r="A9" s="25"/>
      <c r="B9" s="35"/>
      <c r="C9" s="17"/>
      <c r="D9" s="17"/>
      <c r="E9" s="17"/>
      <c r="F9" s="17"/>
      <c r="G9" s="17"/>
      <c r="H9" s="17"/>
      <c r="I9" s="18"/>
      <c r="J9" s="31"/>
      <c r="K9" s="48"/>
      <c r="L9"/>
      <c r="M9"/>
      <c r="N9"/>
      <c r="O9"/>
      <c r="P9"/>
      <c r="Q9"/>
      <c r="R9"/>
      <c r="S9"/>
    </row>
    <row r="10" spans="1:21">
      <c r="A10" s="25"/>
      <c r="B10" s="35"/>
      <c r="C10" s="17"/>
      <c r="D10" s="17"/>
      <c r="E10" s="17"/>
      <c r="F10" s="17"/>
      <c r="G10" s="17"/>
      <c r="H10" s="17"/>
      <c r="I10" s="18"/>
      <c r="J10" s="31"/>
      <c r="K10"/>
      <c r="L10" s="1"/>
      <c r="M10"/>
      <c r="N10"/>
      <c r="O10"/>
      <c r="P10"/>
      <c r="Q10"/>
      <c r="R10"/>
      <c r="S10"/>
      <c r="T10"/>
      <c r="U10"/>
    </row>
    <row r="11" spans="1:21">
      <c r="A11" s="25"/>
      <c r="B11" s="34" t="s">
        <v>41</v>
      </c>
      <c r="C11" s="17" t="s">
        <v>516</v>
      </c>
      <c r="D11" s="17"/>
      <c r="E11" s="17"/>
      <c r="F11" s="17"/>
      <c r="G11" s="17"/>
      <c r="H11" s="17"/>
      <c r="I11" s="18"/>
      <c r="J11" s="31"/>
      <c r="K11"/>
      <c r="L11"/>
      <c r="M11"/>
      <c r="N11"/>
      <c r="O11"/>
      <c r="P11"/>
      <c r="Q11"/>
      <c r="R11"/>
      <c r="S11"/>
      <c r="T11"/>
      <c r="U11"/>
    </row>
    <row r="12" spans="1:21">
      <c r="A12" s="25"/>
      <c r="B12" s="34"/>
      <c r="C12" s="17"/>
      <c r="D12" s="17"/>
      <c r="E12" s="17"/>
      <c r="F12" s="17"/>
      <c r="G12" s="17"/>
      <c r="H12" s="17"/>
      <c r="I12" s="18"/>
      <c r="J12" s="31"/>
      <c r="K12"/>
      <c r="L12"/>
      <c r="M12"/>
      <c r="N12"/>
      <c r="O12"/>
      <c r="P12"/>
      <c r="Q12"/>
      <c r="R12"/>
      <c r="S12"/>
      <c r="T12"/>
      <c r="U12"/>
    </row>
    <row r="13" spans="1:21">
      <c r="A13" s="25"/>
      <c r="B13" s="34"/>
      <c r="C13" s="17"/>
      <c r="D13" s="17"/>
      <c r="E13" s="17"/>
      <c r="F13" s="17"/>
      <c r="G13" s="17"/>
      <c r="H13" s="17"/>
      <c r="I13" s="18"/>
      <c r="J13" s="31"/>
      <c r="K13" s="48"/>
      <c r="L13"/>
      <c r="M13"/>
      <c r="N13"/>
      <c r="O13"/>
      <c r="P13"/>
      <c r="Q13"/>
      <c r="R13"/>
      <c r="S13"/>
      <c r="T13"/>
      <c r="U13"/>
    </row>
    <row r="14" spans="1:21">
      <c r="A14" s="25"/>
      <c r="B14" s="34" t="s">
        <v>40</v>
      </c>
      <c r="C14" s="17" t="s">
        <v>517</v>
      </c>
      <c r="D14" s="17"/>
      <c r="E14" s="17"/>
      <c r="F14" s="17"/>
      <c r="G14" s="17"/>
      <c r="H14" s="17"/>
      <c r="I14" s="18"/>
      <c r="J14" s="31"/>
      <c r="K14"/>
      <c r="L14"/>
      <c r="M14"/>
      <c r="N14"/>
      <c r="O14"/>
      <c r="P14"/>
      <c r="Q14"/>
      <c r="R14"/>
      <c r="S14"/>
      <c r="T14"/>
      <c r="U14"/>
    </row>
    <row r="15" spans="1:21">
      <c r="A15" s="25"/>
      <c r="B15" s="34"/>
      <c r="C15" s="17"/>
      <c r="D15" s="17"/>
      <c r="E15" s="17"/>
      <c r="F15" s="17"/>
      <c r="G15" s="17"/>
      <c r="H15" s="17"/>
      <c r="I15" s="18"/>
      <c r="J15" s="31"/>
      <c r="K15"/>
      <c r="L15"/>
      <c r="M15"/>
      <c r="N15"/>
      <c r="O15"/>
      <c r="P15"/>
      <c r="Q15"/>
      <c r="R15"/>
      <c r="S15"/>
      <c r="T15"/>
      <c r="U15"/>
    </row>
    <row r="16" spans="1:21">
      <c r="A16" s="25"/>
      <c r="B16" s="34"/>
      <c r="C16" s="17"/>
      <c r="D16" s="17"/>
      <c r="E16" s="17"/>
      <c r="F16" s="17"/>
      <c r="G16" s="17"/>
      <c r="H16" s="17"/>
      <c r="I16" s="18"/>
      <c r="J16" s="31"/>
      <c r="K16" s="48"/>
      <c r="L16" s="1"/>
      <c r="M16"/>
      <c r="N16"/>
      <c r="O16"/>
      <c r="P16"/>
      <c r="Q16"/>
      <c r="R16"/>
      <c r="S16"/>
      <c r="T16"/>
      <c r="U16"/>
    </row>
    <row r="17" spans="1:21">
      <c r="A17" s="25"/>
      <c r="B17" s="34" t="s">
        <v>42</v>
      </c>
      <c r="C17" s="17" t="s">
        <v>519</v>
      </c>
      <c r="D17" s="17"/>
      <c r="E17" s="17"/>
      <c r="F17" s="17"/>
      <c r="G17" s="17"/>
      <c r="H17" s="17"/>
      <c r="I17" s="18"/>
      <c r="J17" s="31"/>
      <c r="K17"/>
      <c r="L17"/>
      <c r="M17"/>
      <c r="N17"/>
      <c r="O17"/>
      <c r="P17"/>
      <c r="Q17"/>
      <c r="R17"/>
      <c r="S17"/>
      <c r="T17"/>
      <c r="U17"/>
    </row>
    <row r="18" spans="1:21" ht="15" customHeight="1">
      <c r="A18" s="25"/>
      <c r="B18" s="34"/>
      <c r="C18" s="17" t="s">
        <v>520</v>
      </c>
      <c r="D18" s="17"/>
      <c r="E18" s="17"/>
      <c r="F18" s="17"/>
      <c r="G18" s="17"/>
      <c r="H18" s="17"/>
      <c r="I18" s="18"/>
      <c r="J18" s="31"/>
      <c r="K18"/>
      <c r="L18"/>
      <c r="M18"/>
      <c r="N18"/>
      <c r="O18"/>
      <c r="P18"/>
      <c r="Q18"/>
      <c r="R18"/>
      <c r="S18"/>
      <c r="T18"/>
      <c r="U18"/>
    </row>
    <row r="19" spans="1:21" ht="15" customHeight="1">
      <c r="A19" s="25"/>
      <c r="B19" s="34"/>
      <c r="C19" s="17"/>
      <c r="D19" s="17"/>
      <c r="E19" s="17"/>
      <c r="F19" s="17"/>
      <c r="G19" s="17"/>
      <c r="H19" s="17"/>
      <c r="I19" s="18"/>
      <c r="J19" s="31"/>
      <c r="K19"/>
      <c r="L19"/>
      <c r="M19"/>
      <c r="N19"/>
      <c r="O19"/>
      <c r="P19"/>
      <c r="Q19"/>
      <c r="R19"/>
      <c r="S19"/>
      <c r="T19"/>
      <c r="U19"/>
    </row>
    <row r="20" spans="1:21" ht="15" customHeight="1">
      <c r="A20" s="25"/>
      <c r="B20" s="34" t="s">
        <v>43</v>
      </c>
      <c r="C20" s="17" t="s">
        <v>518</v>
      </c>
      <c r="D20" s="17"/>
      <c r="E20" s="17"/>
      <c r="F20" s="17"/>
      <c r="G20" s="17"/>
      <c r="H20" s="17"/>
      <c r="I20" s="18"/>
      <c r="J20" s="31"/>
      <c r="K20"/>
      <c r="L20"/>
      <c r="M20"/>
      <c r="N20"/>
      <c r="O20"/>
      <c r="P20"/>
      <c r="Q20"/>
      <c r="R20"/>
      <c r="S20"/>
      <c r="T20"/>
      <c r="U20"/>
    </row>
    <row r="21" spans="1:21" ht="15" customHeight="1">
      <c r="A21" s="25"/>
      <c r="B21" s="34"/>
      <c r="C21" s="17"/>
      <c r="D21" s="17"/>
      <c r="E21" s="17"/>
      <c r="F21" s="17"/>
      <c r="G21" s="17"/>
      <c r="H21" s="17"/>
      <c r="I21" s="18"/>
      <c r="J21" s="31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25"/>
      <c r="B22" s="34"/>
      <c r="C22" s="17"/>
      <c r="D22" s="17"/>
      <c r="E22" s="17"/>
      <c r="F22" s="17"/>
      <c r="G22" s="17"/>
      <c r="H22" s="17"/>
      <c r="I22" s="18"/>
      <c r="J22" s="31"/>
      <c r="K22"/>
      <c r="L22"/>
      <c r="M22"/>
      <c r="N22"/>
      <c r="O22"/>
      <c r="P22"/>
      <c r="Q22"/>
      <c r="R22"/>
      <c r="S22"/>
      <c r="T22"/>
      <c r="U22"/>
    </row>
    <row r="23" spans="1:21" ht="15" customHeight="1">
      <c r="A23" s="25"/>
      <c r="B23" s="34"/>
      <c r="C23" s="17"/>
      <c r="D23" s="17"/>
      <c r="E23" s="17"/>
      <c r="F23" s="17"/>
      <c r="G23" s="17"/>
      <c r="H23" s="17"/>
      <c r="I23" s="18"/>
      <c r="J23" s="31"/>
      <c r="K23"/>
      <c r="L23"/>
      <c r="M23"/>
      <c r="N23"/>
      <c r="O23"/>
      <c r="P23"/>
      <c r="Q23"/>
      <c r="R23"/>
      <c r="S23"/>
      <c r="T23"/>
      <c r="U23"/>
    </row>
    <row r="24" spans="1:21" ht="15" customHeight="1">
      <c r="A24" s="25"/>
      <c r="B24" s="34"/>
      <c r="C24" s="17"/>
      <c r="D24" s="17"/>
      <c r="E24" s="17"/>
      <c r="F24" s="17"/>
      <c r="G24" s="17"/>
      <c r="H24" s="17"/>
      <c r="I24" s="18"/>
      <c r="J24" s="31"/>
      <c r="K24"/>
      <c r="L24"/>
      <c r="M24"/>
      <c r="N24"/>
      <c r="O24"/>
      <c r="P24"/>
      <c r="Q24"/>
      <c r="R24"/>
      <c r="S24"/>
      <c r="T24"/>
      <c r="U24"/>
    </row>
    <row r="25" spans="1:21" ht="15" customHeight="1">
      <c r="A25" s="25"/>
      <c r="B25" s="34"/>
      <c r="C25" s="17"/>
      <c r="D25" s="17"/>
      <c r="E25" s="17"/>
      <c r="F25" s="17"/>
      <c r="G25" s="17"/>
      <c r="H25" s="17"/>
      <c r="I25" s="18"/>
      <c r="J25" s="31"/>
      <c r="K25"/>
      <c r="L25"/>
      <c r="M25"/>
      <c r="N25"/>
      <c r="O25"/>
      <c r="P25"/>
      <c r="Q25"/>
      <c r="R25"/>
      <c r="S25"/>
      <c r="T25"/>
      <c r="U25"/>
    </row>
    <row r="26" spans="1:21" ht="15" customHeight="1">
      <c r="A26" s="25"/>
      <c r="B26" s="34"/>
      <c r="C26" s="17"/>
      <c r="D26" s="17"/>
      <c r="E26" s="17"/>
      <c r="F26" s="17"/>
      <c r="G26" s="17"/>
      <c r="H26" s="17"/>
      <c r="I26" s="18"/>
      <c r="J26" s="31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25"/>
      <c r="B27" s="17"/>
      <c r="C27" s="17"/>
      <c r="D27" s="17"/>
      <c r="E27" s="17"/>
      <c r="F27" s="17"/>
      <c r="G27" s="17"/>
      <c r="H27" s="17"/>
      <c r="I27" s="18"/>
      <c r="J27" s="31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25"/>
      <c r="B28" s="17"/>
      <c r="C28" s="17"/>
      <c r="D28" s="17"/>
      <c r="E28" s="17"/>
      <c r="F28" s="17"/>
      <c r="G28" s="17"/>
      <c r="H28" s="17"/>
      <c r="I28" s="18"/>
      <c r="J28" s="31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22"/>
      <c r="B29" s="17"/>
      <c r="C29" s="17"/>
      <c r="D29" s="17"/>
      <c r="E29" s="17"/>
      <c r="F29" s="17"/>
      <c r="G29" s="17"/>
      <c r="H29" s="17"/>
      <c r="I29" s="18"/>
      <c r="J29" s="31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>
      <c r="A30" s="24"/>
      <c r="B30" s="32"/>
      <c r="C30" s="32"/>
      <c r="D30" s="32"/>
      <c r="E30" s="32"/>
      <c r="F30" s="32"/>
      <c r="G30" s="32"/>
      <c r="H30" s="32"/>
      <c r="I30" s="33"/>
      <c r="J30" s="31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B31" s="31"/>
      <c r="C31" s="31"/>
      <c r="D31" s="31"/>
      <c r="E31" s="31"/>
      <c r="F31" s="31"/>
      <c r="G31" s="31"/>
      <c r="H31" s="31"/>
      <c r="I31" s="31"/>
      <c r="J31" s="31"/>
      <c r="K31"/>
      <c r="L31"/>
      <c r="M31"/>
      <c r="N31"/>
      <c r="O31"/>
      <c r="P31"/>
      <c r="Q31"/>
      <c r="R31"/>
      <c r="S31"/>
      <c r="T31"/>
      <c r="U31"/>
    </row>
    <row r="32" spans="1:21" ht="15" customHeight="1">
      <c r="J32" s="31"/>
      <c r="K32"/>
      <c r="L32"/>
      <c r="M32"/>
      <c r="N32"/>
      <c r="O32"/>
      <c r="P32"/>
      <c r="Q32"/>
      <c r="R32"/>
      <c r="S32"/>
      <c r="T32"/>
      <c r="U32"/>
    </row>
    <row r="33" spans="2:21" ht="15" customHeight="1">
      <c r="J33" s="31"/>
      <c r="K33" s="48"/>
      <c r="L33" s="1"/>
      <c r="M33"/>
      <c r="N33"/>
      <c r="O33"/>
      <c r="P33"/>
      <c r="Q33"/>
      <c r="R33"/>
      <c r="S33"/>
      <c r="T33"/>
      <c r="U33"/>
    </row>
    <row r="34" spans="2:21" ht="15" customHeight="1">
      <c r="J34" s="31"/>
      <c r="K34"/>
      <c r="L34"/>
      <c r="M34"/>
      <c r="N34"/>
      <c r="O34"/>
      <c r="P34"/>
      <c r="Q34"/>
      <c r="R34"/>
      <c r="S34"/>
      <c r="T34"/>
      <c r="U34"/>
    </row>
    <row r="35" spans="2:21" ht="15" customHeight="1">
      <c r="J35" s="31"/>
      <c r="K35" s="48"/>
      <c r="L35"/>
      <c r="M35"/>
      <c r="N35"/>
      <c r="O35"/>
      <c r="P35"/>
      <c r="Q35"/>
      <c r="R35"/>
      <c r="S35"/>
      <c r="T35"/>
      <c r="U35"/>
    </row>
    <row r="36" spans="2:21" ht="15" customHeight="1">
      <c r="J36" s="31"/>
      <c r="K36"/>
      <c r="L36"/>
      <c r="M36"/>
      <c r="N36"/>
      <c r="O36"/>
      <c r="P36"/>
      <c r="Q36"/>
      <c r="R36"/>
      <c r="S36"/>
      <c r="T36"/>
      <c r="U36"/>
    </row>
    <row r="37" spans="2:21" ht="15" customHeight="1">
      <c r="J37" s="31"/>
      <c r="K37"/>
      <c r="L37"/>
      <c r="M37"/>
      <c r="N37"/>
      <c r="O37"/>
      <c r="P37"/>
      <c r="Q37"/>
      <c r="R37"/>
      <c r="S37"/>
      <c r="T37"/>
      <c r="U37"/>
    </row>
    <row r="38" spans="2:21" ht="15" customHeight="1">
      <c r="J38" s="31"/>
      <c r="K38"/>
      <c r="L38"/>
      <c r="M38"/>
      <c r="N38"/>
      <c r="O38"/>
      <c r="P38"/>
      <c r="Q38"/>
      <c r="R38"/>
      <c r="S38"/>
      <c r="T38"/>
      <c r="U38"/>
    </row>
    <row r="39" spans="2:21" ht="15" customHeight="1">
      <c r="J39" s="31"/>
      <c r="K39"/>
      <c r="L39"/>
      <c r="M39"/>
      <c r="N39"/>
      <c r="O39"/>
      <c r="P39"/>
      <c r="Q39"/>
      <c r="R39"/>
      <c r="S39"/>
      <c r="T39"/>
      <c r="U39"/>
    </row>
    <row r="40" spans="2:21" ht="15" customHeight="1">
      <c r="J40" s="31"/>
      <c r="K40"/>
      <c r="L40"/>
      <c r="M40"/>
      <c r="N40"/>
      <c r="O40"/>
      <c r="P40"/>
      <c r="Q40"/>
      <c r="R40"/>
      <c r="S40"/>
      <c r="T40"/>
      <c r="U40"/>
    </row>
    <row r="41" spans="2:21" ht="15" customHeight="1">
      <c r="J41" s="31"/>
      <c r="K41"/>
      <c r="L41"/>
      <c r="M41"/>
      <c r="N41"/>
      <c r="O41"/>
      <c r="P41"/>
      <c r="Q41"/>
      <c r="R41"/>
      <c r="S41"/>
      <c r="T41"/>
      <c r="U41"/>
    </row>
    <row r="42" spans="2:21" ht="15" customHeight="1">
      <c r="J42" s="31"/>
      <c r="K42"/>
      <c r="L42"/>
      <c r="M42"/>
      <c r="N42"/>
      <c r="O42"/>
      <c r="P42"/>
      <c r="Q42"/>
      <c r="R42"/>
      <c r="S42"/>
      <c r="T42"/>
      <c r="U42"/>
    </row>
    <row r="43" spans="2:21" ht="15" customHeight="1">
      <c r="J43" s="31"/>
      <c r="K43"/>
      <c r="L43"/>
      <c r="M43"/>
      <c r="N43"/>
      <c r="O43"/>
      <c r="P43"/>
      <c r="Q43"/>
      <c r="R43"/>
      <c r="S43"/>
      <c r="T43"/>
      <c r="U43"/>
    </row>
    <row r="44" spans="2:21" ht="15" customHeight="1">
      <c r="J44" s="31"/>
      <c r="K44"/>
      <c r="L44"/>
      <c r="M44"/>
      <c r="N44"/>
      <c r="O44"/>
      <c r="P44"/>
      <c r="Q44"/>
      <c r="R44"/>
      <c r="S44"/>
      <c r="T44"/>
      <c r="U44"/>
    </row>
    <row r="45" spans="2:21" ht="15" customHeight="1">
      <c r="J45" s="31"/>
      <c r="K45"/>
      <c r="L45"/>
      <c r="M45"/>
      <c r="N45"/>
      <c r="O45"/>
      <c r="P45"/>
      <c r="Q45"/>
      <c r="R45"/>
      <c r="S45"/>
      <c r="T45"/>
      <c r="U45"/>
    </row>
    <row r="46" spans="2:21" ht="15" customHeight="1">
      <c r="B46" s="31"/>
      <c r="C46" s="31"/>
      <c r="D46" s="31"/>
      <c r="E46" s="31"/>
      <c r="F46" s="31"/>
      <c r="G46" s="31"/>
      <c r="H46" s="31"/>
      <c r="I46" s="31"/>
      <c r="J46" s="31"/>
      <c r="K46"/>
      <c r="L46"/>
      <c r="M46"/>
      <c r="N46"/>
      <c r="O46"/>
      <c r="P46"/>
      <c r="Q46"/>
      <c r="R46"/>
      <c r="S46"/>
      <c r="T46"/>
      <c r="U46"/>
    </row>
    <row r="47" spans="2:21" ht="15" customHeight="1">
      <c r="B47" s="31"/>
      <c r="C47" s="31"/>
      <c r="D47" s="31"/>
      <c r="E47" s="31"/>
      <c r="F47" s="31"/>
      <c r="G47" s="31"/>
      <c r="H47" s="31"/>
      <c r="I47" s="31"/>
      <c r="J47" s="31"/>
      <c r="K47"/>
      <c r="L47"/>
      <c r="M47"/>
      <c r="N47"/>
      <c r="O47"/>
      <c r="P47"/>
      <c r="Q47"/>
      <c r="R47"/>
      <c r="S47"/>
      <c r="T47"/>
      <c r="U47"/>
    </row>
    <row r="48" spans="2:21" ht="15" customHeight="1">
      <c r="B48" s="31"/>
      <c r="C48" s="31"/>
      <c r="D48" s="31"/>
      <c r="E48" s="31"/>
      <c r="F48" s="31"/>
      <c r="G48" s="31"/>
      <c r="H48" s="31"/>
      <c r="I48" s="31"/>
      <c r="J48" s="31"/>
      <c r="K48"/>
      <c r="L48"/>
      <c r="M48"/>
      <c r="N48"/>
      <c r="O48"/>
      <c r="P48"/>
      <c r="Q48"/>
      <c r="R48"/>
      <c r="S48"/>
      <c r="T48"/>
      <c r="U48"/>
    </row>
    <row r="49" spans="2:21" ht="15" customHeight="1">
      <c r="B49" s="31"/>
      <c r="C49" s="31"/>
      <c r="D49" s="31"/>
      <c r="E49" s="31"/>
      <c r="F49" s="31"/>
      <c r="G49" s="31"/>
      <c r="H49" s="31"/>
      <c r="I49" s="31"/>
      <c r="J49" s="31"/>
      <c r="K49"/>
      <c r="L49"/>
      <c r="M49"/>
      <c r="N49"/>
      <c r="O49"/>
      <c r="P49"/>
      <c r="Q49"/>
      <c r="R49"/>
      <c r="S49"/>
      <c r="T49"/>
      <c r="U49"/>
    </row>
    <row r="50" spans="2:21" ht="15" customHeight="1">
      <c r="B50" s="31"/>
      <c r="C50" s="31"/>
      <c r="D50" s="31"/>
      <c r="E50" s="31"/>
      <c r="F50" s="31"/>
      <c r="G50" s="31"/>
      <c r="H50" s="31"/>
      <c r="I50" s="31"/>
      <c r="J50" s="31"/>
      <c r="K50"/>
      <c r="L50"/>
      <c r="M50"/>
      <c r="N50"/>
      <c r="O50"/>
      <c r="P50"/>
      <c r="Q50"/>
      <c r="R50"/>
      <c r="S50"/>
      <c r="T50"/>
      <c r="U50"/>
    </row>
    <row r="51" spans="2:21" ht="15" customHeight="1">
      <c r="B51" s="31"/>
      <c r="C51" s="31"/>
      <c r="D51" s="31"/>
      <c r="E51" s="31"/>
      <c r="F51" s="31"/>
      <c r="G51" s="31"/>
      <c r="H51" s="31"/>
      <c r="I51" s="31"/>
      <c r="J51" s="31"/>
    </row>
    <row r="52" spans="2:21" ht="15" customHeight="1">
      <c r="B52" s="31"/>
      <c r="C52" s="31"/>
      <c r="D52" s="31"/>
      <c r="E52" s="31"/>
      <c r="F52" s="31"/>
      <c r="G52" s="31"/>
      <c r="H52" s="31"/>
      <c r="I52" s="31"/>
      <c r="J52" s="31"/>
    </row>
    <row r="53" spans="2:21" ht="15" customHeight="1">
      <c r="B53" s="31"/>
      <c r="C53" s="31"/>
      <c r="D53" s="31"/>
      <c r="E53" s="31"/>
      <c r="F53" s="31"/>
      <c r="G53" s="31"/>
      <c r="H53" s="31"/>
      <c r="I53" s="31"/>
      <c r="J53" s="31"/>
    </row>
    <row r="54" spans="2:21" ht="15" customHeight="1">
      <c r="B54" s="31"/>
      <c r="C54" s="31"/>
      <c r="D54" s="31"/>
      <c r="E54" s="31"/>
      <c r="F54" s="31"/>
      <c r="G54" s="31"/>
      <c r="H54" s="31"/>
      <c r="I54" s="31"/>
      <c r="J54" s="31"/>
    </row>
    <row r="55" spans="2:21" ht="15" customHeight="1">
      <c r="B55" s="31"/>
      <c r="C55" s="31"/>
      <c r="D55" s="31"/>
      <c r="E55" s="31"/>
      <c r="F55" s="31"/>
      <c r="G55" s="31"/>
      <c r="H55" s="31"/>
      <c r="I55" s="31"/>
      <c r="J55" s="31"/>
    </row>
    <row r="56" spans="2:21" ht="15" customHeight="1">
      <c r="B56" s="31"/>
      <c r="C56" s="31"/>
      <c r="D56" s="31"/>
      <c r="E56" s="31"/>
      <c r="F56" s="31"/>
      <c r="G56" s="31"/>
      <c r="H56" s="31"/>
      <c r="I56" s="31"/>
      <c r="J56" s="31"/>
    </row>
    <row r="57" spans="2:21" ht="15" customHeight="1">
      <c r="B57" s="31"/>
      <c r="C57" s="31"/>
      <c r="D57" s="31"/>
      <c r="E57" s="31"/>
      <c r="F57" s="31"/>
      <c r="G57" s="31"/>
      <c r="H57" s="31"/>
      <c r="I57" s="31"/>
      <c r="J57" s="31"/>
    </row>
    <row r="58" spans="2:21" ht="15" customHeight="1">
      <c r="B58" s="31"/>
      <c r="C58" s="31"/>
      <c r="D58" s="31"/>
      <c r="E58" s="31"/>
      <c r="F58" s="31"/>
      <c r="G58" s="31"/>
      <c r="H58" s="31"/>
      <c r="I58" s="31"/>
      <c r="J58" s="31"/>
    </row>
    <row r="59" spans="2:21" ht="15" customHeight="1">
      <c r="B59" s="31"/>
      <c r="C59" s="31"/>
      <c r="D59" s="31"/>
      <c r="E59" s="31"/>
      <c r="F59" s="31"/>
      <c r="G59" s="31"/>
      <c r="H59" s="31"/>
      <c r="I59" s="31"/>
      <c r="J59" s="31"/>
    </row>
    <row r="60" spans="2:21" ht="15" customHeight="1">
      <c r="B60" s="31"/>
      <c r="C60" s="31"/>
      <c r="D60" s="31"/>
      <c r="E60" s="31"/>
      <c r="F60" s="31"/>
      <c r="G60" s="31"/>
      <c r="H60" s="31"/>
      <c r="I60" s="31"/>
      <c r="J60" s="31"/>
    </row>
    <row r="61" spans="2:21" ht="15" customHeight="1">
      <c r="B61" s="31"/>
      <c r="C61" s="31"/>
      <c r="D61" s="31"/>
      <c r="E61" s="31"/>
      <c r="F61" s="31"/>
      <c r="G61" s="31"/>
      <c r="H61" s="31"/>
      <c r="I61" s="31"/>
      <c r="J61" s="31"/>
    </row>
    <row r="62" spans="2:21" ht="15" customHeight="1">
      <c r="B62" s="31"/>
      <c r="C62" s="31"/>
      <c r="D62" s="31"/>
      <c r="E62" s="31"/>
      <c r="F62" s="31"/>
      <c r="G62" s="31"/>
      <c r="H62" s="31"/>
      <c r="I62" s="31"/>
      <c r="J62" s="31"/>
    </row>
    <row r="63" spans="2:21" ht="15" customHeight="1">
      <c r="B63" s="31"/>
      <c r="C63" s="31"/>
      <c r="D63" s="31"/>
      <c r="E63" s="31"/>
      <c r="F63" s="31"/>
      <c r="G63" s="31"/>
      <c r="H63" s="31"/>
      <c r="I63" s="31"/>
      <c r="J63" s="31"/>
    </row>
    <row r="64" spans="2:21" ht="15" customHeight="1">
      <c r="B64" s="31"/>
      <c r="C64" s="31"/>
      <c r="D64" s="31"/>
      <c r="E64" s="31"/>
      <c r="F64" s="31"/>
      <c r="G64" s="31"/>
      <c r="H64" s="31"/>
      <c r="I64" s="31"/>
      <c r="J64" s="31"/>
    </row>
    <row r="65" spans="2:10" ht="15" customHeight="1">
      <c r="B65" s="31"/>
      <c r="C65" s="31"/>
      <c r="D65" s="31"/>
      <c r="E65" s="31"/>
      <c r="F65" s="31"/>
      <c r="G65" s="31"/>
      <c r="H65" s="31"/>
      <c r="I65" s="31"/>
      <c r="J65" s="31"/>
    </row>
    <row r="66" spans="2:10" ht="15" customHeight="1">
      <c r="B66" s="31"/>
      <c r="C66" s="31"/>
      <c r="D66" s="31"/>
      <c r="E66" s="31"/>
      <c r="F66" s="31"/>
      <c r="G66" s="31"/>
      <c r="H66" s="31"/>
      <c r="I66" s="31"/>
      <c r="J66" s="31"/>
    </row>
    <row r="67" spans="2:10" ht="15" customHeight="1">
      <c r="B67" s="31"/>
      <c r="C67" s="31"/>
      <c r="D67" s="31"/>
      <c r="E67" s="31"/>
      <c r="F67" s="31"/>
      <c r="G67" s="31"/>
      <c r="H67" s="31"/>
      <c r="I67" s="31"/>
      <c r="J67" s="31"/>
    </row>
    <row r="68" spans="2:10" ht="15" customHeight="1">
      <c r="B68" s="31"/>
      <c r="C68" s="31"/>
      <c r="D68" s="31"/>
      <c r="E68" s="31"/>
      <c r="F68" s="31"/>
      <c r="G68" s="31"/>
      <c r="H68" s="31"/>
      <c r="I68" s="31"/>
      <c r="J68" s="31"/>
    </row>
    <row r="69" spans="2:10" ht="15" customHeight="1">
      <c r="B69" s="31"/>
      <c r="C69" s="31"/>
      <c r="D69" s="31"/>
      <c r="E69" s="31"/>
      <c r="F69" s="31"/>
      <c r="G69" s="31"/>
      <c r="H69" s="31"/>
      <c r="I69" s="31"/>
      <c r="J69" s="31"/>
    </row>
    <row r="70" spans="2:10" ht="15" customHeight="1">
      <c r="B70" s="31"/>
      <c r="C70" s="31"/>
      <c r="D70" s="31"/>
      <c r="E70" s="31"/>
      <c r="F70" s="31"/>
      <c r="G70" s="31"/>
      <c r="H70" s="31"/>
      <c r="I70" s="31"/>
      <c r="J70" s="31"/>
    </row>
    <row r="71" spans="2:10" ht="15" customHeight="1">
      <c r="B71" s="31"/>
      <c r="C71" s="31"/>
      <c r="D71" s="31"/>
      <c r="E71" s="31"/>
      <c r="F71" s="31"/>
      <c r="G71" s="31"/>
      <c r="H71" s="31"/>
      <c r="I71" s="31"/>
      <c r="J71" s="31"/>
    </row>
    <row r="72" spans="2:10" ht="15" customHeight="1">
      <c r="B72" s="31"/>
      <c r="C72" s="31"/>
      <c r="D72" s="31"/>
      <c r="E72" s="31"/>
      <c r="F72" s="31"/>
      <c r="G72" s="31"/>
      <c r="H72" s="31"/>
      <c r="I72" s="31"/>
      <c r="J72" s="31"/>
    </row>
    <row r="73" spans="2:10" ht="15" customHeight="1">
      <c r="B73" s="31"/>
      <c r="C73" s="31"/>
      <c r="D73" s="31"/>
      <c r="E73" s="31"/>
      <c r="F73" s="31"/>
      <c r="G73" s="31"/>
      <c r="H73" s="31"/>
      <c r="I73" s="31"/>
      <c r="J73" s="31"/>
    </row>
    <row r="74" spans="2:10" ht="15" customHeight="1">
      <c r="B74" s="31"/>
      <c r="C74" s="31"/>
      <c r="D74" s="31"/>
      <c r="E74" s="31"/>
      <c r="F74" s="31"/>
      <c r="G74" s="31"/>
      <c r="H74" s="31"/>
      <c r="I74" s="31"/>
      <c r="J74" s="31"/>
    </row>
    <row r="75" spans="2:10" ht="15" customHeight="1">
      <c r="B75" s="31"/>
      <c r="C75" s="31"/>
      <c r="D75" s="31"/>
      <c r="E75" s="31"/>
      <c r="F75" s="31"/>
      <c r="G75" s="31"/>
      <c r="H75" s="31"/>
      <c r="I75" s="31"/>
      <c r="J75" s="31"/>
    </row>
    <row r="76" spans="2:10" ht="15" customHeight="1">
      <c r="B76" s="31"/>
      <c r="C76" s="31"/>
      <c r="D76" s="31"/>
      <c r="E76" s="31"/>
      <c r="F76" s="31"/>
      <c r="G76" s="31"/>
      <c r="H76" s="31"/>
      <c r="I76" s="31"/>
      <c r="J76" s="31"/>
    </row>
    <row r="77" spans="2:10" ht="15" customHeight="1">
      <c r="B77" s="31"/>
      <c r="C77" s="31"/>
      <c r="D77" s="31"/>
      <c r="E77" s="31"/>
      <c r="F77" s="31"/>
      <c r="G77" s="31"/>
      <c r="H77" s="31"/>
      <c r="I77" s="31"/>
      <c r="J77" s="31"/>
    </row>
    <row r="78" spans="2:10" ht="15" customHeight="1">
      <c r="B78" s="31"/>
      <c r="C78" s="31"/>
      <c r="D78" s="31"/>
      <c r="E78" s="31"/>
      <c r="F78" s="31"/>
      <c r="G78" s="31"/>
      <c r="H78" s="31"/>
      <c r="I78" s="31"/>
      <c r="J78" s="31"/>
    </row>
    <row r="79" spans="2:10" ht="15" customHeight="1">
      <c r="B79" s="31"/>
      <c r="C79" s="31"/>
      <c r="D79" s="31"/>
      <c r="E79" s="31"/>
      <c r="F79" s="31"/>
      <c r="G79" s="31"/>
      <c r="H79" s="31"/>
      <c r="I79" s="31"/>
      <c r="J79" s="31"/>
    </row>
    <row r="80" spans="2:10" ht="15" customHeight="1">
      <c r="B80" s="31"/>
      <c r="C80" s="31"/>
      <c r="D80" s="31"/>
      <c r="E80" s="31"/>
      <c r="F80" s="31"/>
      <c r="G80" s="31"/>
      <c r="H80" s="31"/>
      <c r="I80" s="31"/>
      <c r="J80" s="31"/>
    </row>
    <row r="81" spans="2:10" ht="15" customHeight="1">
      <c r="B81" s="31"/>
      <c r="C81" s="31"/>
      <c r="D81" s="31"/>
      <c r="E81" s="31"/>
      <c r="F81" s="31"/>
      <c r="G81" s="31"/>
      <c r="H81" s="31"/>
      <c r="I81" s="31"/>
      <c r="J81" s="31"/>
    </row>
    <row r="82" spans="2:10" ht="15" customHeight="1">
      <c r="B82" s="31"/>
      <c r="C82" s="31"/>
      <c r="D82" s="31"/>
      <c r="E82" s="31"/>
      <c r="F82" s="31"/>
      <c r="G82" s="31"/>
      <c r="H82" s="31"/>
      <c r="I82" s="31"/>
      <c r="J82" s="31"/>
    </row>
    <row r="83" spans="2:10" ht="15" customHeight="1">
      <c r="B83" s="31"/>
      <c r="C83" s="31"/>
      <c r="D83" s="31"/>
      <c r="E83" s="31"/>
      <c r="F83" s="31"/>
      <c r="G83" s="31"/>
      <c r="H83" s="31"/>
      <c r="I83" s="31"/>
      <c r="J83" s="31"/>
    </row>
    <row r="84" spans="2:10" ht="15" customHeight="1">
      <c r="B84" s="31"/>
      <c r="C84" s="31"/>
      <c r="D84" s="31"/>
      <c r="E84" s="31"/>
      <c r="F84" s="31"/>
      <c r="G84" s="31"/>
      <c r="H84" s="31"/>
      <c r="I84" s="31"/>
      <c r="J84" s="31"/>
    </row>
    <row r="85" spans="2:10" ht="15" customHeight="1">
      <c r="B85" s="31"/>
      <c r="C85" s="31"/>
      <c r="D85" s="31"/>
      <c r="E85" s="31"/>
      <c r="F85" s="31"/>
      <c r="G85" s="31"/>
      <c r="H85" s="31"/>
      <c r="I85" s="31"/>
      <c r="J85" s="31"/>
    </row>
    <row r="86" spans="2:10" ht="15" customHeight="1">
      <c r="B86" s="31"/>
      <c r="C86" s="31"/>
      <c r="D86" s="31"/>
      <c r="E86" s="31"/>
      <c r="F86" s="31"/>
      <c r="G86" s="31"/>
      <c r="H86" s="31"/>
      <c r="I86" s="31"/>
      <c r="J86" s="31"/>
    </row>
    <row r="87" spans="2:10" ht="15" customHeight="1">
      <c r="B87" s="31"/>
      <c r="C87" s="31"/>
      <c r="D87" s="31"/>
      <c r="E87" s="31"/>
      <c r="F87" s="31"/>
      <c r="G87" s="31"/>
      <c r="H87" s="31"/>
      <c r="I87" s="31"/>
      <c r="J87" s="31"/>
    </row>
    <row r="88" spans="2:10" ht="15" customHeight="1">
      <c r="B88" s="31"/>
      <c r="C88" s="31"/>
      <c r="D88" s="31"/>
      <c r="E88" s="31"/>
      <c r="F88" s="31"/>
      <c r="G88" s="31"/>
      <c r="H88" s="31"/>
      <c r="I88" s="31"/>
      <c r="J88" s="31"/>
    </row>
    <row r="89" spans="2:10" ht="15" customHeight="1">
      <c r="B89" s="31"/>
      <c r="C89" s="31"/>
      <c r="D89" s="31"/>
      <c r="E89" s="31"/>
      <c r="F89" s="31"/>
      <c r="G89" s="31"/>
      <c r="H89" s="31"/>
      <c r="I89" s="31"/>
      <c r="J89" s="31"/>
    </row>
    <row r="90" spans="2:10" ht="15" customHeight="1">
      <c r="B90" s="31"/>
      <c r="C90" s="31"/>
      <c r="D90" s="31"/>
      <c r="E90" s="31"/>
      <c r="F90" s="31"/>
      <c r="G90" s="31"/>
      <c r="H90" s="31"/>
      <c r="I90" s="31"/>
      <c r="J90" s="31"/>
    </row>
    <row r="91" spans="2:10" ht="15" customHeight="1">
      <c r="B91" s="31"/>
      <c r="C91" s="31"/>
      <c r="D91" s="31"/>
      <c r="E91" s="31"/>
      <c r="F91" s="31"/>
      <c r="G91" s="31"/>
      <c r="H91" s="31"/>
      <c r="I91" s="31"/>
      <c r="J91" s="31"/>
    </row>
    <row r="92" spans="2:10" ht="15" customHeight="1">
      <c r="B92" s="31"/>
      <c r="C92" s="31"/>
      <c r="D92" s="31"/>
      <c r="E92" s="31"/>
      <c r="F92" s="31"/>
      <c r="G92" s="31"/>
      <c r="H92" s="31"/>
      <c r="I92" s="31"/>
      <c r="J92" s="31"/>
    </row>
    <row r="93" spans="2:10" ht="15" customHeight="1">
      <c r="B93" s="31"/>
      <c r="C93" s="31"/>
      <c r="D93" s="31"/>
      <c r="E93" s="31"/>
      <c r="F93" s="31"/>
      <c r="G93" s="31"/>
      <c r="H93" s="31"/>
      <c r="I93" s="31"/>
      <c r="J93" s="31"/>
    </row>
    <row r="94" spans="2:10" ht="15" customHeight="1">
      <c r="B94" s="31"/>
      <c r="C94" s="31"/>
      <c r="D94" s="31"/>
      <c r="E94" s="31"/>
      <c r="F94" s="31"/>
      <c r="G94" s="31"/>
      <c r="H94" s="31"/>
      <c r="I94" s="31"/>
      <c r="J94" s="31"/>
    </row>
    <row r="95" spans="2:10" ht="15" customHeight="1">
      <c r="B95" s="31"/>
      <c r="C95" s="31"/>
      <c r="D95" s="31"/>
      <c r="E95" s="31"/>
      <c r="F95" s="31"/>
      <c r="G95" s="31"/>
      <c r="H95" s="31"/>
      <c r="I95" s="31"/>
      <c r="J95" s="31"/>
    </row>
    <row r="96" spans="2:10" ht="15" customHeight="1">
      <c r="B96" s="31"/>
      <c r="C96" s="31"/>
      <c r="D96" s="31"/>
      <c r="E96" s="31"/>
      <c r="F96" s="31"/>
      <c r="G96" s="31"/>
      <c r="H96" s="31"/>
      <c r="I96" s="31"/>
      <c r="J96" s="31"/>
    </row>
    <row r="97" spans="2:10" ht="15" customHeight="1">
      <c r="B97" s="31"/>
      <c r="C97" s="31"/>
      <c r="D97" s="31"/>
      <c r="E97" s="31"/>
      <c r="F97" s="31"/>
      <c r="G97" s="31"/>
      <c r="H97" s="31"/>
      <c r="I97" s="31"/>
      <c r="J97" s="31"/>
    </row>
    <row r="98" spans="2:10" ht="15" customHeight="1">
      <c r="B98" s="31"/>
      <c r="C98" s="31"/>
      <c r="D98" s="31"/>
      <c r="E98" s="31"/>
      <c r="F98" s="31"/>
      <c r="G98" s="31"/>
      <c r="H98" s="31"/>
      <c r="I98" s="31"/>
      <c r="J98" s="31"/>
    </row>
    <row r="99" spans="2:10" ht="15" customHeight="1">
      <c r="B99" s="31"/>
      <c r="C99" s="31"/>
      <c r="D99" s="31"/>
      <c r="E99" s="31"/>
      <c r="F99" s="31"/>
      <c r="G99" s="31"/>
      <c r="H99" s="31"/>
      <c r="I99" s="31"/>
      <c r="J99" s="31"/>
    </row>
    <row r="100" spans="2:10" ht="15" customHeight="1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2:10" ht="15" customHeight="1">
      <c r="B101" s="31"/>
      <c r="C101" s="31"/>
      <c r="D101" s="31"/>
      <c r="E101" s="31"/>
      <c r="F101" s="31"/>
      <c r="G101" s="31"/>
      <c r="H101" s="31"/>
      <c r="I101" s="31"/>
      <c r="J101" s="31"/>
    </row>
  </sheetData>
  <mergeCells count="1">
    <mergeCell ref="H1:I1"/>
  </mergeCells>
  <conditionalFormatting sqref="B1">
    <cfRule type="cellIs" dxfId="83" priority="1" operator="equal">
      <formula>"Incomplete"</formula>
    </cfRule>
    <cfRule type="cellIs" dxfId="82" priority="2" operator="equal">
      <formula>"Flag for Review"</formula>
    </cfRule>
    <cfRule type="cellIs" dxfId="8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U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>
      <c r="A1" s="7">
        <v>4</v>
      </c>
      <c r="B1" s="27" t="s">
        <v>12</v>
      </c>
      <c r="C1" s="20"/>
      <c r="D1" s="20"/>
      <c r="E1" s="20"/>
      <c r="F1" s="20"/>
      <c r="G1" s="20"/>
      <c r="H1" s="854" t="s">
        <v>24</v>
      </c>
      <c r="I1" s="855"/>
      <c r="K1" s="1" t="s">
        <v>33</v>
      </c>
      <c r="L1" s="52" t="str">
        <f>VLOOKUP(A1,'Point Grid'!$L$8:$T$54,9,FALSE)</f>
        <v>General Reserving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1"/>
      <c r="K3" s="48" t="s">
        <v>307</v>
      </c>
      <c r="L3" t="s">
        <v>523</v>
      </c>
      <c r="M3"/>
      <c r="N3"/>
      <c r="O3"/>
      <c r="P3"/>
      <c r="Q3"/>
      <c r="R3"/>
      <c r="S3"/>
      <c r="T3"/>
      <c r="U3"/>
    </row>
    <row r="4" spans="1:21">
      <c r="A4" s="9">
        <f>INDEX('Point Grid'!B:B,MATCH(A1,'Point Grid'!A:A,0))</f>
        <v>1</v>
      </c>
      <c r="B4" s="17" t="s">
        <v>39</v>
      </c>
      <c r="C4" s="17"/>
      <c r="D4" s="17"/>
      <c r="E4" s="17"/>
      <c r="F4" s="17"/>
      <c r="G4" s="17"/>
      <c r="H4" s="17"/>
      <c r="I4" s="18"/>
      <c r="J4" s="31"/>
      <c r="K4" s="48"/>
      <c r="L4"/>
      <c r="M4"/>
      <c r="N4"/>
      <c r="O4"/>
      <c r="P4"/>
      <c r="Q4"/>
      <c r="R4"/>
      <c r="S4"/>
      <c r="T4"/>
      <c r="U4"/>
    </row>
    <row r="5" spans="1:21">
      <c r="A5" s="16"/>
      <c r="B5" s="17"/>
      <c r="C5" s="17"/>
      <c r="D5" s="17"/>
      <c r="E5" s="17"/>
      <c r="F5" s="17"/>
      <c r="G5" s="17"/>
      <c r="H5" s="17"/>
      <c r="I5" s="18"/>
      <c r="J5" s="31"/>
      <c r="K5" s="48"/>
      <c r="L5"/>
      <c r="M5"/>
      <c r="N5"/>
      <c r="O5"/>
      <c r="P5"/>
      <c r="Q5"/>
      <c r="R5"/>
      <c r="S5"/>
      <c r="T5"/>
      <c r="U5"/>
    </row>
    <row r="6" spans="1:21">
      <c r="A6" s="25" t="s">
        <v>2</v>
      </c>
      <c r="B6" s="17" t="s">
        <v>521</v>
      </c>
      <c r="C6" s="17"/>
      <c r="D6" s="17"/>
      <c r="E6" s="17"/>
      <c r="F6" s="17"/>
      <c r="G6" s="17"/>
      <c r="H6" s="17"/>
      <c r="I6" s="18"/>
      <c r="J6" s="31"/>
      <c r="K6" s="48"/>
      <c r="L6" s="1"/>
      <c r="M6"/>
      <c r="N6"/>
      <c r="O6"/>
      <c r="P6"/>
      <c r="Q6"/>
      <c r="R6"/>
      <c r="S6"/>
      <c r="T6"/>
      <c r="U6"/>
    </row>
    <row r="7" spans="1:21" ht="15.75" thickBot="1">
      <c r="A7" s="9">
        <f>INDEX('Point Grid'!$C$8:$I$54,MATCH($A$1,'Point Grid'!$A$8:$A$54,0),MATCH(A6,'Point Grid'!$C$7:$I$7,0))</f>
        <v>1</v>
      </c>
      <c r="B7" s="17"/>
      <c r="C7" s="17"/>
      <c r="D7" s="17"/>
      <c r="E7" s="17"/>
      <c r="F7" s="17"/>
      <c r="G7" s="17"/>
      <c r="H7" s="17"/>
      <c r="I7" s="18"/>
      <c r="J7" s="31"/>
      <c r="K7" s="48"/>
      <c r="L7"/>
      <c r="M7"/>
      <c r="N7"/>
      <c r="O7"/>
      <c r="P7"/>
      <c r="Q7"/>
      <c r="R7"/>
      <c r="S7"/>
      <c r="T7"/>
      <c r="U7"/>
    </row>
    <row r="8" spans="1:21" ht="15.75" thickBot="1">
      <c r="A8" s="5"/>
      <c r="B8" s="35"/>
      <c r="C8" s="28"/>
      <c r="D8" s="28"/>
      <c r="E8" s="28"/>
      <c r="F8" s="28"/>
      <c r="G8" s="28"/>
      <c r="H8" s="28"/>
      <c r="I8" s="18"/>
      <c r="J8" s="31"/>
      <c r="K8"/>
      <c r="L8"/>
      <c r="M8"/>
      <c r="N8"/>
      <c r="O8"/>
      <c r="P8"/>
      <c r="Q8"/>
      <c r="R8"/>
      <c r="S8"/>
      <c r="T8"/>
      <c r="U8"/>
    </row>
    <row r="9" spans="1:21">
      <c r="A9" s="25"/>
      <c r="B9" s="35"/>
      <c r="C9" s="17"/>
      <c r="D9" s="17"/>
      <c r="E9" s="17"/>
      <c r="F9" s="17"/>
      <c r="G9" s="17"/>
      <c r="H9" s="17"/>
      <c r="I9" s="18"/>
      <c r="J9" s="31"/>
      <c r="K9" s="48"/>
      <c r="L9"/>
      <c r="M9"/>
      <c r="N9"/>
      <c r="O9"/>
      <c r="P9"/>
      <c r="Q9"/>
      <c r="R9"/>
      <c r="S9"/>
    </row>
    <row r="10" spans="1:21">
      <c r="A10" s="25"/>
      <c r="B10" s="35"/>
      <c r="C10" s="17"/>
      <c r="D10" s="17"/>
      <c r="E10" s="17"/>
      <c r="F10" s="17"/>
      <c r="G10" s="17"/>
      <c r="H10" s="17"/>
      <c r="I10" s="18"/>
      <c r="J10" s="31"/>
      <c r="K10"/>
      <c r="L10" s="1"/>
      <c r="M10"/>
      <c r="N10"/>
      <c r="O10"/>
      <c r="P10"/>
      <c r="Q10"/>
      <c r="R10"/>
      <c r="S10"/>
      <c r="T10"/>
      <c r="U10"/>
    </row>
    <row r="11" spans="1:21">
      <c r="A11" s="25"/>
      <c r="B11" s="34" t="s">
        <v>41</v>
      </c>
      <c r="C11" s="17" t="s">
        <v>522</v>
      </c>
      <c r="D11" s="17"/>
      <c r="E11" s="17"/>
      <c r="F11" s="17"/>
      <c r="G11" s="17"/>
      <c r="H11" s="17"/>
      <c r="I11" s="18"/>
      <c r="J11" s="31"/>
      <c r="K11"/>
      <c r="L11"/>
      <c r="M11"/>
      <c r="N11"/>
      <c r="O11"/>
      <c r="P11"/>
      <c r="Q11"/>
      <c r="R11"/>
      <c r="S11"/>
      <c r="T11"/>
      <c r="U11"/>
    </row>
    <row r="12" spans="1:21">
      <c r="A12" s="25"/>
      <c r="B12" s="34"/>
      <c r="C12" s="17"/>
      <c r="D12" s="17"/>
      <c r="E12" s="17"/>
      <c r="F12" s="17"/>
      <c r="G12" s="17"/>
      <c r="H12" s="17"/>
      <c r="I12" s="18"/>
      <c r="J12" s="31"/>
      <c r="K12"/>
      <c r="L12"/>
      <c r="M12"/>
      <c r="N12"/>
      <c r="O12"/>
      <c r="P12"/>
      <c r="Q12"/>
      <c r="R12"/>
      <c r="S12"/>
      <c r="T12"/>
      <c r="U12"/>
    </row>
    <row r="13" spans="1:21">
      <c r="A13" s="25"/>
      <c r="B13" s="34"/>
      <c r="C13" s="17"/>
      <c r="D13" s="17"/>
      <c r="E13" s="17"/>
      <c r="F13" s="17"/>
      <c r="G13" s="17"/>
      <c r="H13" s="17"/>
      <c r="I13" s="18"/>
      <c r="J13" s="31"/>
      <c r="K13" s="48"/>
      <c r="L13"/>
      <c r="M13"/>
      <c r="N13"/>
      <c r="O13"/>
      <c r="P13"/>
      <c r="Q13"/>
      <c r="R13"/>
      <c r="S13"/>
      <c r="T13"/>
      <c r="U13"/>
    </row>
    <row r="14" spans="1:21">
      <c r="A14" s="25"/>
      <c r="B14" s="34" t="s">
        <v>40</v>
      </c>
      <c r="C14" s="17" t="s">
        <v>523</v>
      </c>
      <c r="D14" s="17"/>
      <c r="E14" s="17"/>
      <c r="F14" s="17"/>
      <c r="G14" s="17"/>
      <c r="H14" s="17"/>
      <c r="I14" s="18"/>
      <c r="J14" s="31"/>
      <c r="K14"/>
      <c r="L14"/>
      <c r="M14"/>
      <c r="N14"/>
      <c r="O14"/>
      <c r="P14"/>
      <c r="Q14"/>
      <c r="R14"/>
      <c r="S14"/>
      <c r="T14"/>
      <c r="U14"/>
    </row>
    <row r="15" spans="1:21">
      <c r="A15" s="25"/>
      <c r="B15" s="34"/>
      <c r="C15" s="17"/>
      <c r="D15" s="17"/>
      <c r="E15" s="17"/>
      <c r="F15" s="17"/>
      <c r="G15" s="17"/>
      <c r="H15" s="17"/>
      <c r="I15" s="18"/>
      <c r="J15" s="31"/>
      <c r="K15"/>
      <c r="L15"/>
      <c r="M15"/>
      <c r="N15"/>
      <c r="O15"/>
      <c r="P15"/>
      <c r="Q15"/>
      <c r="R15"/>
      <c r="S15"/>
      <c r="T15"/>
      <c r="U15"/>
    </row>
    <row r="16" spans="1:21">
      <c r="A16" s="25"/>
      <c r="B16" s="34"/>
      <c r="C16" s="17"/>
      <c r="D16" s="17"/>
      <c r="E16" s="17"/>
      <c r="F16" s="17"/>
      <c r="G16" s="17"/>
      <c r="H16" s="17"/>
      <c r="I16" s="18"/>
      <c r="J16" s="31"/>
      <c r="K16" s="48"/>
      <c r="L16" s="1"/>
      <c r="M16"/>
      <c r="N16"/>
      <c r="O16"/>
      <c r="P16"/>
      <c r="Q16"/>
      <c r="R16"/>
      <c r="S16"/>
      <c r="T16"/>
      <c r="U16"/>
    </row>
    <row r="17" spans="1:21">
      <c r="A17" s="25"/>
      <c r="B17" s="34" t="s">
        <v>42</v>
      </c>
      <c r="C17" s="17" t="s">
        <v>524</v>
      </c>
      <c r="D17" s="17"/>
      <c r="E17" s="17"/>
      <c r="F17" s="17"/>
      <c r="G17" s="17"/>
      <c r="H17" s="17"/>
      <c r="I17" s="18"/>
      <c r="J17" s="31"/>
      <c r="K17"/>
      <c r="L17"/>
      <c r="M17"/>
      <c r="N17"/>
      <c r="O17"/>
      <c r="P17"/>
      <c r="Q17"/>
      <c r="R17"/>
      <c r="S17"/>
      <c r="T17"/>
      <c r="U17"/>
    </row>
    <row r="18" spans="1:21" ht="15" customHeight="1">
      <c r="A18" s="25"/>
      <c r="B18" s="34"/>
      <c r="C18" s="17"/>
      <c r="D18" s="17"/>
      <c r="E18" s="17"/>
      <c r="F18" s="17"/>
      <c r="G18" s="17"/>
      <c r="H18" s="17"/>
      <c r="I18" s="18"/>
      <c r="J18" s="31"/>
      <c r="K18"/>
      <c r="L18"/>
      <c r="M18"/>
      <c r="N18"/>
      <c r="O18"/>
      <c r="P18"/>
      <c r="Q18"/>
      <c r="R18"/>
      <c r="S18"/>
      <c r="T18"/>
      <c r="U18"/>
    </row>
    <row r="19" spans="1:21" ht="15" customHeight="1">
      <c r="A19" s="25"/>
      <c r="B19" s="34"/>
      <c r="C19" s="17"/>
      <c r="D19" s="17"/>
      <c r="E19" s="17"/>
      <c r="F19" s="17"/>
      <c r="G19" s="17"/>
      <c r="H19" s="17"/>
      <c r="I19" s="18"/>
      <c r="J19" s="31"/>
      <c r="K19"/>
      <c r="L19"/>
      <c r="M19"/>
      <c r="N19"/>
      <c r="O19"/>
      <c r="P19"/>
      <c r="Q19"/>
      <c r="R19"/>
      <c r="S19"/>
      <c r="T19"/>
      <c r="U19"/>
    </row>
    <row r="20" spans="1:21" ht="15" customHeight="1">
      <c r="A20" s="25"/>
      <c r="B20" s="34" t="s">
        <v>43</v>
      </c>
      <c r="C20" s="17" t="s">
        <v>525</v>
      </c>
      <c r="D20" s="17"/>
      <c r="E20" s="17"/>
      <c r="F20" s="17"/>
      <c r="G20" s="17"/>
      <c r="H20" s="17"/>
      <c r="I20" s="18"/>
      <c r="J20" s="31"/>
      <c r="K20"/>
      <c r="L20"/>
      <c r="M20"/>
      <c r="N20"/>
      <c r="O20"/>
      <c r="P20"/>
      <c r="Q20"/>
      <c r="R20"/>
      <c r="S20"/>
      <c r="T20"/>
      <c r="U20"/>
    </row>
    <row r="21" spans="1:21" ht="15" customHeight="1">
      <c r="A21" s="25"/>
      <c r="B21" s="34"/>
      <c r="C21" s="17"/>
      <c r="D21" s="17"/>
      <c r="E21" s="17"/>
      <c r="F21" s="17"/>
      <c r="G21" s="17"/>
      <c r="H21" s="17"/>
      <c r="I21" s="18"/>
      <c r="J21" s="31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25"/>
      <c r="B22" s="34"/>
      <c r="C22" s="17"/>
      <c r="D22" s="17"/>
      <c r="E22" s="17"/>
      <c r="F22" s="17"/>
      <c r="G22" s="17"/>
      <c r="H22" s="17"/>
      <c r="I22" s="18"/>
      <c r="J22" s="31"/>
      <c r="K22"/>
      <c r="L22"/>
      <c r="M22"/>
      <c r="N22"/>
      <c r="O22"/>
      <c r="P22"/>
      <c r="Q22"/>
      <c r="R22"/>
      <c r="S22"/>
      <c r="T22"/>
      <c r="U22"/>
    </row>
    <row r="23" spans="1:21" ht="15" customHeight="1">
      <c r="A23" s="25"/>
      <c r="B23" s="34"/>
      <c r="C23" s="17"/>
      <c r="D23" s="17"/>
      <c r="E23" s="17"/>
      <c r="F23" s="17"/>
      <c r="G23" s="17"/>
      <c r="H23" s="17"/>
      <c r="I23" s="18"/>
      <c r="J23" s="31"/>
      <c r="K23"/>
      <c r="L23"/>
      <c r="M23"/>
      <c r="N23"/>
      <c r="O23"/>
      <c r="P23"/>
      <c r="Q23"/>
      <c r="R23"/>
      <c r="S23"/>
      <c r="T23"/>
      <c r="U23"/>
    </row>
    <row r="24" spans="1:21" ht="15" customHeight="1">
      <c r="A24" s="25"/>
      <c r="B24" s="34"/>
      <c r="C24" s="17"/>
      <c r="D24" s="17"/>
      <c r="E24" s="17"/>
      <c r="F24" s="17"/>
      <c r="G24" s="17"/>
      <c r="H24" s="17"/>
      <c r="I24" s="18"/>
      <c r="J24" s="31"/>
      <c r="K24"/>
      <c r="L24"/>
      <c r="M24"/>
      <c r="N24"/>
      <c r="O24"/>
      <c r="P24"/>
      <c r="Q24"/>
      <c r="R24"/>
      <c r="S24"/>
      <c r="T24"/>
      <c r="U24"/>
    </row>
    <row r="25" spans="1:21" ht="15" customHeight="1">
      <c r="A25" s="25"/>
      <c r="B25" s="34"/>
      <c r="C25" s="17"/>
      <c r="D25" s="17"/>
      <c r="E25" s="17"/>
      <c r="F25" s="17"/>
      <c r="G25" s="17"/>
      <c r="H25" s="17"/>
      <c r="I25" s="18"/>
      <c r="J25" s="31"/>
      <c r="K25"/>
      <c r="L25"/>
      <c r="M25"/>
      <c r="N25"/>
      <c r="O25"/>
      <c r="P25"/>
      <c r="Q25"/>
      <c r="R25"/>
      <c r="S25"/>
      <c r="T25"/>
      <c r="U25"/>
    </row>
    <row r="26" spans="1:21" ht="15" customHeight="1">
      <c r="A26" s="25"/>
      <c r="B26" s="34"/>
      <c r="C26" s="17"/>
      <c r="D26" s="17"/>
      <c r="E26" s="17"/>
      <c r="F26" s="17"/>
      <c r="G26" s="17"/>
      <c r="H26" s="17"/>
      <c r="I26" s="18"/>
      <c r="J26" s="31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25"/>
      <c r="B27" s="17"/>
      <c r="C27" s="17"/>
      <c r="D27" s="17"/>
      <c r="E27" s="17"/>
      <c r="F27" s="17"/>
      <c r="G27" s="17"/>
      <c r="H27" s="17"/>
      <c r="I27" s="18"/>
      <c r="J27" s="31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25"/>
      <c r="B28" s="17"/>
      <c r="C28" s="17"/>
      <c r="D28" s="17"/>
      <c r="E28" s="17"/>
      <c r="F28" s="17"/>
      <c r="G28" s="17"/>
      <c r="H28" s="17"/>
      <c r="I28" s="18"/>
      <c r="J28" s="31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22"/>
      <c r="B29" s="17"/>
      <c r="C29" s="17"/>
      <c r="D29" s="17"/>
      <c r="E29" s="17"/>
      <c r="F29" s="17"/>
      <c r="G29" s="17"/>
      <c r="H29" s="17"/>
      <c r="I29" s="18"/>
      <c r="J29" s="31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>
      <c r="A30" s="24"/>
      <c r="B30" s="32"/>
      <c r="C30" s="32"/>
      <c r="D30" s="32"/>
      <c r="E30" s="32"/>
      <c r="F30" s="32"/>
      <c r="G30" s="32"/>
      <c r="H30" s="32"/>
      <c r="I30" s="33"/>
      <c r="J30" s="31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B31" s="31"/>
      <c r="C31" s="31"/>
      <c r="D31" s="31"/>
      <c r="E31" s="31"/>
      <c r="F31" s="31"/>
      <c r="G31" s="31"/>
      <c r="H31" s="31"/>
      <c r="I31" s="31"/>
      <c r="J31" s="31"/>
      <c r="K31"/>
      <c r="L31"/>
      <c r="M31"/>
      <c r="N31"/>
      <c r="O31"/>
      <c r="P31"/>
      <c r="Q31"/>
      <c r="R31"/>
      <c r="S31"/>
      <c r="T31"/>
      <c r="U31"/>
    </row>
    <row r="32" spans="1:21" ht="15" customHeight="1">
      <c r="J32" s="31"/>
      <c r="K32"/>
      <c r="L32"/>
      <c r="M32"/>
      <c r="N32"/>
      <c r="O32"/>
      <c r="P32"/>
      <c r="Q32"/>
      <c r="R32"/>
      <c r="S32"/>
      <c r="T32"/>
      <c r="U32"/>
    </row>
    <row r="33" spans="2:21" ht="15" customHeight="1">
      <c r="J33" s="31"/>
      <c r="K33" s="48"/>
      <c r="L33" s="1"/>
      <c r="M33"/>
      <c r="N33"/>
      <c r="O33"/>
      <c r="P33"/>
      <c r="Q33"/>
      <c r="R33"/>
      <c r="S33"/>
      <c r="T33"/>
      <c r="U33"/>
    </row>
    <row r="34" spans="2:21" ht="15" customHeight="1">
      <c r="J34" s="31"/>
      <c r="K34"/>
      <c r="L34"/>
      <c r="M34"/>
      <c r="N34"/>
      <c r="O34"/>
      <c r="P34"/>
      <c r="Q34"/>
      <c r="R34"/>
      <c r="S34"/>
      <c r="T34"/>
      <c r="U34"/>
    </row>
    <row r="35" spans="2:21" ht="15" customHeight="1">
      <c r="J35" s="31"/>
      <c r="K35" s="48"/>
      <c r="L35"/>
      <c r="M35"/>
      <c r="N35"/>
      <c r="O35"/>
      <c r="P35"/>
      <c r="Q35"/>
      <c r="R35"/>
      <c r="S35"/>
      <c r="T35"/>
      <c r="U35"/>
    </row>
    <row r="36" spans="2:21" ht="15" customHeight="1">
      <c r="J36" s="31"/>
      <c r="K36"/>
      <c r="L36"/>
      <c r="M36"/>
      <c r="N36"/>
      <c r="O36"/>
      <c r="P36"/>
      <c r="Q36"/>
      <c r="R36"/>
      <c r="S36"/>
      <c r="T36"/>
      <c r="U36"/>
    </row>
    <row r="37" spans="2:21" ht="15" customHeight="1">
      <c r="J37" s="31"/>
      <c r="K37"/>
      <c r="L37"/>
      <c r="M37"/>
      <c r="N37"/>
      <c r="O37"/>
      <c r="P37"/>
      <c r="Q37"/>
      <c r="R37"/>
      <c r="S37"/>
      <c r="T37"/>
      <c r="U37"/>
    </row>
    <row r="38" spans="2:21" ht="15" customHeight="1">
      <c r="J38" s="31"/>
      <c r="K38"/>
      <c r="L38"/>
      <c r="M38"/>
      <c r="N38"/>
      <c r="O38"/>
      <c r="P38"/>
      <c r="Q38"/>
      <c r="R38"/>
      <c r="S38"/>
      <c r="T38"/>
      <c r="U38"/>
    </row>
    <row r="39" spans="2:21" ht="15" customHeight="1">
      <c r="J39" s="31"/>
      <c r="K39"/>
      <c r="L39"/>
      <c r="M39"/>
      <c r="N39"/>
      <c r="O39"/>
      <c r="P39"/>
      <c r="Q39"/>
      <c r="R39"/>
      <c r="S39"/>
      <c r="T39"/>
      <c r="U39"/>
    </row>
    <row r="40" spans="2:21" ht="15" customHeight="1">
      <c r="J40" s="31"/>
      <c r="K40"/>
      <c r="L40"/>
      <c r="M40"/>
      <c r="N40"/>
      <c r="O40"/>
      <c r="P40"/>
      <c r="Q40"/>
      <c r="R40"/>
      <c r="S40"/>
      <c r="T40"/>
      <c r="U40"/>
    </row>
    <row r="41" spans="2:21" ht="15" customHeight="1">
      <c r="J41" s="31"/>
      <c r="K41"/>
      <c r="L41"/>
      <c r="M41"/>
      <c r="N41"/>
      <c r="O41"/>
      <c r="P41"/>
      <c r="Q41"/>
      <c r="R41"/>
      <c r="S41"/>
      <c r="T41"/>
      <c r="U41"/>
    </row>
    <row r="42" spans="2:21" ht="15" customHeight="1">
      <c r="J42" s="31"/>
      <c r="K42"/>
      <c r="L42"/>
      <c r="M42"/>
      <c r="N42"/>
      <c r="O42"/>
      <c r="P42"/>
      <c r="Q42"/>
      <c r="R42"/>
      <c r="S42"/>
      <c r="T42"/>
      <c r="U42"/>
    </row>
    <row r="43" spans="2:21" ht="15" customHeight="1">
      <c r="J43" s="31"/>
      <c r="K43"/>
      <c r="L43"/>
      <c r="M43"/>
      <c r="N43"/>
      <c r="O43"/>
      <c r="P43"/>
      <c r="Q43"/>
      <c r="R43"/>
      <c r="S43"/>
      <c r="T43"/>
      <c r="U43"/>
    </row>
    <row r="44" spans="2:21" ht="15" customHeight="1">
      <c r="J44" s="31"/>
      <c r="K44"/>
      <c r="L44"/>
      <c r="M44"/>
      <c r="N44"/>
      <c r="O44"/>
      <c r="P44"/>
      <c r="Q44"/>
      <c r="R44"/>
      <c r="S44"/>
      <c r="T44"/>
      <c r="U44"/>
    </row>
    <row r="45" spans="2:21" ht="15" customHeight="1">
      <c r="J45" s="31"/>
      <c r="K45"/>
      <c r="L45"/>
      <c r="M45"/>
      <c r="N45"/>
      <c r="O45"/>
      <c r="P45"/>
      <c r="Q45"/>
      <c r="R45"/>
      <c r="S45"/>
      <c r="T45"/>
      <c r="U45"/>
    </row>
    <row r="46" spans="2:21" ht="15" customHeight="1">
      <c r="B46" s="31"/>
      <c r="C46" s="31"/>
      <c r="D46" s="31"/>
      <c r="E46" s="31"/>
      <c r="F46" s="31"/>
      <c r="G46" s="31"/>
      <c r="H46" s="31"/>
      <c r="I46" s="31"/>
      <c r="J46" s="31"/>
      <c r="K46"/>
      <c r="L46"/>
      <c r="M46"/>
      <c r="N46"/>
      <c r="O46"/>
      <c r="P46"/>
      <c r="Q46"/>
      <c r="R46"/>
      <c r="S46"/>
      <c r="T46"/>
      <c r="U46"/>
    </row>
    <row r="47" spans="2:21" ht="15" customHeight="1">
      <c r="B47" s="31"/>
      <c r="C47" s="31"/>
      <c r="D47" s="31"/>
      <c r="E47" s="31"/>
      <c r="F47" s="31"/>
      <c r="G47" s="31"/>
      <c r="H47" s="31"/>
      <c r="I47" s="31"/>
      <c r="J47" s="31"/>
      <c r="K47"/>
      <c r="L47"/>
      <c r="M47"/>
      <c r="N47"/>
      <c r="O47"/>
      <c r="P47"/>
      <c r="Q47"/>
      <c r="R47"/>
      <c r="S47"/>
      <c r="T47"/>
      <c r="U47"/>
    </row>
    <row r="48" spans="2:21" ht="15" customHeight="1">
      <c r="B48" s="31"/>
      <c r="C48" s="31"/>
      <c r="D48" s="31"/>
      <c r="E48" s="31"/>
      <c r="F48" s="31"/>
      <c r="G48" s="31"/>
      <c r="H48" s="31"/>
      <c r="I48" s="31"/>
      <c r="J48" s="31"/>
      <c r="K48"/>
      <c r="L48"/>
      <c r="M48"/>
      <c r="N48"/>
      <c r="O48"/>
      <c r="P48"/>
      <c r="Q48"/>
      <c r="R48"/>
      <c r="S48"/>
      <c r="T48"/>
      <c r="U48"/>
    </row>
    <row r="49" spans="2:21" ht="15" customHeight="1">
      <c r="B49" s="31"/>
      <c r="C49" s="31"/>
      <c r="D49" s="31"/>
      <c r="E49" s="31"/>
      <c r="F49" s="31"/>
      <c r="G49" s="31"/>
      <c r="H49" s="31"/>
      <c r="I49" s="31"/>
      <c r="J49" s="31"/>
      <c r="K49"/>
      <c r="L49"/>
      <c r="M49"/>
      <c r="N49"/>
      <c r="O49"/>
      <c r="P49"/>
      <c r="Q49"/>
      <c r="R49"/>
      <c r="S49"/>
      <c r="T49"/>
      <c r="U49"/>
    </row>
    <row r="50" spans="2:21" ht="15" customHeight="1">
      <c r="B50" s="31"/>
      <c r="C50" s="31"/>
      <c r="D50" s="31"/>
      <c r="E50" s="31"/>
      <c r="F50" s="31"/>
      <c r="G50" s="31"/>
      <c r="H50" s="31"/>
      <c r="I50" s="31"/>
      <c r="J50" s="31"/>
      <c r="K50"/>
      <c r="L50"/>
      <c r="M50"/>
      <c r="N50"/>
      <c r="O50"/>
      <c r="P50"/>
      <c r="Q50"/>
      <c r="R50"/>
      <c r="S50"/>
      <c r="T50"/>
      <c r="U50"/>
    </row>
    <row r="51" spans="2:21" ht="15" customHeight="1">
      <c r="B51" s="31"/>
      <c r="C51" s="31"/>
      <c r="D51" s="31"/>
      <c r="E51" s="31"/>
      <c r="F51" s="31"/>
      <c r="G51" s="31"/>
      <c r="H51" s="31"/>
      <c r="I51" s="31"/>
      <c r="J51" s="31"/>
    </row>
    <row r="52" spans="2:21" ht="15" customHeight="1">
      <c r="B52" s="31"/>
      <c r="C52" s="31"/>
      <c r="D52" s="31"/>
      <c r="E52" s="31"/>
      <c r="F52" s="31"/>
      <c r="G52" s="31"/>
      <c r="H52" s="31"/>
      <c r="I52" s="31"/>
      <c r="J52" s="31"/>
    </row>
    <row r="53" spans="2:21" ht="15" customHeight="1">
      <c r="B53" s="31"/>
      <c r="C53" s="31"/>
      <c r="D53" s="31"/>
      <c r="E53" s="31"/>
      <c r="F53" s="31"/>
      <c r="G53" s="31"/>
      <c r="H53" s="31"/>
      <c r="I53" s="31"/>
      <c r="J53" s="31"/>
    </row>
    <row r="54" spans="2:21" ht="15" customHeight="1">
      <c r="B54" s="31"/>
      <c r="C54" s="31"/>
      <c r="D54" s="31"/>
      <c r="E54" s="31"/>
      <c r="F54" s="31"/>
      <c r="G54" s="31"/>
      <c r="H54" s="31"/>
      <c r="I54" s="31"/>
      <c r="J54" s="31"/>
    </row>
    <row r="55" spans="2:21" ht="15" customHeight="1">
      <c r="B55" s="31"/>
      <c r="C55" s="31"/>
      <c r="D55" s="31"/>
      <c r="E55" s="31"/>
      <c r="F55" s="31"/>
      <c r="G55" s="31"/>
      <c r="H55" s="31"/>
      <c r="I55" s="31"/>
      <c r="J55" s="31"/>
    </row>
    <row r="56" spans="2:21" ht="15" customHeight="1">
      <c r="B56" s="31"/>
      <c r="C56" s="31"/>
      <c r="D56" s="31"/>
      <c r="E56" s="31"/>
      <c r="F56" s="31"/>
      <c r="G56" s="31"/>
      <c r="H56" s="31"/>
      <c r="I56" s="31"/>
      <c r="J56" s="31"/>
    </row>
    <row r="57" spans="2:21" ht="15" customHeight="1">
      <c r="B57" s="31"/>
      <c r="C57" s="31"/>
      <c r="D57" s="31"/>
      <c r="E57" s="31"/>
      <c r="F57" s="31"/>
      <c r="G57" s="31"/>
      <c r="H57" s="31"/>
      <c r="I57" s="31"/>
      <c r="J57" s="31"/>
    </row>
    <row r="58" spans="2:21" ht="15" customHeight="1">
      <c r="B58" s="31"/>
      <c r="C58" s="31"/>
      <c r="D58" s="31"/>
      <c r="E58" s="31"/>
      <c r="F58" s="31"/>
      <c r="G58" s="31"/>
      <c r="H58" s="31"/>
      <c r="I58" s="31"/>
      <c r="J58" s="31"/>
    </row>
    <row r="59" spans="2:21" ht="15" customHeight="1">
      <c r="B59" s="31"/>
      <c r="C59" s="31"/>
      <c r="D59" s="31"/>
      <c r="E59" s="31"/>
      <c r="F59" s="31"/>
      <c r="G59" s="31"/>
      <c r="H59" s="31"/>
      <c r="I59" s="31"/>
      <c r="J59" s="31"/>
    </row>
    <row r="60" spans="2:21" ht="15" customHeight="1">
      <c r="B60" s="31"/>
      <c r="C60" s="31"/>
      <c r="D60" s="31"/>
      <c r="E60" s="31"/>
      <c r="F60" s="31"/>
      <c r="G60" s="31"/>
      <c r="H60" s="31"/>
      <c r="I60" s="31"/>
      <c r="J60" s="31"/>
    </row>
    <row r="61" spans="2:21" ht="15" customHeight="1">
      <c r="B61" s="31"/>
      <c r="C61" s="31"/>
      <c r="D61" s="31"/>
      <c r="E61" s="31"/>
      <c r="F61" s="31"/>
      <c r="G61" s="31"/>
      <c r="H61" s="31"/>
      <c r="I61" s="31"/>
      <c r="J61" s="31"/>
    </row>
    <row r="62" spans="2:21" ht="15" customHeight="1">
      <c r="B62" s="31"/>
      <c r="C62" s="31"/>
      <c r="D62" s="31"/>
      <c r="E62" s="31"/>
      <c r="F62" s="31"/>
      <c r="G62" s="31"/>
      <c r="H62" s="31"/>
      <c r="I62" s="31"/>
      <c r="J62" s="31"/>
    </row>
    <row r="63" spans="2:21" ht="15" customHeight="1">
      <c r="B63" s="31"/>
      <c r="C63" s="31"/>
      <c r="D63" s="31"/>
      <c r="E63" s="31"/>
      <c r="F63" s="31"/>
      <c r="G63" s="31"/>
      <c r="H63" s="31"/>
      <c r="I63" s="31"/>
      <c r="J63" s="31"/>
    </row>
    <row r="64" spans="2:21" ht="15" customHeight="1">
      <c r="B64" s="31"/>
      <c r="C64" s="31"/>
      <c r="D64" s="31"/>
      <c r="E64" s="31"/>
      <c r="F64" s="31"/>
      <c r="G64" s="31"/>
      <c r="H64" s="31"/>
      <c r="I64" s="31"/>
      <c r="J64" s="31"/>
    </row>
    <row r="65" spans="2:10" ht="15" customHeight="1">
      <c r="B65" s="31"/>
      <c r="C65" s="31"/>
      <c r="D65" s="31"/>
      <c r="E65" s="31"/>
      <c r="F65" s="31"/>
      <c r="G65" s="31"/>
      <c r="H65" s="31"/>
      <c r="I65" s="31"/>
      <c r="J65" s="31"/>
    </row>
    <row r="66" spans="2:10" ht="15" customHeight="1">
      <c r="B66" s="31"/>
      <c r="C66" s="31"/>
      <c r="D66" s="31"/>
      <c r="E66" s="31"/>
      <c r="F66" s="31"/>
      <c r="G66" s="31"/>
      <c r="H66" s="31"/>
      <c r="I66" s="31"/>
      <c r="J66" s="31"/>
    </row>
    <row r="67" spans="2:10" ht="15" customHeight="1">
      <c r="B67" s="31"/>
      <c r="C67" s="31"/>
      <c r="D67" s="31"/>
      <c r="E67" s="31"/>
      <c r="F67" s="31"/>
      <c r="G67" s="31"/>
      <c r="H67" s="31"/>
      <c r="I67" s="31"/>
      <c r="J67" s="31"/>
    </row>
    <row r="68" spans="2:10" ht="15" customHeight="1">
      <c r="B68" s="31"/>
      <c r="C68" s="31"/>
      <c r="D68" s="31"/>
      <c r="E68" s="31"/>
      <c r="F68" s="31"/>
      <c r="G68" s="31"/>
      <c r="H68" s="31"/>
      <c r="I68" s="31"/>
      <c r="J68" s="31"/>
    </row>
    <row r="69" spans="2:10" ht="15" customHeight="1">
      <c r="B69" s="31"/>
      <c r="C69" s="31"/>
      <c r="D69" s="31"/>
      <c r="E69" s="31"/>
      <c r="F69" s="31"/>
      <c r="G69" s="31"/>
      <c r="H69" s="31"/>
      <c r="I69" s="31"/>
      <c r="J69" s="31"/>
    </row>
    <row r="70" spans="2:10" ht="15" customHeight="1">
      <c r="B70" s="31"/>
      <c r="C70" s="31"/>
      <c r="D70" s="31"/>
      <c r="E70" s="31"/>
      <c r="F70" s="31"/>
      <c r="G70" s="31"/>
      <c r="H70" s="31"/>
      <c r="I70" s="31"/>
      <c r="J70" s="31"/>
    </row>
    <row r="71" spans="2:10" ht="15" customHeight="1">
      <c r="B71" s="31"/>
      <c r="C71" s="31"/>
      <c r="D71" s="31"/>
      <c r="E71" s="31"/>
      <c r="F71" s="31"/>
      <c r="G71" s="31"/>
      <c r="H71" s="31"/>
      <c r="I71" s="31"/>
      <c r="J71" s="31"/>
    </row>
    <row r="72" spans="2:10" ht="15" customHeight="1">
      <c r="B72" s="31"/>
      <c r="C72" s="31"/>
      <c r="D72" s="31"/>
      <c r="E72" s="31"/>
      <c r="F72" s="31"/>
      <c r="G72" s="31"/>
      <c r="H72" s="31"/>
      <c r="I72" s="31"/>
      <c r="J72" s="31"/>
    </row>
    <row r="73" spans="2:10" ht="15" customHeight="1">
      <c r="B73" s="31"/>
      <c r="C73" s="31"/>
      <c r="D73" s="31"/>
      <c r="E73" s="31"/>
      <c r="F73" s="31"/>
      <c r="G73" s="31"/>
      <c r="H73" s="31"/>
      <c r="I73" s="31"/>
      <c r="J73" s="31"/>
    </row>
    <row r="74" spans="2:10" ht="15" customHeight="1">
      <c r="B74" s="31"/>
      <c r="C74" s="31"/>
      <c r="D74" s="31"/>
      <c r="E74" s="31"/>
      <c r="F74" s="31"/>
      <c r="G74" s="31"/>
      <c r="H74" s="31"/>
      <c r="I74" s="31"/>
      <c r="J74" s="31"/>
    </row>
    <row r="75" spans="2:10" ht="15" customHeight="1">
      <c r="B75" s="31"/>
      <c r="C75" s="31"/>
      <c r="D75" s="31"/>
      <c r="E75" s="31"/>
      <c r="F75" s="31"/>
      <c r="G75" s="31"/>
      <c r="H75" s="31"/>
      <c r="I75" s="31"/>
      <c r="J75" s="31"/>
    </row>
    <row r="76" spans="2:10" ht="15" customHeight="1">
      <c r="B76" s="31"/>
      <c r="C76" s="31"/>
      <c r="D76" s="31"/>
      <c r="E76" s="31"/>
      <c r="F76" s="31"/>
      <c r="G76" s="31"/>
      <c r="H76" s="31"/>
      <c r="I76" s="31"/>
      <c r="J76" s="31"/>
    </row>
    <row r="77" spans="2:10" ht="15" customHeight="1">
      <c r="B77" s="31"/>
      <c r="C77" s="31"/>
      <c r="D77" s="31"/>
      <c r="E77" s="31"/>
      <c r="F77" s="31"/>
      <c r="G77" s="31"/>
      <c r="H77" s="31"/>
      <c r="I77" s="31"/>
      <c r="J77" s="31"/>
    </row>
    <row r="78" spans="2:10" ht="15" customHeight="1">
      <c r="B78" s="31"/>
      <c r="C78" s="31"/>
      <c r="D78" s="31"/>
      <c r="E78" s="31"/>
      <c r="F78" s="31"/>
      <c r="G78" s="31"/>
      <c r="H78" s="31"/>
      <c r="I78" s="31"/>
      <c r="J78" s="31"/>
    </row>
    <row r="79" spans="2:10" ht="15" customHeight="1">
      <c r="B79" s="31"/>
      <c r="C79" s="31"/>
      <c r="D79" s="31"/>
      <c r="E79" s="31"/>
      <c r="F79" s="31"/>
      <c r="G79" s="31"/>
      <c r="H79" s="31"/>
      <c r="I79" s="31"/>
      <c r="J79" s="31"/>
    </row>
    <row r="80" spans="2:10" ht="15" customHeight="1">
      <c r="B80" s="31"/>
      <c r="C80" s="31"/>
      <c r="D80" s="31"/>
      <c r="E80" s="31"/>
      <c r="F80" s="31"/>
      <c r="G80" s="31"/>
      <c r="H80" s="31"/>
      <c r="I80" s="31"/>
      <c r="J80" s="31"/>
    </row>
    <row r="81" spans="2:10" ht="15" customHeight="1">
      <c r="B81" s="31"/>
      <c r="C81" s="31"/>
      <c r="D81" s="31"/>
      <c r="E81" s="31"/>
      <c r="F81" s="31"/>
      <c r="G81" s="31"/>
      <c r="H81" s="31"/>
      <c r="I81" s="31"/>
      <c r="J81" s="31"/>
    </row>
    <row r="82" spans="2:10" ht="15" customHeight="1">
      <c r="B82" s="31"/>
      <c r="C82" s="31"/>
      <c r="D82" s="31"/>
      <c r="E82" s="31"/>
      <c r="F82" s="31"/>
      <c r="G82" s="31"/>
      <c r="H82" s="31"/>
      <c r="I82" s="31"/>
      <c r="J82" s="31"/>
    </row>
    <row r="83" spans="2:10" ht="15" customHeight="1">
      <c r="B83" s="31"/>
      <c r="C83" s="31"/>
      <c r="D83" s="31"/>
      <c r="E83" s="31"/>
      <c r="F83" s="31"/>
      <c r="G83" s="31"/>
      <c r="H83" s="31"/>
      <c r="I83" s="31"/>
      <c r="J83" s="31"/>
    </row>
    <row r="84" spans="2:10" ht="15" customHeight="1">
      <c r="B84" s="31"/>
      <c r="C84" s="31"/>
      <c r="D84" s="31"/>
      <c r="E84" s="31"/>
      <c r="F84" s="31"/>
      <c r="G84" s="31"/>
      <c r="H84" s="31"/>
      <c r="I84" s="31"/>
      <c r="J84" s="31"/>
    </row>
    <row r="85" spans="2:10" ht="15" customHeight="1">
      <c r="B85" s="31"/>
      <c r="C85" s="31"/>
      <c r="D85" s="31"/>
      <c r="E85" s="31"/>
      <c r="F85" s="31"/>
      <c r="G85" s="31"/>
      <c r="H85" s="31"/>
      <c r="I85" s="31"/>
      <c r="J85" s="31"/>
    </row>
    <row r="86" spans="2:10" ht="15" customHeight="1">
      <c r="B86" s="31"/>
      <c r="C86" s="31"/>
      <c r="D86" s="31"/>
      <c r="E86" s="31"/>
      <c r="F86" s="31"/>
      <c r="G86" s="31"/>
      <c r="H86" s="31"/>
      <c r="I86" s="31"/>
      <c r="J86" s="31"/>
    </row>
    <row r="87" spans="2:10" ht="15" customHeight="1">
      <c r="B87" s="31"/>
      <c r="C87" s="31"/>
      <c r="D87" s="31"/>
      <c r="E87" s="31"/>
      <c r="F87" s="31"/>
      <c r="G87" s="31"/>
      <c r="H87" s="31"/>
      <c r="I87" s="31"/>
      <c r="J87" s="31"/>
    </row>
    <row r="88" spans="2:10" ht="15" customHeight="1">
      <c r="B88" s="31"/>
      <c r="C88" s="31"/>
      <c r="D88" s="31"/>
      <c r="E88" s="31"/>
      <c r="F88" s="31"/>
      <c r="G88" s="31"/>
      <c r="H88" s="31"/>
      <c r="I88" s="31"/>
      <c r="J88" s="31"/>
    </row>
    <row r="89" spans="2:10" ht="15" customHeight="1">
      <c r="B89" s="31"/>
      <c r="C89" s="31"/>
      <c r="D89" s="31"/>
      <c r="E89" s="31"/>
      <c r="F89" s="31"/>
      <c r="G89" s="31"/>
      <c r="H89" s="31"/>
      <c r="I89" s="31"/>
      <c r="J89" s="31"/>
    </row>
    <row r="90" spans="2:10" ht="15" customHeight="1">
      <c r="B90" s="31"/>
      <c r="C90" s="31"/>
      <c r="D90" s="31"/>
      <c r="E90" s="31"/>
      <c r="F90" s="31"/>
      <c r="G90" s="31"/>
      <c r="H90" s="31"/>
      <c r="I90" s="31"/>
      <c r="J90" s="31"/>
    </row>
    <row r="91" spans="2:10" ht="15" customHeight="1">
      <c r="B91" s="31"/>
      <c r="C91" s="31"/>
      <c r="D91" s="31"/>
      <c r="E91" s="31"/>
      <c r="F91" s="31"/>
      <c r="G91" s="31"/>
      <c r="H91" s="31"/>
      <c r="I91" s="31"/>
      <c r="J91" s="31"/>
    </row>
    <row r="92" spans="2:10" ht="15" customHeight="1">
      <c r="B92" s="31"/>
      <c r="C92" s="31"/>
      <c r="D92" s="31"/>
      <c r="E92" s="31"/>
      <c r="F92" s="31"/>
      <c r="G92" s="31"/>
      <c r="H92" s="31"/>
      <c r="I92" s="31"/>
      <c r="J92" s="31"/>
    </row>
    <row r="93" spans="2:10" ht="15" customHeight="1">
      <c r="B93" s="31"/>
      <c r="C93" s="31"/>
      <c r="D93" s="31"/>
      <c r="E93" s="31"/>
      <c r="F93" s="31"/>
      <c r="G93" s="31"/>
      <c r="H93" s="31"/>
      <c r="I93" s="31"/>
      <c r="J93" s="31"/>
    </row>
    <row r="94" spans="2:10" ht="15" customHeight="1">
      <c r="B94" s="31"/>
      <c r="C94" s="31"/>
      <c r="D94" s="31"/>
      <c r="E94" s="31"/>
      <c r="F94" s="31"/>
      <c r="G94" s="31"/>
      <c r="H94" s="31"/>
      <c r="I94" s="31"/>
      <c r="J94" s="31"/>
    </row>
    <row r="95" spans="2:10" ht="15" customHeight="1">
      <c r="B95" s="31"/>
      <c r="C95" s="31"/>
      <c r="D95" s="31"/>
      <c r="E95" s="31"/>
      <c r="F95" s="31"/>
      <c r="G95" s="31"/>
      <c r="H95" s="31"/>
      <c r="I95" s="31"/>
      <c r="J95" s="31"/>
    </row>
    <row r="96" spans="2:10" ht="15" customHeight="1">
      <c r="B96" s="31"/>
      <c r="C96" s="31"/>
      <c r="D96" s="31"/>
      <c r="E96" s="31"/>
      <c r="F96" s="31"/>
      <c r="G96" s="31"/>
      <c r="H96" s="31"/>
      <c r="I96" s="31"/>
      <c r="J96" s="31"/>
    </row>
    <row r="97" spans="2:10" ht="15" customHeight="1">
      <c r="B97" s="31"/>
      <c r="C97" s="31"/>
      <c r="D97" s="31"/>
      <c r="E97" s="31"/>
      <c r="F97" s="31"/>
      <c r="G97" s="31"/>
      <c r="H97" s="31"/>
      <c r="I97" s="31"/>
      <c r="J97" s="31"/>
    </row>
    <row r="98" spans="2:10" ht="15" customHeight="1">
      <c r="B98" s="31"/>
      <c r="C98" s="31"/>
      <c r="D98" s="31"/>
      <c r="E98" s="31"/>
      <c r="F98" s="31"/>
      <c r="G98" s="31"/>
      <c r="H98" s="31"/>
      <c r="I98" s="31"/>
      <c r="J98" s="31"/>
    </row>
    <row r="99" spans="2:10" ht="15" customHeight="1">
      <c r="B99" s="31"/>
      <c r="C99" s="31"/>
      <c r="D99" s="31"/>
      <c r="E99" s="31"/>
      <c r="F99" s="31"/>
      <c r="G99" s="31"/>
      <c r="H99" s="31"/>
      <c r="I99" s="31"/>
      <c r="J99" s="31"/>
    </row>
    <row r="100" spans="2:10" ht="15" customHeight="1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2:10" ht="15" customHeight="1">
      <c r="B101" s="31"/>
      <c r="C101" s="31"/>
      <c r="D101" s="31"/>
      <c r="E101" s="31"/>
      <c r="F101" s="31"/>
      <c r="G101" s="31"/>
      <c r="H101" s="31"/>
      <c r="I101" s="31"/>
      <c r="J101" s="31"/>
    </row>
  </sheetData>
  <mergeCells count="1">
    <mergeCell ref="H1:I1"/>
  </mergeCells>
  <conditionalFormatting sqref="B1">
    <cfRule type="cellIs" dxfId="80" priority="1" operator="equal">
      <formula>"Incomplete"</formula>
    </cfRule>
    <cfRule type="cellIs" dxfId="79" priority="2" operator="equal">
      <formula>"Flag for Review"</formula>
    </cfRule>
    <cfRule type="cellIs" dxfId="7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U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>
      <c r="A1" s="7">
        <v>5</v>
      </c>
      <c r="B1" s="27" t="s">
        <v>12</v>
      </c>
      <c r="C1" s="20"/>
      <c r="D1" s="20"/>
      <c r="E1" s="20"/>
      <c r="F1" s="20"/>
      <c r="G1" s="20"/>
      <c r="H1" s="854" t="s">
        <v>24</v>
      </c>
      <c r="I1" s="855"/>
      <c r="K1" s="1" t="s">
        <v>33</v>
      </c>
      <c r="L1" s="52" t="str">
        <f>VLOOKUP(A1,'Point Grid'!$L$8:$T$54,9,FALSE)</f>
        <v>Pricing - Chap 1: Introduction to Pricing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1"/>
      <c r="K3" s="48" t="s">
        <v>2</v>
      </c>
      <c r="L3" t="s">
        <v>62</v>
      </c>
      <c r="M3"/>
      <c r="N3" s="48"/>
      <c r="O3" s="56"/>
      <c r="P3"/>
      <c r="Q3"/>
      <c r="R3"/>
      <c r="S3"/>
      <c r="T3"/>
      <c r="U3"/>
    </row>
    <row r="4" spans="1:21">
      <c r="A4" s="9">
        <f>INDEX('Point Grid'!B:B,MATCH(A1,'Point Grid'!A:A,0))</f>
        <v>1</v>
      </c>
      <c r="B4" s="17" t="s">
        <v>48</v>
      </c>
      <c r="C4" s="17"/>
      <c r="D4" s="17"/>
      <c r="E4" s="17"/>
      <c r="F4" s="17"/>
      <c r="G4" s="17"/>
      <c r="H4" s="17"/>
      <c r="I4" s="18"/>
      <c r="J4" s="31"/>
      <c r="K4" s="48"/>
      <c r="L4" s="48" t="s">
        <v>34</v>
      </c>
      <c r="M4" t="s">
        <v>63</v>
      </c>
      <c r="N4"/>
      <c r="O4"/>
      <c r="P4" s="48" t="s">
        <v>36</v>
      </c>
      <c r="Q4" t="s">
        <v>64</v>
      </c>
      <c r="R4"/>
      <c r="S4"/>
      <c r="T4"/>
      <c r="U4"/>
    </row>
    <row r="5" spans="1:21">
      <c r="A5" s="16"/>
      <c r="B5" s="17"/>
      <c r="C5" s="17"/>
      <c r="D5" s="17"/>
      <c r="E5" s="17"/>
      <c r="F5" s="17"/>
      <c r="G5" s="17"/>
      <c r="H5" s="17"/>
      <c r="I5" s="18"/>
      <c r="J5" s="31"/>
      <c r="K5" s="48"/>
      <c r="L5" s="48" t="s">
        <v>34</v>
      </c>
      <c r="M5" s="49">
        <f>E18</f>
        <v>56</v>
      </c>
      <c r="N5"/>
      <c r="O5"/>
      <c r="P5" s="48" t="s">
        <v>36</v>
      </c>
      <c r="Q5" s="49">
        <f>E19</f>
        <v>100</v>
      </c>
      <c r="R5"/>
      <c r="S5"/>
      <c r="T5"/>
      <c r="U5"/>
    </row>
    <row r="6" spans="1:21">
      <c r="A6" s="25" t="s">
        <v>2</v>
      </c>
      <c r="B6" s="17" t="s">
        <v>61</v>
      </c>
      <c r="C6" s="17"/>
      <c r="D6" s="17"/>
      <c r="E6" s="17"/>
      <c r="F6" s="17"/>
      <c r="G6" s="17"/>
      <c r="H6" s="17"/>
      <c r="I6" s="18"/>
      <c r="J6" s="31"/>
      <c r="K6" s="48"/>
      <c r="L6" s="48" t="s">
        <v>34</v>
      </c>
      <c r="M6" s="69">
        <f>M5/Q5</f>
        <v>0.56000000000000005</v>
      </c>
      <c r="N6"/>
      <c r="O6"/>
      <c r="P6"/>
      <c r="Q6"/>
      <c r="R6"/>
      <c r="S6"/>
      <c r="T6"/>
      <c r="U6"/>
    </row>
    <row r="7" spans="1:21" ht="15.75" thickBot="1">
      <c r="A7" s="9">
        <f>INDEX('Point Grid'!$C$8:$I$54,MATCH($A$1,'Point Grid'!$A$8:$A$54,0),MATCH(A6,'Point Grid'!$C$7:$I$7,0))</f>
        <v>1</v>
      </c>
      <c r="B7" s="17"/>
      <c r="C7" s="17"/>
      <c r="D7" s="17"/>
      <c r="E7" s="17"/>
      <c r="F7" s="17"/>
      <c r="G7" s="17"/>
      <c r="H7" s="17"/>
      <c r="I7" s="18"/>
      <c r="J7" s="31"/>
      <c r="K7" s="48"/>
      <c r="L7"/>
      <c r="M7"/>
      <c r="N7"/>
      <c r="O7"/>
      <c r="P7"/>
      <c r="Q7"/>
      <c r="R7"/>
      <c r="S7"/>
      <c r="T7"/>
      <c r="U7"/>
    </row>
    <row r="8" spans="1:21" ht="15.75" thickBot="1">
      <c r="A8" s="5"/>
      <c r="B8" s="35" t="s">
        <v>37</v>
      </c>
      <c r="C8" s="74"/>
      <c r="D8" s="28"/>
      <c r="E8" s="28"/>
      <c r="F8" s="28"/>
      <c r="G8" s="28"/>
      <c r="H8" s="28"/>
      <c r="I8" s="18"/>
      <c r="J8" s="31"/>
      <c r="K8"/>
      <c r="L8"/>
      <c r="M8"/>
      <c r="N8"/>
      <c r="O8"/>
      <c r="P8"/>
      <c r="Q8"/>
      <c r="R8"/>
      <c r="S8"/>
      <c r="T8"/>
      <c r="U8"/>
    </row>
    <row r="9" spans="1:21">
      <c r="A9" s="25"/>
      <c r="B9" s="17"/>
      <c r="C9" s="17"/>
      <c r="D9" s="17"/>
      <c r="E9" s="17"/>
      <c r="F9" s="17"/>
      <c r="G9" s="17"/>
      <c r="H9" s="17"/>
      <c r="I9" s="18"/>
      <c r="J9" s="31"/>
      <c r="K9" s="48"/>
      <c r="L9"/>
      <c r="M9"/>
      <c r="N9"/>
      <c r="O9"/>
      <c r="P9"/>
      <c r="Q9"/>
      <c r="R9"/>
      <c r="S9"/>
    </row>
    <row r="10" spans="1:21">
      <c r="A10" s="25"/>
      <c r="B10" s="64" t="s">
        <v>49</v>
      </c>
      <c r="C10" s="36"/>
      <c r="D10" s="36"/>
      <c r="E10" s="45">
        <v>9</v>
      </c>
      <c r="F10" s="17"/>
      <c r="G10" s="17"/>
      <c r="H10" s="17"/>
      <c r="I10" s="18"/>
      <c r="J10" s="31"/>
      <c r="K10"/>
      <c r="L10" s="1"/>
      <c r="M10"/>
      <c r="N10"/>
      <c r="O10"/>
      <c r="P10"/>
      <c r="Q10"/>
      <c r="R10"/>
      <c r="S10"/>
      <c r="T10"/>
      <c r="U10"/>
    </row>
    <row r="11" spans="1:21">
      <c r="A11" s="25"/>
      <c r="B11" s="65" t="s">
        <v>50</v>
      </c>
      <c r="C11" s="26"/>
      <c r="D11" s="26"/>
      <c r="E11" s="46">
        <v>100</v>
      </c>
      <c r="F11" s="17"/>
      <c r="G11" s="17"/>
      <c r="H11" s="17"/>
      <c r="I11" s="18"/>
      <c r="J11" s="31"/>
      <c r="K11"/>
      <c r="L11"/>
      <c r="M11"/>
      <c r="N11"/>
      <c r="O11"/>
      <c r="P11"/>
      <c r="Q11"/>
      <c r="R11"/>
      <c r="S11"/>
      <c r="T11"/>
      <c r="U11"/>
    </row>
    <row r="12" spans="1:21">
      <c r="A12" s="25"/>
      <c r="B12" s="67" t="s">
        <v>51</v>
      </c>
      <c r="C12" s="68"/>
      <c r="D12" s="68"/>
      <c r="E12" s="70">
        <v>53100</v>
      </c>
      <c r="F12" s="17"/>
      <c r="G12" s="17"/>
      <c r="H12" s="17"/>
      <c r="I12" s="18"/>
      <c r="J12" s="31"/>
      <c r="K12"/>
      <c r="L12"/>
      <c r="M12"/>
      <c r="N12"/>
      <c r="O12"/>
      <c r="P12"/>
      <c r="Q12"/>
      <c r="R12"/>
      <c r="S12"/>
      <c r="T12"/>
      <c r="U12"/>
    </row>
    <row r="13" spans="1:21">
      <c r="A13" s="25"/>
      <c r="B13" s="65" t="s">
        <v>52</v>
      </c>
      <c r="C13" s="66"/>
      <c r="D13" s="66"/>
      <c r="E13" s="71">
        <v>73800</v>
      </c>
      <c r="F13" s="17"/>
      <c r="G13" s="17"/>
      <c r="H13" s="17"/>
      <c r="I13" s="18"/>
      <c r="J13" s="31"/>
      <c r="K13" s="48"/>
      <c r="L13"/>
      <c r="M13"/>
      <c r="N13"/>
      <c r="O13"/>
      <c r="P13"/>
      <c r="Q13"/>
      <c r="R13"/>
      <c r="S13"/>
      <c r="T13"/>
      <c r="U13"/>
    </row>
    <row r="14" spans="1:21">
      <c r="A14" s="25"/>
      <c r="B14" s="67" t="s">
        <v>53</v>
      </c>
      <c r="C14" s="68"/>
      <c r="D14" s="68"/>
      <c r="E14" s="70">
        <v>90000</v>
      </c>
      <c r="F14" s="17"/>
      <c r="G14" s="17"/>
      <c r="H14" s="17"/>
      <c r="I14" s="18"/>
      <c r="J14" s="31"/>
      <c r="K14"/>
      <c r="L14"/>
      <c r="M14"/>
      <c r="N14"/>
      <c r="O14"/>
      <c r="P14"/>
      <c r="Q14"/>
      <c r="R14"/>
      <c r="S14"/>
      <c r="T14"/>
      <c r="U14"/>
    </row>
    <row r="15" spans="1:21">
      <c r="A15" s="25"/>
      <c r="B15" s="65" t="s">
        <v>54</v>
      </c>
      <c r="C15" s="66"/>
      <c r="D15" s="66"/>
      <c r="E15" s="71">
        <v>14300</v>
      </c>
      <c r="F15" s="17"/>
      <c r="G15" s="17"/>
      <c r="H15" s="17"/>
      <c r="I15" s="18"/>
      <c r="J15" s="31"/>
      <c r="K15"/>
      <c r="L15"/>
      <c r="M15"/>
      <c r="N15"/>
      <c r="O15"/>
      <c r="P15"/>
      <c r="Q15"/>
      <c r="R15"/>
      <c r="S15"/>
      <c r="T15"/>
      <c r="U15"/>
    </row>
    <row r="16" spans="1:21">
      <c r="A16" s="25"/>
      <c r="B16" s="65" t="s">
        <v>55</v>
      </c>
      <c r="C16" s="66"/>
      <c r="D16" s="66"/>
      <c r="E16" s="71">
        <v>8100</v>
      </c>
      <c r="F16" s="17"/>
      <c r="G16" s="17"/>
      <c r="H16" s="17"/>
      <c r="I16" s="18"/>
      <c r="J16" s="31"/>
      <c r="K16" s="48"/>
      <c r="L16" s="1"/>
      <c r="M16"/>
      <c r="N16"/>
      <c r="O16"/>
      <c r="P16"/>
      <c r="Q16"/>
      <c r="R16"/>
      <c r="S16"/>
      <c r="T16"/>
      <c r="U16"/>
    </row>
    <row r="17" spans="1:21">
      <c r="A17" s="25"/>
      <c r="B17" s="67" t="s">
        <v>56</v>
      </c>
      <c r="C17" s="68"/>
      <c r="D17" s="68"/>
      <c r="E17" s="70">
        <v>2950</v>
      </c>
      <c r="F17" s="17"/>
      <c r="G17" s="17"/>
      <c r="H17" s="17"/>
      <c r="I17" s="18"/>
      <c r="J17" s="31"/>
      <c r="K17"/>
      <c r="L17"/>
      <c r="M17"/>
      <c r="N17"/>
      <c r="O17"/>
      <c r="P17"/>
      <c r="Q17"/>
      <c r="R17"/>
      <c r="S17"/>
      <c r="T17"/>
      <c r="U17"/>
    </row>
    <row r="18" spans="1:21" ht="15" customHeight="1">
      <c r="A18" s="25"/>
      <c r="B18" s="65" t="s">
        <v>57</v>
      </c>
      <c r="C18" s="26"/>
      <c r="D18" s="26"/>
      <c r="E18" s="46">
        <v>56</v>
      </c>
      <c r="F18" s="17"/>
      <c r="G18" s="17"/>
      <c r="H18" s="17"/>
      <c r="I18" s="18"/>
      <c r="J18" s="31"/>
      <c r="K18"/>
      <c r="L18"/>
      <c r="M18"/>
      <c r="N18"/>
      <c r="O18"/>
      <c r="P18"/>
      <c r="Q18"/>
      <c r="R18"/>
      <c r="S18"/>
      <c r="T18"/>
      <c r="U18"/>
    </row>
    <row r="19" spans="1:21" ht="15" customHeight="1">
      <c r="A19" s="25"/>
      <c r="B19" s="65" t="s">
        <v>58</v>
      </c>
      <c r="C19" s="26"/>
      <c r="D19" s="26"/>
      <c r="E19" s="46">
        <v>100</v>
      </c>
      <c r="F19" s="17"/>
      <c r="G19" s="17"/>
      <c r="H19" s="17"/>
      <c r="I19" s="18"/>
      <c r="J19" s="31"/>
      <c r="K19"/>
      <c r="L19"/>
      <c r="M19"/>
      <c r="N19"/>
      <c r="O19"/>
      <c r="P19"/>
      <c r="Q19"/>
      <c r="R19"/>
      <c r="S19"/>
      <c r="T19"/>
      <c r="U19"/>
    </row>
    <row r="20" spans="1:21" ht="15" customHeight="1">
      <c r="A20" s="25"/>
      <c r="B20" s="65" t="s">
        <v>59</v>
      </c>
      <c r="C20" s="26"/>
      <c r="D20" s="26"/>
      <c r="E20" s="46">
        <v>101</v>
      </c>
      <c r="F20" s="17"/>
      <c r="G20" s="17"/>
      <c r="H20" s="17"/>
      <c r="I20" s="18"/>
      <c r="J20" s="31"/>
      <c r="K20"/>
      <c r="L20"/>
      <c r="M20"/>
      <c r="N20"/>
      <c r="O20"/>
      <c r="P20"/>
      <c r="Q20"/>
      <c r="R20"/>
      <c r="S20"/>
      <c r="T20"/>
      <c r="U20"/>
    </row>
    <row r="21" spans="1:21" ht="15" customHeight="1">
      <c r="A21" s="25"/>
      <c r="B21" s="67" t="s">
        <v>60</v>
      </c>
      <c r="C21" s="44"/>
      <c r="D21" s="44"/>
      <c r="E21" s="47">
        <v>150</v>
      </c>
      <c r="F21" s="17"/>
      <c r="G21" s="17"/>
      <c r="H21" s="17"/>
      <c r="I21" s="18"/>
      <c r="J21" s="31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25"/>
      <c r="B22" s="17"/>
      <c r="C22" s="17"/>
      <c r="D22" s="17"/>
      <c r="E22" s="17"/>
      <c r="F22" s="17"/>
      <c r="G22" s="17"/>
      <c r="H22" s="17"/>
      <c r="I22" s="18"/>
      <c r="J22" s="31"/>
      <c r="K22"/>
      <c r="L22"/>
      <c r="M22"/>
      <c r="N22"/>
      <c r="O22"/>
      <c r="P22"/>
      <c r="Q22"/>
      <c r="R22"/>
      <c r="S22"/>
      <c r="T22"/>
      <c r="U22"/>
    </row>
    <row r="23" spans="1:21" ht="15" customHeight="1">
      <c r="A23" s="25"/>
      <c r="B23" s="17"/>
      <c r="C23" s="17"/>
      <c r="D23" s="17"/>
      <c r="E23" s="17"/>
      <c r="F23" s="17"/>
      <c r="G23" s="17"/>
      <c r="H23" s="17"/>
      <c r="I23" s="18"/>
      <c r="J23" s="31"/>
      <c r="K23"/>
      <c r="L23"/>
      <c r="M23"/>
      <c r="N23"/>
      <c r="O23"/>
      <c r="P23"/>
      <c r="Q23"/>
      <c r="R23"/>
      <c r="S23"/>
      <c r="T23"/>
      <c r="U23"/>
    </row>
    <row r="24" spans="1:21" ht="15" customHeight="1">
      <c r="A24" s="25"/>
      <c r="B24" s="17"/>
      <c r="C24" s="17"/>
      <c r="D24" s="17"/>
      <c r="E24" s="17"/>
      <c r="F24" s="17"/>
      <c r="G24" s="17"/>
      <c r="H24" s="17"/>
      <c r="I24" s="18"/>
      <c r="J24" s="31"/>
      <c r="K24"/>
      <c r="L24"/>
      <c r="M24"/>
      <c r="N24"/>
      <c r="O24"/>
      <c r="P24"/>
      <c r="Q24"/>
      <c r="R24"/>
      <c r="S24"/>
      <c r="T24"/>
      <c r="U24"/>
    </row>
    <row r="25" spans="1:21" ht="15" customHeight="1">
      <c r="A25" s="25"/>
      <c r="B25" s="17"/>
      <c r="C25" s="17"/>
      <c r="D25" s="17"/>
      <c r="E25" s="17"/>
      <c r="F25" s="17"/>
      <c r="G25" s="17"/>
      <c r="H25" s="17"/>
      <c r="I25" s="18"/>
      <c r="J25" s="31"/>
      <c r="K25"/>
      <c r="L25"/>
      <c r="M25"/>
      <c r="N25"/>
      <c r="O25"/>
      <c r="P25"/>
      <c r="Q25"/>
      <c r="R25"/>
      <c r="S25"/>
      <c r="T25"/>
      <c r="U25"/>
    </row>
    <row r="26" spans="1:21" ht="15" customHeight="1">
      <c r="A26" s="25"/>
      <c r="B26" s="17"/>
      <c r="C26" s="17"/>
      <c r="D26" s="17"/>
      <c r="E26" s="17"/>
      <c r="F26" s="17"/>
      <c r="G26" s="17"/>
      <c r="H26" s="17"/>
      <c r="I26" s="18"/>
      <c r="J26" s="31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25"/>
      <c r="B27" s="17"/>
      <c r="C27" s="17"/>
      <c r="D27" s="17"/>
      <c r="E27" s="17"/>
      <c r="F27" s="17"/>
      <c r="G27" s="17"/>
      <c r="H27" s="17"/>
      <c r="I27" s="18"/>
      <c r="J27" s="31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25"/>
      <c r="B28" s="17"/>
      <c r="C28" s="17"/>
      <c r="D28" s="17"/>
      <c r="E28" s="17"/>
      <c r="F28" s="17"/>
      <c r="G28" s="17"/>
      <c r="H28" s="17"/>
      <c r="I28" s="18"/>
      <c r="J28" s="31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22"/>
      <c r="B29" s="17"/>
      <c r="C29" s="17"/>
      <c r="D29" s="17"/>
      <c r="E29" s="17"/>
      <c r="F29" s="17"/>
      <c r="G29" s="17"/>
      <c r="H29" s="17"/>
      <c r="I29" s="18"/>
      <c r="J29" s="31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>
      <c r="A30" s="24"/>
      <c r="B30" s="32"/>
      <c r="C30" s="32"/>
      <c r="D30" s="32"/>
      <c r="E30" s="32"/>
      <c r="F30" s="32"/>
      <c r="G30" s="32"/>
      <c r="H30" s="32"/>
      <c r="I30" s="33"/>
      <c r="J30" s="31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B31" s="31"/>
      <c r="C31" s="31"/>
      <c r="D31" s="31"/>
      <c r="E31" s="31"/>
      <c r="F31" s="31"/>
      <c r="G31" s="31"/>
      <c r="H31" s="31"/>
      <c r="I31" s="31"/>
      <c r="J31" s="31"/>
      <c r="K31"/>
      <c r="L31"/>
      <c r="M31"/>
      <c r="N31"/>
      <c r="O31"/>
      <c r="P31"/>
      <c r="Q31"/>
      <c r="R31"/>
      <c r="S31"/>
      <c r="T31"/>
      <c r="U31"/>
    </row>
    <row r="32" spans="1:21" ht="15" customHeight="1">
      <c r="J32" s="31"/>
      <c r="K32"/>
      <c r="L32"/>
      <c r="M32"/>
      <c r="N32"/>
      <c r="O32"/>
      <c r="P32"/>
      <c r="Q32"/>
      <c r="R32"/>
      <c r="S32"/>
      <c r="T32"/>
      <c r="U32"/>
    </row>
    <row r="33" spans="2:21" ht="15" customHeight="1">
      <c r="J33" s="31"/>
      <c r="K33" s="48"/>
      <c r="L33" s="1"/>
      <c r="M33"/>
      <c r="N33"/>
      <c r="O33"/>
      <c r="P33"/>
      <c r="Q33"/>
      <c r="R33"/>
      <c r="S33"/>
      <c r="T33"/>
      <c r="U33"/>
    </row>
    <row r="34" spans="2:21" ht="15" customHeight="1">
      <c r="B34" s="21" t="s">
        <v>49</v>
      </c>
      <c r="C34" s="21">
        <v>9</v>
      </c>
      <c r="J34" s="31"/>
      <c r="K34"/>
      <c r="L34"/>
      <c r="M34"/>
      <c r="N34"/>
      <c r="O34"/>
      <c r="P34"/>
      <c r="Q34"/>
      <c r="R34"/>
      <c r="S34"/>
      <c r="T34"/>
      <c r="U34"/>
    </row>
    <row r="35" spans="2:21" ht="15" customHeight="1">
      <c r="B35" s="21" t="s">
        <v>50</v>
      </c>
      <c r="C35" s="21">
        <v>100</v>
      </c>
      <c r="J35" s="31"/>
      <c r="K35" s="48"/>
      <c r="L35"/>
      <c r="M35"/>
      <c r="N35"/>
      <c r="O35"/>
      <c r="P35"/>
      <c r="Q35"/>
      <c r="R35"/>
      <c r="S35"/>
      <c r="T35"/>
      <c r="U35"/>
    </row>
    <row r="36" spans="2:21" ht="15" customHeight="1">
      <c r="B36" s="21" t="s">
        <v>51</v>
      </c>
      <c r="C36" s="63">
        <v>53100</v>
      </c>
      <c r="J36" s="31"/>
      <c r="K36"/>
      <c r="L36"/>
      <c r="M36"/>
      <c r="N36"/>
      <c r="O36"/>
      <c r="P36"/>
      <c r="Q36"/>
      <c r="R36"/>
      <c r="S36"/>
      <c r="T36"/>
      <c r="U36"/>
    </row>
    <row r="37" spans="2:21" ht="15" customHeight="1">
      <c r="B37" s="21" t="s">
        <v>52</v>
      </c>
      <c r="C37" s="63">
        <v>73800</v>
      </c>
      <c r="J37" s="31"/>
      <c r="K37"/>
      <c r="L37"/>
      <c r="M37"/>
      <c r="N37"/>
      <c r="O37"/>
      <c r="P37"/>
      <c r="Q37"/>
      <c r="R37"/>
      <c r="S37"/>
      <c r="T37"/>
      <c r="U37"/>
    </row>
    <row r="38" spans="2:21" ht="15" customHeight="1">
      <c r="B38" s="21" t="s">
        <v>53</v>
      </c>
      <c r="C38" s="63">
        <v>90000</v>
      </c>
      <c r="J38" s="31"/>
      <c r="K38"/>
      <c r="L38"/>
      <c r="M38"/>
      <c r="N38"/>
      <c r="O38"/>
      <c r="P38"/>
      <c r="Q38"/>
      <c r="R38"/>
      <c r="S38"/>
      <c r="T38"/>
      <c r="U38"/>
    </row>
    <row r="39" spans="2:21" ht="15" customHeight="1">
      <c r="B39" s="21" t="s">
        <v>54</v>
      </c>
      <c r="C39" s="63">
        <v>14300</v>
      </c>
      <c r="J39" s="31"/>
      <c r="K39"/>
      <c r="L39"/>
      <c r="M39"/>
      <c r="N39"/>
      <c r="O39"/>
      <c r="P39"/>
      <c r="Q39"/>
      <c r="R39"/>
      <c r="S39"/>
      <c r="T39"/>
      <c r="U39"/>
    </row>
    <row r="40" spans="2:21" ht="15" customHeight="1">
      <c r="B40" s="21" t="s">
        <v>55</v>
      </c>
      <c r="C40" s="63">
        <v>8100</v>
      </c>
      <c r="J40" s="31"/>
      <c r="K40"/>
      <c r="L40"/>
      <c r="M40"/>
      <c r="N40"/>
      <c r="O40"/>
      <c r="P40"/>
      <c r="Q40"/>
      <c r="R40"/>
      <c r="S40"/>
      <c r="T40"/>
      <c r="U40"/>
    </row>
    <row r="41" spans="2:21" ht="15" customHeight="1">
      <c r="B41" s="21" t="s">
        <v>56</v>
      </c>
      <c r="C41" s="63">
        <v>2950</v>
      </c>
      <c r="J41" s="31"/>
      <c r="K41"/>
      <c r="L41"/>
      <c r="M41"/>
      <c r="N41"/>
      <c r="O41"/>
      <c r="P41"/>
      <c r="Q41"/>
      <c r="R41"/>
      <c r="S41"/>
      <c r="T41"/>
      <c r="U41"/>
    </row>
    <row r="42" spans="2:21" ht="15" customHeight="1">
      <c r="B42" s="21" t="s">
        <v>57</v>
      </c>
      <c r="C42" s="21">
        <v>56</v>
      </c>
      <c r="J42" s="31"/>
      <c r="K42"/>
      <c r="L42"/>
      <c r="M42"/>
      <c r="N42"/>
      <c r="O42"/>
      <c r="P42"/>
      <c r="Q42"/>
      <c r="R42"/>
      <c r="S42"/>
      <c r="T42"/>
      <c r="U42"/>
    </row>
    <row r="43" spans="2:21" ht="15" customHeight="1">
      <c r="B43" s="21" t="s">
        <v>58</v>
      </c>
      <c r="C43" s="21">
        <v>100</v>
      </c>
      <c r="J43" s="31"/>
      <c r="K43"/>
      <c r="L43"/>
      <c r="M43"/>
      <c r="N43"/>
      <c r="O43"/>
      <c r="P43"/>
      <c r="Q43"/>
      <c r="R43"/>
      <c r="S43"/>
      <c r="T43"/>
      <c r="U43"/>
    </row>
    <row r="44" spans="2:21" ht="15" customHeight="1">
      <c r="B44" s="21" t="s">
        <v>59</v>
      </c>
      <c r="C44" s="21">
        <v>101</v>
      </c>
      <c r="J44" s="31"/>
      <c r="K44"/>
      <c r="L44"/>
      <c r="M44"/>
      <c r="N44"/>
      <c r="O44"/>
      <c r="P44"/>
      <c r="Q44"/>
      <c r="R44"/>
      <c r="S44"/>
      <c r="T44"/>
      <c r="U44"/>
    </row>
    <row r="45" spans="2:21" ht="15" customHeight="1">
      <c r="B45" s="21" t="s">
        <v>60</v>
      </c>
      <c r="C45" s="21">
        <v>150</v>
      </c>
      <c r="J45" s="31"/>
      <c r="K45"/>
      <c r="L45"/>
      <c r="M45"/>
      <c r="N45"/>
      <c r="O45"/>
      <c r="P45"/>
      <c r="Q45"/>
      <c r="R45"/>
      <c r="S45"/>
      <c r="T45"/>
      <c r="U45"/>
    </row>
    <row r="46" spans="2:21" ht="15" customHeight="1">
      <c r="B46" s="31"/>
      <c r="C46" s="31"/>
      <c r="D46" s="31"/>
      <c r="E46" s="31"/>
      <c r="F46" s="31"/>
      <c r="G46" s="31"/>
      <c r="H46" s="31"/>
      <c r="I46" s="31"/>
      <c r="J46" s="31"/>
      <c r="K46"/>
      <c r="L46"/>
      <c r="M46"/>
      <c r="N46"/>
      <c r="O46"/>
      <c r="P46"/>
      <c r="Q46"/>
      <c r="R46"/>
      <c r="S46"/>
      <c r="T46"/>
      <c r="U46"/>
    </row>
    <row r="47" spans="2:21" ht="15" customHeight="1">
      <c r="B47" s="31"/>
      <c r="C47" s="31"/>
      <c r="D47" s="31"/>
      <c r="E47" s="31"/>
      <c r="F47" s="31"/>
      <c r="G47" s="31"/>
      <c r="H47" s="31"/>
      <c r="I47" s="31"/>
      <c r="J47" s="31"/>
      <c r="K47"/>
      <c r="L47"/>
      <c r="M47"/>
      <c r="N47"/>
      <c r="O47"/>
      <c r="P47"/>
      <c r="Q47"/>
      <c r="R47"/>
      <c r="S47"/>
      <c r="T47"/>
      <c r="U47"/>
    </row>
    <row r="48" spans="2:21" ht="15" customHeight="1">
      <c r="B48" s="31"/>
      <c r="C48" s="31"/>
      <c r="D48" s="31"/>
      <c r="E48" s="31"/>
      <c r="F48" s="31"/>
      <c r="G48" s="31"/>
      <c r="H48" s="31"/>
      <c r="I48" s="31"/>
      <c r="J48" s="31"/>
      <c r="K48"/>
      <c r="L48"/>
      <c r="M48"/>
      <c r="N48"/>
      <c r="O48"/>
      <c r="P48"/>
      <c r="Q48"/>
      <c r="R48"/>
      <c r="S48"/>
      <c r="T48"/>
      <c r="U48"/>
    </row>
    <row r="49" spans="2:21" ht="15" customHeight="1">
      <c r="B49" s="31"/>
      <c r="C49" s="31"/>
      <c r="D49" s="31"/>
      <c r="E49" s="31"/>
      <c r="F49" s="31"/>
      <c r="G49" s="31"/>
      <c r="H49" s="31"/>
      <c r="I49" s="31"/>
      <c r="J49" s="31"/>
      <c r="K49"/>
      <c r="L49"/>
      <c r="M49"/>
      <c r="N49"/>
      <c r="O49"/>
      <c r="P49"/>
      <c r="Q49"/>
      <c r="R49"/>
      <c r="S49"/>
      <c r="T49"/>
      <c r="U49"/>
    </row>
    <row r="50" spans="2:21" ht="15" customHeight="1">
      <c r="B50" s="31"/>
      <c r="C50" s="31"/>
      <c r="D50" s="31"/>
      <c r="E50" s="31"/>
      <c r="F50" s="31"/>
      <c r="G50" s="31"/>
      <c r="H50" s="31"/>
      <c r="I50" s="31"/>
      <c r="J50" s="31"/>
      <c r="K50"/>
      <c r="L50"/>
      <c r="M50"/>
      <c r="N50"/>
      <c r="O50"/>
      <c r="P50"/>
      <c r="Q50"/>
      <c r="R50"/>
      <c r="S50"/>
      <c r="T50"/>
      <c r="U50"/>
    </row>
    <row r="51" spans="2:21" ht="15" customHeight="1">
      <c r="B51" s="31"/>
      <c r="C51" s="31"/>
      <c r="D51" s="31"/>
      <c r="E51" s="31"/>
      <c r="F51" s="31"/>
      <c r="G51" s="31"/>
      <c r="H51" s="31"/>
      <c r="I51" s="31"/>
      <c r="J51" s="31"/>
    </row>
    <row r="52" spans="2:21" ht="15" customHeight="1">
      <c r="B52" s="31"/>
      <c r="C52" s="31"/>
      <c r="D52" s="31"/>
      <c r="E52" s="31"/>
      <c r="F52" s="31"/>
      <c r="G52" s="31"/>
      <c r="H52" s="31"/>
      <c r="I52" s="31"/>
      <c r="J52" s="31"/>
    </row>
    <row r="53" spans="2:21" ht="15" customHeight="1">
      <c r="B53" s="31"/>
      <c r="C53" s="31"/>
      <c r="D53" s="31"/>
      <c r="E53" s="31"/>
      <c r="F53" s="31"/>
      <c r="G53" s="31"/>
      <c r="H53" s="31"/>
      <c r="I53" s="31"/>
      <c r="J53" s="31"/>
    </row>
    <row r="54" spans="2:21" ht="15" customHeight="1">
      <c r="B54" s="31"/>
      <c r="C54" s="31"/>
      <c r="D54" s="31"/>
      <c r="E54" s="31"/>
      <c r="F54" s="31"/>
      <c r="G54" s="31"/>
      <c r="H54" s="31"/>
      <c r="I54" s="31"/>
      <c r="J54" s="31"/>
    </row>
    <row r="55" spans="2:21" ht="15" customHeight="1">
      <c r="B55" s="31"/>
      <c r="C55" s="31"/>
      <c r="D55" s="31"/>
      <c r="E55" s="31"/>
      <c r="F55" s="31"/>
      <c r="G55" s="31"/>
      <c r="H55" s="31"/>
      <c r="I55" s="31"/>
      <c r="J55" s="31"/>
    </row>
    <row r="56" spans="2:21" ht="15" customHeight="1">
      <c r="B56" s="31"/>
      <c r="C56" s="31"/>
      <c r="D56" s="31"/>
      <c r="E56" s="31"/>
      <c r="F56" s="31"/>
      <c r="G56" s="31"/>
      <c r="H56" s="31"/>
      <c r="I56" s="31"/>
      <c r="J56" s="31"/>
    </row>
    <row r="57" spans="2:21" ht="15" customHeight="1">
      <c r="B57" s="31"/>
      <c r="C57" s="31"/>
      <c r="D57" s="31"/>
      <c r="E57" s="31"/>
      <c r="F57" s="31"/>
      <c r="G57" s="31"/>
      <c r="H57" s="31"/>
      <c r="I57" s="31"/>
      <c r="J57" s="31"/>
    </row>
    <row r="58" spans="2:21" ht="15" customHeight="1">
      <c r="B58" s="31"/>
      <c r="C58" s="31"/>
      <c r="D58" s="31"/>
      <c r="E58" s="31"/>
      <c r="F58" s="31"/>
      <c r="G58" s="31"/>
      <c r="H58" s="31"/>
      <c r="I58" s="31"/>
      <c r="J58" s="31"/>
    </row>
    <row r="59" spans="2:21" ht="15" customHeight="1">
      <c r="B59" s="31"/>
      <c r="C59" s="31"/>
      <c r="D59" s="31"/>
      <c r="E59" s="31"/>
      <c r="F59" s="31"/>
      <c r="G59" s="31"/>
      <c r="H59" s="31"/>
      <c r="I59" s="31"/>
      <c r="J59" s="31"/>
    </row>
    <row r="60" spans="2:21" ht="15" customHeight="1">
      <c r="B60" s="31"/>
      <c r="C60" s="31"/>
      <c r="D60" s="31"/>
      <c r="E60" s="31"/>
      <c r="F60" s="31"/>
      <c r="G60" s="31"/>
      <c r="H60" s="31"/>
      <c r="I60" s="31"/>
      <c r="J60" s="31"/>
    </row>
    <row r="61" spans="2:21" ht="15" customHeight="1">
      <c r="B61" s="31"/>
      <c r="C61" s="31"/>
      <c r="D61" s="31"/>
      <c r="E61" s="31"/>
      <c r="F61" s="31"/>
      <c r="G61" s="31"/>
      <c r="H61" s="31"/>
      <c r="I61" s="31"/>
      <c r="J61" s="31"/>
    </row>
    <row r="62" spans="2:21" ht="15" customHeight="1">
      <c r="B62" s="31"/>
      <c r="C62" s="31"/>
      <c r="D62" s="31"/>
      <c r="E62" s="31"/>
      <c r="F62" s="31"/>
      <c r="G62" s="31"/>
      <c r="H62" s="31"/>
      <c r="I62" s="31"/>
      <c r="J62" s="31"/>
    </row>
    <row r="63" spans="2:21" ht="15" customHeight="1">
      <c r="B63" s="31"/>
      <c r="C63" s="31"/>
      <c r="D63" s="31"/>
      <c r="E63" s="31"/>
      <c r="F63" s="31"/>
      <c r="G63" s="31"/>
      <c r="H63" s="31"/>
      <c r="I63" s="31"/>
      <c r="J63" s="31"/>
    </row>
    <row r="64" spans="2:21" ht="15" customHeight="1">
      <c r="B64" s="31"/>
      <c r="C64" s="31"/>
      <c r="D64" s="31"/>
      <c r="E64" s="31"/>
      <c r="F64" s="31"/>
      <c r="G64" s="31"/>
      <c r="H64" s="31"/>
      <c r="I64" s="31"/>
      <c r="J64" s="31"/>
    </row>
    <row r="65" spans="2:10" ht="15" customHeight="1">
      <c r="B65" s="31"/>
      <c r="C65" s="31"/>
      <c r="D65" s="31"/>
      <c r="E65" s="31"/>
      <c r="F65" s="31"/>
      <c r="G65" s="31"/>
      <c r="H65" s="31"/>
      <c r="I65" s="31"/>
      <c r="J65" s="31"/>
    </row>
    <row r="66" spans="2:10" ht="15" customHeight="1">
      <c r="B66" s="31"/>
      <c r="C66" s="31"/>
      <c r="D66" s="31"/>
      <c r="E66" s="31"/>
      <c r="F66" s="31"/>
      <c r="G66" s="31"/>
      <c r="H66" s="31"/>
      <c r="I66" s="31"/>
      <c r="J66" s="31"/>
    </row>
    <row r="67" spans="2:10" ht="15" customHeight="1">
      <c r="B67" s="31"/>
      <c r="C67" s="31"/>
      <c r="D67" s="31"/>
      <c r="E67" s="31"/>
      <c r="F67" s="31"/>
      <c r="G67" s="31"/>
      <c r="H67" s="31"/>
      <c r="I67" s="31"/>
      <c r="J67" s="31"/>
    </row>
    <row r="68" spans="2:10" ht="15" customHeight="1">
      <c r="B68" s="31"/>
      <c r="C68" s="31"/>
      <c r="D68" s="31"/>
      <c r="E68" s="31"/>
      <c r="F68" s="31"/>
      <c r="G68" s="31"/>
      <c r="H68" s="31"/>
      <c r="I68" s="31"/>
      <c r="J68" s="31"/>
    </row>
    <row r="69" spans="2:10" ht="15" customHeight="1">
      <c r="B69" s="31"/>
      <c r="C69" s="31"/>
      <c r="D69" s="31"/>
      <c r="E69" s="31"/>
      <c r="F69" s="31"/>
      <c r="G69" s="31"/>
      <c r="H69" s="31"/>
      <c r="I69" s="31"/>
      <c r="J69" s="31"/>
    </row>
    <row r="70" spans="2:10" ht="15" customHeight="1">
      <c r="B70" s="31"/>
      <c r="C70" s="31"/>
      <c r="D70" s="31"/>
      <c r="E70" s="31"/>
      <c r="F70" s="31"/>
      <c r="G70" s="31"/>
      <c r="H70" s="31"/>
      <c r="I70" s="31"/>
      <c r="J70" s="31"/>
    </row>
    <row r="71" spans="2:10" ht="15" customHeight="1">
      <c r="B71" s="31"/>
      <c r="C71" s="31"/>
      <c r="D71" s="31"/>
      <c r="E71" s="31"/>
      <c r="F71" s="31"/>
      <c r="G71" s="31"/>
      <c r="H71" s="31"/>
      <c r="I71" s="31"/>
      <c r="J71" s="31"/>
    </row>
    <row r="72" spans="2:10" ht="15" customHeight="1">
      <c r="B72" s="31"/>
      <c r="C72" s="31"/>
      <c r="D72" s="31"/>
      <c r="E72" s="31"/>
      <c r="F72" s="31"/>
      <c r="G72" s="31"/>
      <c r="H72" s="31"/>
      <c r="I72" s="31"/>
      <c r="J72" s="31"/>
    </row>
    <row r="73" spans="2:10" ht="15" customHeight="1">
      <c r="B73" s="31"/>
      <c r="C73" s="31"/>
      <c r="D73" s="31"/>
      <c r="E73" s="31"/>
      <c r="F73" s="31"/>
      <c r="G73" s="31"/>
      <c r="H73" s="31"/>
      <c r="I73" s="31"/>
      <c r="J73" s="31"/>
    </row>
    <row r="74" spans="2:10" ht="15" customHeight="1">
      <c r="B74" s="31"/>
      <c r="C74" s="31"/>
      <c r="D74" s="31"/>
      <c r="E74" s="31"/>
      <c r="F74" s="31"/>
      <c r="G74" s="31"/>
      <c r="H74" s="31"/>
      <c r="I74" s="31"/>
      <c r="J74" s="31"/>
    </row>
    <row r="75" spans="2:10" ht="15" customHeight="1">
      <c r="B75" s="31"/>
      <c r="C75" s="31"/>
      <c r="D75" s="31"/>
      <c r="E75" s="31"/>
      <c r="F75" s="31"/>
      <c r="G75" s="31"/>
      <c r="H75" s="31"/>
      <c r="I75" s="31"/>
      <c r="J75" s="31"/>
    </row>
    <row r="76" spans="2:10" ht="15" customHeight="1">
      <c r="B76" s="31"/>
      <c r="C76" s="31"/>
      <c r="D76" s="31"/>
      <c r="E76" s="31"/>
      <c r="F76" s="31"/>
      <c r="G76" s="31"/>
      <c r="H76" s="31"/>
      <c r="I76" s="31"/>
      <c r="J76" s="31"/>
    </row>
    <row r="77" spans="2:10" ht="15" customHeight="1">
      <c r="B77" s="31"/>
      <c r="C77" s="31"/>
      <c r="D77" s="31"/>
      <c r="E77" s="31"/>
      <c r="F77" s="31"/>
      <c r="G77" s="31"/>
      <c r="H77" s="31"/>
      <c r="I77" s="31"/>
      <c r="J77" s="31"/>
    </row>
    <row r="78" spans="2:10" ht="15" customHeight="1">
      <c r="B78" s="31"/>
      <c r="C78" s="31"/>
      <c r="D78" s="31"/>
      <c r="E78" s="31"/>
      <c r="F78" s="31"/>
      <c r="G78" s="31"/>
      <c r="H78" s="31"/>
      <c r="I78" s="31"/>
      <c r="J78" s="31"/>
    </row>
    <row r="79" spans="2:10" ht="15" customHeight="1">
      <c r="B79" s="31"/>
      <c r="C79" s="31"/>
      <c r="D79" s="31"/>
      <c r="E79" s="31"/>
      <c r="F79" s="31"/>
      <c r="G79" s="31"/>
      <c r="H79" s="31"/>
      <c r="I79" s="31"/>
      <c r="J79" s="31"/>
    </row>
    <row r="80" spans="2:10" ht="15" customHeight="1">
      <c r="B80" s="31"/>
      <c r="C80" s="31"/>
      <c r="D80" s="31"/>
      <c r="E80" s="31"/>
      <c r="F80" s="31"/>
      <c r="G80" s="31"/>
      <c r="H80" s="31"/>
      <c r="I80" s="31"/>
      <c r="J80" s="31"/>
    </row>
    <row r="81" spans="2:10" ht="15" customHeight="1">
      <c r="B81" s="31"/>
      <c r="C81" s="31"/>
      <c r="D81" s="31"/>
      <c r="E81" s="31"/>
      <c r="F81" s="31"/>
      <c r="G81" s="31"/>
      <c r="H81" s="31"/>
      <c r="I81" s="31"/>
      <c r="J81" s="31"/>
    </row>
    <row r="82" spans="2:10" ht="15" customHeight="1">
      <c r="B82" s="31"/>
      <c r="C82" s="31"/>
      <c r="D82" s="31"/>
      <c r="E82" s="31"/>
      <c r="F82" s="31"/>
      <c r="G82" s="31"/>
      <c r="H82" s="31"/>
      <c r="I82" s="31"/>
      <c r="J82" s="31"/>
    </row>
    <row r="83" spans="2:10" ht="15" customHeight="1">
      <c r="B83" s="31"/>
      <c r="C83" s="31"/>
      <c r="D83" s="31"/>
      <c r="E83" s="31"/>
      <c r="F83" s="31"/>
      <c r="G83" s="31"/>
      <c r="H83" s="31"/>
      <c r="I83" s="31"/>
      <c r="J83" s="31"/>
    </row>
    <row r="84" spans="2:10" ht="15" customHeight="1">
      <c r="B84" s="31"/>
      <c r="C84" s="31"/>
      <c r="D84" s="31"/>
      <c r="E84" s="31"/>
      <c r="F84" s="31"/>
      <c r="G84" s="31"/>
      <c r="H84" s="31"/>
      <c r="I84" s="31"/>
      <c r="J84" s="31"/>
    </row>
    <row r="85" spans="2:10" ht="15" customHeight="1">
      <c r="B85" s="31"/>
      <c r="C85" s="31"/>
      <c r="D85" s="31"/>
      <c r="E85" s="31"/>
      <c r="F85" s="31"/>
      <c r="G85" s="31"/>
      <c r="H85" s="31"/>
      <c r="I85" s="31"/>
      <c r="J85" s="31"/>
    </row>
    <row r="86" spans="2:10" ht="15" customHeight="1">
      <c r="B86" s="31"/>
      <c r="C86" s="31"/>
      <c r="D86" s="31"/>
      <c r="E86" s="31"/>
      <c r="F86" s="31"/>
      <c r="G86" s="31"/>
      <c r="H86" s="31"/>
      <c r="I86" s="31"/>
      <c r="J86" s="31"/>
    </row>
    <row r="87" spans="2:10" ht="15" customHeight="1">
      <c r="B87" s="31"/>
      <c r="C87" s="31"/>
      <c r="D87" s="31"/>
      <c r="E87" s="31"/>
      <c r="F87" s="31"/>
      <c r="G87" s="31"/>
      <c r="H87" s="31"/>
      <c r="I87" s="31"/>
      <c r="J87" s="31"/>
    </row>
    <row r="88" spans="2:10" ht="15" customHeight="1">
      <c r="B88" s="31"/>
      <c r="C88" s="31"/>
      <c r="D88" s="31"/>
      <c r="E88" s="31"/>
      <c r="F88" s="31"/>
      <c r="G88" s="31"/>
      <c r="H88" s="31"/>
      <c r="I88" s="31"/>
      <c r="J88" s="31"/>
    </row>
    <row r="89" spans="2:10" ht="15" customHeight="1">
      <c r="B89" s="31"/>
      <c r="C89" s="31"/>
      <c r="D89" s="31"/>
      <c r="E89" s="31"/>
      <c r="F89" s="31"/>
      <c r="G89" s="31"/>
      <c r="H89" s="31"/>
      <c r="I89" s="31"/>
      <c r="J89" s="31"/>
    </row>
    <row r="90" spans="2:10" ht="15" customHeight="1">
      <c r="B90" s="31"/>
      <c r="C90" s="31"/>
      <c r="D90" s="31"/>
      <c r="E90" s="31"/>
      <c r="F90" s="31"/>
      <c r="G90" s="31"/>
      <c r="H90" s="31"/>
      <c r="I90" s="31"/>
      <c r="J90" s="31"/>
    </row>
    <row r="91" spans="2:10" ht="15" customHeight="1">
      <c r="B91" s="31"/>
      <c r="C91" s="31"/>
      <c r="D91" s="31"/>
      <c r="E91" s="31"/>
      <c r="F91" s="31"/>
      <c r="G91" s="31"/>
      <c r="H91" s="31"/>
      <c r="I91" s="31"/>
      <c r="J91" s="31"/>
    </row>
    <row r="92" spans="2:10" ht="15" customHeight="1">
      <c r="B92" s="31"/>
      <c r="C92" s="31"/>
      <c r="D92" s="31"/>
      <c r="E92" s="31"/>
      <c r="F92" s="31"/>
      <c r="G92" s="31"/>
      <c r="H92" s="31"/>
      <c r="I92" s="31"/>
      <c r="J92" s="31"/>
    </row>
    <row r="93" spans="2:10" ht="15" customHeight="1">
      <c r="B93" s="31"/>
      <c r="C93" s="31"/>
      <c r="D93" s="31"/>
      <c r="E93" s="31"/>
      <c r="F93" s="31"/>
      <c r="G93" s="31"/>
      <c r="H93" s="31"/>
      <c r="I93" s="31"/>
      <c r="J93" s="31"/>
    </row>
    <row r="94" spans="2:10" ht="15" customHeight="1">
      <c r="B94" s="31"/>
      <c r="C94" s="31"/>
      <c r="D94" s="31"/>
      <c r="E94" s="31"/>
      <c r="F94" s="31"/>
      <c r="G94" s="31"/>
      <c r="H94" s="31"/>
      <c r="I94" s="31"/>
      <c r="J94" s="31"/>
    </row>
    <row r="95" spans="2:10" ht="15" customHeight="1">
      <c r="B95" s="31"/>
      <c r="C95" s="31"/>
      <c r="D95" s="31"/>
      <c r="E95" s="31"/>
      <c r="F95" s="31"/>
      <c r="G95" s="31"/>
      <c r="H95" s="31"/>
      <c r="I95" s="31"/>
      <c r="J95" s="31"/>
    </row>
    <row r="96" spans="2:10" ht="15" customHeight="1">
      <c r="B96" s="31"/>
      <c r="C96" s="31"/>
      <c r="D96" s="31"/>
      <c r="E96" s="31"/>
      <c r="F96" s="31"/>
      <c r="G96" s="31"/>
      <c r="H96" s="31"/>
      <c r="I96" s="31"/>
      <c r="J96" s="31"/>
    </row>
    <row r="97" spans="2:10" ht="15" customHeight="1">
      <c r="B97" s="31"/>
      <c r="C97" s="31"/>
      <c r="D97" s="31"/>
      <c r="E97" s="31"/>
      <c r="F97" s="31"/>
      <c r="G97" s="31"/>
      <c r="H97" s="31"/>
      <c r="I97" s="31"/>
      <c r="J97" s="31"/>
    </row>
    <row r="98" spans="2:10" ht="15" customHeight="1">
      <c r="B98" s="31"/>
      <c r="C98" s="31"/>
      <c r="D98" s="31"/>
      <c r="E98" s="31"/>
      <c r="F98" s="31"/>
      <c r="G98" s="31"/>
      <c r="H98" s="31"/>
      <c r="I98" s="31"/>
      <c r="J98" s="31"/>
    </row>
    <row r="99" spans="2:10" ht="15" customHeight="1">
      <c r="B99" s="31"/>
      <c r="C99" s="31"/>
      <c r="D99" s="31"/>
      <c r="E99" s="31"/>
      <c r="F99" s="31"/>
      <c r="G99" s="31"/>
      <c r="H99" s="31"/>
      <c r="I99" s="31"/>
      <c r="J99" s="31"/>
    </row>
    <row r="100" spans="2:10" ht="15" customHeight="1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2:10" ht="15" customHeight="1">
      <c r="B101" s="31"/>
      <c r="C101" s="31"/>
      <c r="D101" s="31"/>
      <c r="E101" s="31"/>
      <c r="F101" s="31"/>
      <c r="G101" s="31"/>
      <c r="H101" s="31"/>
      <c r="I101" s="31"/>
      <c r="J101" s="31"/>
    </row>
  </sheetData>
  <mergeCells count="1">
    <mergeCell ref="H1:I1"/>
  </mergeCells>
  <conditionalFormatting sqref="B1">
    <cfRule type="cellIs" dxfId="77" priority="1" operator="equal">
      <formula>"Incomplete"</formula>
    </cfRule>
    <cfRule type="cellIs" dxfId="76" priority="2" operator="equal">
      <formula>"Flag for Review"</formula>
    </cfRule>
    <cfRule type="cellIs" dxfId="7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U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>
      <c r="A1" s="7">
        <v>6</v>
      </c>
      <c r="B1" s="27" t="s">
        <v>12</v>
      </c>
      <c r="C1" s="20"/>
      <c r="D1" s="20"/>
      <c r="E1" s="20"/>
      <c r="F1" s="20"/>
      <c r="G1" s="20"/>
      <c r="H1" s="854" t="s">
        <v>24</v>
      </c>
      <c r="I1" s="855"/>
      <c r="K1" s="1" t="s">
        <v>33</v>
      </c>
      <c r="L1" s="52" t="str">
        <f>VLOOKUP(A1,'Point Grid'!$L$8:$T$54,9,FALSE)</f>
        <v>Reserving  - Chap 2: The Claims Process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1"/>
      <c r="K3" s="48" t="s">
        <v>2</v>
      </c>
      <c r="L3" t="s">
        <v>68</v>
      </c>
      <c r="M3"/>
      <c r="N3"/>
      <c r="O3"/>
      <c r="P3"/>
      <c r="Q3"/>
      <c r="R3"/>
      <c r="S3"/>
      <c r="T3"/>
      <c r="U3"/>
    </row>
    <row r="4" spans="1:21">
      <c r="A4" s="9">
        <f>INDEX('Point Grid'!B:B,MATCH(A1,'Point Grid'!A:A,0))</f>
        <v>1</v>
      </c>
      <c r="B4" s="17" t="s">
        <v>48</v>
      </c>
      <c r="C4" s="17"/>
      <c r="D4" s="17"/>
      <c r="E4" s="17"/>
      <c r="F4" s="17"/>
      <c r="G4" s="17"/>
      <c r="H4" s="17"/>
      <c r="I4" s="18"/>
      <c r="J4" s="31"/>
      <c r="K4" s="48"/>
      <c r="L4" s="48" t="s">
        <v>34</v>
      </c>
      <c r="M4" t="s">
        <v>69</v>
      </c>
      <c r="N4"/>
      <c r="O4"/>
      <c r="P4"/>
      <c r="Q4" s="48" t="s">
        <v>35</v>
      </c>
      <c r="R4" t="s">
        <v>70</v>
      </c>
      <c r="S4"/>
      <c r="T4"/>
      <c r="U4"/>
    </row>
    <row r="5" spans="1:21">
      <c r="A5" s="16"/>
      <c r="B5" s="17"/>
      <c r="C5" s="17"/>
      <c r="D5" s="17"/>
      <c r="E5" s="17"/>
      <c r="F5" s="17"/>
      <c r="G5" s="17"/>
      <c r="H5" s="17"/>
      <c r="I5" s="18"/>
      <c r="J5" s="31"/>
      <c r="K5" s="48"/>
      <c r="L5" s="48" t="s">
        <v>34</v>
      </c>
      <c r="M5" s="51">
        <f>F11</f>
        <v>980</v>
      </c>
      <c r="N5"/>
      <c r="O5"/>
      <c r="P5"/>
      <c r="Q5" s="48" t="s">
        <v>35</v>
      </c>
      <c r="R5" s="49">
        <f>F10</f>
        <v>100</v>
      </c>
      <c r="S5"/>
      <c r="T5"/>
      <c r="U5"/>
    </row>
    <row r="6" spans="1:21">
      <c r="A6" s="25" t="s">
        <v>2</v>
      </c>
      <c r="B6" s="17" t="s">
        <v>67</v>
      </c>
      <c r="C6" s="17"/>
      <c r="D6" s="17"/>
      <c r="E6" s="17"/>
      <c r="F6" s="17"/>
      <c r="G6" s="17"/>
      <c r="H6" s="17"/>
      <c r="I6" s="18"/>
      <c r="J6" s="31"/>
      <c r="K6" s="48"/>
      <c r="L6" s="48" t="s">
        <v>34</v>
      </c>
      <c r="M6" s="72">
        <f>M5+R5</f>
        <v>1080</v>
      </c>
      <c r="N6"/>
      <c r="O6"/>
      <c r="P6"/>
      <c r="Q6"/>
      <c r="R6"/>
      <c r="S6"/>
      <c r="T6"/>
      <c r="U6"/>
    </row>
    <row r="7" spans="1:21" ht="15.75" thickBot="1">
      <c r="A7" s="9">
        <f>INDEX('Point Grid'!$C$8:$I$54,MATCH($A$1,'Point Grid'!$A$8:$A$54,0),MATCH(A6,'Point Grid'!$C$7:$I$7,0))</f>
        <v>1</v>
      </c>
      <c r="B7" s="17"/>
      <c r="C7" s="17"/>
      <c r="D7" s="17"/>
      <c r="E7" s="17"/>
      <c r="F7" s="17"/>
      <c r="G7" s="17"/>
      <c r="H7" s="17"/>
      <c r="I7" s="18"/>
      <c r="J7" s="31"/>
      <c r="K7" s="48"/>
      <c r="L7"/>
      <c r="M7"/>
      <c r="N7"/>
      <c r="O7"/>
      <c r="P7"/>
      <c r="Q7"/>
      <c r="R7"/>
      <c r="S7"/>
      <c r="T7"/>
      <c r="U7"/>
    </row>
    <row r="8" spans="1:21" ht="15.75" thickBot="1">
      <c r="A8" s="5"/>
      <c r="B8" s="35" t="s">
        <v>37</v>
      </c>
      <c r="C8" s="73"/>
      <c r="D8" s="28"/>
      <c r="E8" s="28"/>
      <c r="F8" s="28"/>
      <c r="G8" s="28"/>
      <c r="H8" s="28"/>
      <c r="I8" s="18"/>
      <c r="J8" s="31"/>
      <c r="K8"/>
      <c r="L8"/>
      <c r="M8"/>
      <c r="N8"/>
      <c r="O8"/>
      <c r="P8"/>
      <c r="Q8"/>
      <c r="R8"/>
      <c r="S8"/>
      <c r="T8"/>
      <c r="U8"/>
    </row>
    <row r="9" spans="1:21">
      <c r="A9" s="25"/>
      <c r="B9" s="17"/>
      <c r="C9" s="17"/>
      <c r="D9" s="17"/>
      <c r="E9" s="17"/>
      <c r="F9" s="17"/>
      <c r="G9" s="17"/>
      <c r="H9" s="17"/>
      <c r="I9" s="18"/>
      <c r="J9" s="31"/>
      <c r="K9" s="48"/>
      <c r="L9"/>
      <c r="M9"/>
      <c r="N9"/>
      <c r="O9"/>
      <c r="P9"/>
      <c r="Q9"/>
      <c r="R9"/>
      <c r="S9"/>
    </row>
    <row r="10" spans="1:21">
      <c r="A10" s="25"/>
      <c r="B10" s="64" t="s">
        <v>66</v>
      </c>
      <c r="C10" s="36"/>
      <c r="D10" s="36"/>
      <c r="E10" s="36"/>
      <c r="F10" s="45">
        <v>100</v>
      </c>
      <c r="G10" s="17"/>
      <c r="H10" s="17"/>
      <c r="I10" s="18"/>
      <c r="J10" s="31"/>
      <c r="K10"/>
      <c r="L10" s="1"/>
      <c r="M10"/>
      <c r="N10"/>
      <c r="O10"/>
      <c r="P10"/>
      <c r="Q10"/>
      <c r="R10"/>
      <c r="S10"/>
      <c r="T10"/>
      <c r="U10"/>
    </row>
    <row r="11" spans="1:21">
      <c r="A11" s="25"/>
      <c r="B11" s="67" t="s">
        <v>65</v>
      </c>
      <c r="C11" s="44"/>
      <c r="D11" s="44"/>
      <c r="E11" s="44"/>
      <c r="F11" s="70">
        <v>980</v>
      </c>
      <c r="G11" s="17"/>
      <c r="H11" s="17"/>
      <c r="I11" s="18"/>
      <c r="J11" s="31"/>
      <c r="K11"/>
      <c r="L11"/>
      <c r="M11"/>
      <c r="N11"/>
      <c r="O11"/>
      <c r="P11"/>
      <c r="Q11"/>
      <c r="R11"/>
      <c r="S11"/>
      <c r="T11"/>
      <c r="U11"/>
    </row>
    <row r="12" spans="1:21">
      <c r="A12" s="25"/>
      <c r="B12" s="17"/>
      <c r="C12" s="17"/>
      <c r="D12" s="17"/>
      <c r="E12" s="17"/>
      <c r="F12" s="17"/>
      <c r="G12" s="17"/>
      <c r="H12" s="17"/>
      <c r="I12" s="18"/>
      <c r="J12" s="31"/>
      <c r="K12"/>
      <c r="L12"/>
      <c r="M12"/>
      <c r="N12"/>
      <c r="O12"/>
      <c r="P12"/>
      <c r="Q12"/>
      <c r="R12"/>
      <c r="S12"/>
      <c r="T12"/>
      <c r="U12"/>
    </row>
    <row r="13" spans="1:21">
      <c r="A13" s="25"/>
      <c r="B13" s="17"/>
      <c r="C13" s="17"/>
      <c r="D13" s="17"/>
      <c r="E13" s="17"/>
      <c r="F13" s="17"/>
      <c r="G13" s="17"/>
      <c r="H13" s="17"/>
      <c r="I13" s="18"/>
      <c r="J13" s="31"/>
      <c r="K13" s="48"/>
      <c r="L13"/>
      <c r="M13"/>
      <c r="N13"/>
      <c r="O13"/>
      <c r="P13"/>
      <c r="Q13"/>
      <c r="R13"/>
      <c r="S13"/>
      <c r="T13"/>
      <c r="U13"/>
    </row>
    <row r="14" spans="1:21">
      <c r="A14" s="25"/>
      <c r="B14" s="17"/>
      <c r="C14" s="17"/>
      <c r="D14" s="17"/>
      <c r="E14" s="17"/>
      <c r="F14" s="17"/>
      <c r="G14" s="17"/>
      <c r="H14" s="17"/>
      <c r="I14" s="18"/>
      <c r="J14" s="31"/>
      <c r="K14"/>
      <c r="L14"/>
      <c r="M14"/>
      <c r="N14"/>
      <c r="O14"/>
      <c r="P14"/>
      <c r="Q14"/>
      <c r="R14"/>
      <c r="S14"/>
      <c r="T14"/>
      <c r="U14"/>
    </row>
    <row r="15" spans="1:21">
      <c r="A15" s="25"/>
      <c r="B15" s="17"/>
      <c r="C15" s="17"/>
      <c r="D15" s="17"/>
      <c r="E15" s="17"/>
      <c r="F15" s="17"/>
      <c r="G15" s="17"/>
      <c r="H15" s="17"/>
      <c r="I15" s="18"/>
      <c r="J15" s="31"/>
      <c r="K15"/>
      <c r="L15"/>
      <c r="M15"/>
      <c r="N15"/>
      <c r="O15"/>
      <c r="P15"/>
      <c r="Q15"/>
      <c r="R15"/>
      <c r="S15"/>
      <c r="T15"/>
      <c r="U15"/>
    </row>
    <row r="16" spans="1:21">
      <c r="A16" s="25"/>
      <c r="B16" s="17"/>
      <c r="C16" s="17"/>
      <c r="D16" s="17"/>
      <c r="E16" s="17"/>
      <c r="F16" s="17"/>
      <c r="G16" s="17"/>
      <c r="H16" s="17"/>
      <c r="I16" s="18"/>
      <c r="J16" s="31"/>
      <c r="K16" s="48"/>
      <c r="L16" s="1"/>
      <c r="M16"/>
      <c r="N16"/>
      <c r="O16"/>
      <c r="P16"/>
      <c r="Q16"/>
      <c r="R16"/>
      <c r="S16"/>
      <c r="T16"/>
      <c r="U16"/>
    </row>
    <row r="17" spans="1:21">
      <c r="A17" s="25"/>
      <c r="B17" s="17"/>
      <c r="C17" s="17"/>
      <c r="D17" s="17"/>
      <c r="E17" s="17"/>
      <c r="F17" s="17"/>
      <c r="G17" s="17"/>
      <c r="H17" s="17"/>
      <c r="I17" s="18"/>
      <c r="J17" s="31"/>
      <c r="K17"/>
      <c r="L17"/>
      <c r="M17"/>
      <c r="N17"/>
      <c r="O17"/>
      <c r="P17"/>
      <c r="Q17"/>
      <c r="R17"/>
      <c r="S17"/>
      <c r="T17"/>
      <c r="U17"/>
    </row>
    <row r="18" spans="1:21" ht="15" customHeight="1">
      <c r="A18" s="25"/>
      <c r="B18" s="17"/>
      <c r="C18" s="17"/>
      <c r="D18" s="17"/>
      <c r="E18" s="17"/>
      <c r="F18" s="17"/>
      <c r="G18" s="17"/>
      <c r="H18" s="17"/>
      <c r="I18" s="18"/>
      <c r="J18" s="31"/>
      <c r="K18"/>
      <c r="L18"/>
      <c r="M18"/>
      <c r="N18"/>
      <c r="O18"/>
      <c r="P18"/>
      <c r="Q18"/>
      <c r="R18"/>
      <c r="S18"/>
      <c r="T18"/>
      <c r="U18"/>
    </row>
    <row r="19" spans="1:21" ht="15" customHeight="1">
      <c r="A19" s="25"/>
      <c r="B19" s="17"/>
      <c r="C19" s="17"/>
      <c r="D19" s="17"/>
      <c r="E19" s="17"/>
      <c r="F19" s="17"/>
      <c r="G19" s="17"/>
      <c r="H19" s="17"/>
      <c r="I19" s="18"/>
      <c r="J19" s="31"/>
      <c r="K19"/>
      <c r="L19"/>
      <c r="M19"/>
      <c r="N19"/>
      <c r="O19"/>
      <c r="P19"/>
      <c r="Q19"/>
      <c r="R19"/>
      <c r="S19"/>
      <c r="T19"/>
      <c r="U19"/>
    </row>
    <row r="20" spans="1:21" ht="15" customHeight="1">
      <c r="A20" s="25"/>
      <c r="B20" s="17"/>
      <c r="C20" s="17"/>
      <c r="D20" s="17"/>
      <c r="E20" s="17"/>
      <c r="F20" s="17"/>
      <c r="G20" s="17"/>
      <c r="H20" s="17"/>
      <c r="I20" s="18"/>
      <c r="J20" s="31"/>
      <c r="K20"/>
      <c r="L20"/>
      <c r="M20"/>
      <c r="N20"/>
      <c r="O20"/>
      <c r="P20"/>
      <c r="Q20"/>
      <c r="R20"/>
      <c r="S20"/>
      <c r="T20"/>
      <c r="U20"/>
    </row>
    <row r="21" spans="1:21" ht="15" customHeight="1">
      <c r="A21" s="25"/>
      <c r="B21" s="17"/>
      <c r="C21" s="17"/>
      <c r="D21" s="17"/>
      <c r="E21" s="17"/>
      <c r="F21" s="17"/>
      <c r="G21" s="17"/>
      <c r="H21" s="17"/>
      <c r="I21" s="18"/>
      <c r="J21" s="31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25"/>
      <c r="B22" s="17"/>
      <c r="C22" s="17"/>
      <c r="D22" s="17"/>
      <c r="E22" s="17"/>
      <c r="F22" s="17"/>
      <c r="G22" s="17"/>
      <c r="H22" s="17"/>
      <c r="I22" s="18"/>
      <c r="J22" s="31"/>
      <c r="K22"/>
      <c r="L22"/>
      <c r="M22"/>
      <c r="N22"/>
      <c r="O22"/>
      <c r="P22"/>
      <c r="Q22"/>
      <c r="R22"/>
      <c r="S22"/>
      <c r="T22"/>
      <c r="U22"/>
    </row>
    <row r="23" spans="1:21" ht="15" customHeight="1">
      <c r="A23" s="25"/>
      <c r="B23" s="17"/>
      <c r="C23" s="17"/>
      <c r="D23" s="17"/>
      <c r="E23" s="17"/>
      <c r="F23" s="17"/>
      <c r="G23" s="17"/>
      <c r="H23" s="17"/>
      <c r="I23" s="18"/>
      <c r="J23" s="31"/>
      <c r="K23"/>
      <c r="L23"/>
      <c r="M23"/>
      <c r="N23"/>
      <c r="O23"/>
      <c r="P23"/>
      <c r="Q23"/>
      <c r="R23"/>
      <c r="S23"/>
      <c r="T23"/>
      <c r="U23"/>
    </row>
    <row r="24" spans="1:21" ht="15" customHeight="1">
      <c r="A24" s="25"/>
      <c r="B24" s="17"/>
      <c r="C24" s="17"/>
      <c r="D24" s="17"/>
      <c r="E24" s="17"/>
      <c r="F24" s="17"/>
      <c r="G24" s="17"/>
      <c r="H24" s="17"/>
      <c r="I24" s="18"/>
      <c r="J24" s="31"/>
      <c r="K24"/>
      <c r="L24"/>
      <c r="M24"/>
      <c r="N24"/>
      <c r="O24"/>
      <c r="P24"/>
      <c r="Q24"/>
      <c r="R24"/>
      <c r="S24"/>
      <c r="T24"/>
      <c r="U24"/>
    </row>
    <row r="25" spans="1:21" ht="15" customHeight="1">
      <c r="A25" s="25"/>
      <c r="B25" s="17"/>
      <c r="C25" s="17"/>
      <c r="D25" s="17"/>
      <c r="E25" s="17"/>
      <c r="F25" s="17"/>
      <c r="G25" s="17"/>
      <c r="H25" s="17"/>
      <c r="I25" s="18"/>
      <c r="J25" s="31"/>
      <c r="K25"/>
      <c r="L25"/>
      <c r="M25"/>
      <c r="N25"/>
      <c r="O25"/>
      <c r="P25"/>
      <c r="Q25"/>
      <c r="R25"/>
      <c r="S25"/>
      <c r="T25"/>
      <c r="U25"/>
    </row>
    <row r="26" spans="1:21" ht="15" customHeight="1">
      <c r="A26" s="25"/>
      <c r="B26" s="17"/>
      <c r="C26" s="17"/>
      <c r="D26" s="17"/>
      <c r="E26" s="17"/>
      <c r="F26" s="17"/>
      <c r="G26" s="17"/>
      <c r="H26" s="17"/>
      <c r="I26" s="18"/>
      <c r="J26" s="31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25"/>
      <c r="B27" s="17"/>
      <c r="C27" s="17"/>
      <c r="D27" s="17"/>
      <c r="E27" s="17"/>
      <c r="F27" s="17"/>
      <c r="G27" s="17"/>
      <c r="H27" s="17"/>
      <c r="I27" s="18"/>
      <c r="J27" s="31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25"/>
      <c r="B28" s="17"/>
      <c r="C28" s="17"/>
      <c r="D28" s="17"/>
      <c r="E28" s="17"/>
      <c r="F28" s="17"/>
      <c r="G28" s="17"/>
      <c r="H28" s="17"/>
      <c r="I28" s="18"/>
      <c r="J28" s="31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22"/>
      <c r="B29" s="17"/>
      <c r="C29" s="17"/>
      <c r="D29" s="17"/>
      <c r="E29" s="17"/>
      <c r="F29" s="17"/>
      <c r="G29" s="17"/>
      <c r="H29" s="17"/>
      <c r="I29" s="18"/>
      <c r="J29" s="31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>
      <c r="A30" s="24"/>
      <c r="B30" s="32"/>
      <c r="C30" s="32"/>
      <c r="D30" s="32"/>
      <c r="E30" s="32"/>
      <c r="F30" s="32"/>
      <c r="G30" s="32"/>
      <c r="H30" s="32"/>
      <c r="I30" s="33"/>
      <c r="J30" s="31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B31" s="31"/>
      <c r="C31" s="31"/>
      <c r="D31" s="31"/>
      <c r="E31" s="31"/>
      <c r="F31" s="31"/>
      <c r="G31" s="31"/>
      <c r="H31" s="31"/>
      <c r="I31" s="31"/>
      <c r="J31" s="31"/>
      <c r="K31"/>
      <c r="L31"/>
      <c r="M31"/>
      <c r="N31"/>
      <c r="O31"/>
      <c r="P31"/>
      <c r="Q31"/>
      <c r="R31"/>
      <c r="S31"/>
      <c r="T31"/>
      <c r="U31"/>
    </row>
    <row r="32" spans="1:21" ht="15" customHeight="1">
      <c r="J32" s="31"/>
      <c r="K32"/>
      <c r="L32"/>
      <c r="M32"/>
      <c r="N32"/>
      <c r="O32"/>
      <c r="P32"/>
      <c r="Q32"/>
      <c r="R32"/>
      <c r="S32"/>
      <c r="T32"/>
      <c r="U32"/>
    </row>
    <row r="33" spans="2:21" ht="15" customHeight="1">
      <c r="J33" s="31"/>
      <c r="K33" s="48"/>
      <c r="L33" s="1"/>
      <c r="M33"/>
      <c r="N33"/>
      <c r="O33"/>
      <c r="P33"/>
      <c r="Q33"/>
      <c r="R33"/>
      <c r="S33"/>
      <c r="T33"/>
      <c r="U33"/>
    </row>
    <row r="34" spans="2:21" ht="15" customHeight="1">
      <c r="J34" s="31"/>
      <c r="K34"/>
      <c r="L34"/>
      <c r="M34"/>
      <c r="N34"/>
      <c r="O34"/>
      <c r="P34"/>
      <c r="Q34"/>
      <c r="R34"/>
      <c r="S34"/>
      <c r="T34"/>
      <c r="U34"/>
    </row>
    <row r="35" spans="2:21" ht="15" customHeight="1">
      <c r="J35" s="31"/>
      <c r="K35" s="48"/>
      <c r="L35"/>
      <c r="M35"/>
      <c r="N35"/>
      <c r="O35"/>
      <c r="P35"/>
      <c r="Q35"/>
      <c r="R35"/>
      <c r="S35"/>
      <c r="T35"/>
      <c r="U35"/>
    </row>
    <row r="36" spans="2:21" ht="15" customHeight="1">
      <c r="J36" s="31"/>
      <c r="K36"/>
      <c r="L36"/>
      <c r="M36"/>
      <c r="N36"/>
      <c r="O36"/>
      <c r="P36"/>
      <c r="Q36"/>
      <c r="R36"/>
      <c r="S36"/>
      <c r="T36"/>
      <c r="U36"/>
    </row>
    <row r="37" spans="2:21" ht="15" customHeight="1">
      <c r="J37" s="31"/>
      <c r="K37"/>
      <c r="L37"/>
      <c r="M37"/>
      <c r="N37"/>
      <c r="O37"/>
      <c r="P37"/>
      <c r="Q37"/>
      <c r="R37"/>
      <c r="S37"/>
      <c r="T37"/>
      <c r="U37"/>
    </row>
    <row r="38" spans="2:21" ht="15" customHeight="1">
      <c r="J38" s="31"/>
      <c r="K38"/>
      <c r="L38"/>
      <c r="M38"/>
      <c r="N38"/>
      <c r="O38"/>
      <c r="P38"/>
      <c r="Q38"/>
      <c r="R38"/>
      <c r="S38"/>
      <c r="T38"/>
      <c r="U38"/>
    </row>
    <row r="39" spans="2:21" ht="15" customHeight="1">
      <c r="J39" s="31"/>
      <c r="K39"/>
      <c r="L39"/>
      <c r="M39"/>
      <c r="N39"/>
      <c r="O39"/>
      <c r="P39"/>
      <c r="Q39"/>
      <c r="R39"/>
      <c r="S39"/>
      <c r="T39"/>
      <c r="U39"/>
    </row>
    <row r="40" spans="2:21" ht="15" customHeight="1">
      <c r="J40" s="31"/>
      <c r="K40"/>
      <c r="L40"/>
      <c r="M40"/>
      <c r="N40"/>
      <c r="O40"/>
      <c r="P40"/>
      <c r="Q40"/>
      <c r="R40"/>
      <c r="S40"/>
      <c r="T40"/>
      <c r="U40"/>
    </row>
    <row r="41" spans="2:21" ht="15" customHeight="1">
      <c r="J41" s="31"/>
      <c r="K41"/>
      <c r="L41"/>
      <c r="M41"/>
      <c r="N41"/>
      <c r="O41"/>
      <c r="P41"/>
      <c r="Q41"/>
      <c r="R41"/>
      <c r="S41"/>
      <c r="T41"/>
      <c r="U41"/>
    </row>
    <row r="42" spans="2:21" ht="15" customHeight="1">
      <c r="J42" s="31"/>
      <c r="K42"/>
      <c r="L42"/>
      <c r="M42"/>
      <c r="N42"/>
      <c r="O42"/>
      <c r="P42"/>
      <c r="Q42"/>
      <c r="R42"/>
      <c r="S42"/>
      <c r="T42"/>
      <c r="U42"/>
    </row>
    <row r="43" spans="2:21" ht="15" customHeight="1">
      <c r="J43" s="31"/>
      <c r="K43"/>
      <c r="L43"/>
      <c r="M43"/>
      <c r="N43"/>
      <c r="O43"/>
      <c r="P43"/>
      <c r="Q43"/>
      <c r="R43"/>
      <c r="S43"/>
      <c r="T43"/>
      <c r="U43"/>
    </row>
    <row r="44" spans="2:21" ht="15" customHeight="1">
      <c r="J44" s="31"/>
      <c r="K44"/>
      <c r="L44"/>
      <c r="M44"/>
      <c r="N44"/>
      <c r="O44"/>
      <c r="P44"/>
      <c r="Q44"/>
      <c r="R44"/>
      <c r="S44"/>
      <c r="T44"/>
      <c r="U44"/>
    </row>
    <row r="45" spans="2:21" ht="15" customHeight="1">
      <c r="J45" s="31"/>
      <c r="K45"/>
      <c r="L45"/>
      <c r="M45"/>
      <c r="N45"/>
      <c r="O45"/>
      <c r="P45"/>
      <c r="Q45"/>
      <c r="R45"/>
      <c r="S45"/>
      <c r="T45"/>
      <c r="U45"/>
    </row>
    <row r="46" spans="2:21" ht="15" customHeight="1">
      <c r="B46" s="31"/>
      <c r="C46" s="31"/>
      <c r="D46" s="31"/>
      <c r="E46" s="31"/>
      <c r="F46" s="31"/>
      <c r="G46" s="31"/>
      <c r="H46" s="31"/>
      <c r="I46" s="31"/>
      <c r="J46" s="31"/>
      <c r="K46"/>
      <c r="L46"/>
      <c r="M46"/>
      <c r="N46"/>
      <c r="O46"/>
      <c r="P46"/>
      <c r="Q46"/>
      <c r="R46"/>
      <c r="S46"/>
      <c r="T46"/>
      <c r="U46"/>
    </row>
    <row r="47" spans="2:21" ht="15" customHeight="1">
      <c r="B47" s="31"/>
      <c r="C47" s="31"/>
      <c r="D47" s="31"/>
      <c r="E47" s="31"/>
      <c r="F47" s="31"/>
      <c r="G47" s="31"/>
      <c r="H47" s="31"/>
      <c r="I47" s="31"/>
      <c r="J47" s="31"/>
      <c r="K47"/>
      <c r="L47"/>
      <c r="M47"/>
      <c r="N47"/>
      <c r="O47"/>
      <c r="P47"/>
      <c r="Q47"/>
      <c r="R47"/>
      <c r="S47"/>
      <c r="T47"/>
      <c r="U47"/>
    </row>
    <row r="48" spans="2:21" ht="15" customHeight="1">
      <c r="B48" s="31"/>
      <c r="C48" s="31"/>
      <c r="D48" s="31"/>
      <c r="E48" s="31"/>
      <c r="F48" s="31"/>
      <c r="G48" s="31"/>
      <c r="H48" s="31"/>
      <c r="I48" s="31"/>
      <c r="J48" s="31"/>
      <c r="K48"/>
      <c r="L48"/>
      <c r="M48"/>
      <c r="N48"/>
      <c r="O48"/>
      <c r="P48"/>
      <c r="Q48"/>
      <c r="R48"/>
      <c r="S48"/>
      <c r="T48"/>
      <c r="U48"/>
    </row>
    <row r="49" spans="2:21" ht="15" customHeight="1">
      <c r="B49" s="31"/>
      <c r="C49" s="31"/>
      <c r="D49" s="31"/>
      <c r="E49" s="31"/>
      <c r="F49" s="31"/>
      <c r="G49" s="31"/>
      <c r="H49" s="31"/>
      <c r="I49" s="31"/>
      <c r="J49" s="31"/>
      <c r="K49"/>
      <c r="L49"/>
      <c r="M49"/>
      <c r="N49"/>
      <c r="O49"/>
      <c r="P49"/>
      <c r="Q49"/>
      <c r="R49"/>
      <c r="S49"/>
      <c r="T49"/>
      <c r="U49"/>
    </row>
    <row r="50" spans="2:21" ht="15" customHeight="1">
      <c r="B50" s="31"/>
      <c r="C50" s="31"/>
      <c r="D50" s="31"/>
      <c r="E50" s="31"/>
      <c r="F50" s="31"/>
      <c r="G50" s="31"/>
      <c r="H50" s="31"/>
      <c r="I50" s="31"/>
      <c r="J50" s="31"/>
      <c r="K50"/>
      <c r="L50"/>
      <c r="M50"/>
      <c r="N50"/>
      <c r="O50"/>
      <c r="P50"/>
      <c r="Q50"/>
      <c r="R50"/>
      <c r="S50"/>
      <c r="T50"/>
      <c r="U50"/>
    </row>
    <row r="51" spans="2:21" ht="15" customHeight="1">
      <c r="B51" s="31"/>
      <c r="C51" s="31"/>
      <c r="D51" s="31"/>
      <c r="E51" s="31"/>
      <c r="F51" s="31"/>
      <c r="G51" s="31"/>
      <c r="H51" s="31"/>
      <c r="I51" s="31"/>
      <c r="J51" s="31"/>
    </row>
    <row r="52" spans="2:21" ht="15" customHeight="1">
      <c r="B52" s="31"/>
      <c r="C52" s="31"/>
      <c r="D52" s="31"/>
      <c r="E52" s="31"/>
      <c r="F52" s="31"/>
      <c r="G52" s="31"/>
      <c r="H52" s="31"/>
      <c r="I52" s="31"/>
      <c r="J52" s="31"/>
    </row>
    <row r="53" spans="2:21" ht="15" customHeight="1">
      <c r="B53" s="31"/>
      <c r="C53" s="31"/>
      <c r="D53" s="31"/>
      <c r="E53" s="31"/>
      <c r="F53" s="31"/>
      <c r="G53" s="31"/>
      <c r="H53" s="31"/>
      <c r="I53" s="31"/>
      <c r="J53" s="31"/>
    </row>
    <row r="54" spans="2:21" ht="15" customHeight="1">
      <c r="B54" s="31"/>
      <c r="C54" s="31"/>
      <c r="D54" s="31"/>
      <c r="E54" s="31"/>
      <c r="F54" s="31"/>
      <c r="G54" s="31"/>
      <c r="H54" s="31"/>
      <c r="I54" s="31"/>
      <c r="J54" s="31"/>
    </row>
    <row r="55" spans="2:21" ht="15" customHeight="1">
      <c r="B55" s="31"/>
      <c r="C55" s="31"/>
      <c r="D55" s="31"/>
      <c r="E55" s="31"/>
      <c r="F55" s="31"/>
      <c r="G55" s="31"/>
      <c r="H55" s="31"/>
      <c r="I55" s="31"/>
      <c r="J55" s="31"/>
    </row>
    <row r="56" spans="2:21" ht="15" customHeight="1">
      <c r="B56" s="31"/>
      <c r="C56" s="31"/>
      <c r="D56" s="31"/>
      <c r="E56" s="31"/>
      <c r="F56" s="31"/>
      <c r="G56" s="31"/>
      <c r="H56" s="31"/>
      <c r="I56" s="31"/>
      <c r="J56" s="31"/>
    </row>
    <row r="57" spans="2:21" ht="15" customHeight="1">
      <c r="B57" s="31"/>
      <c r="C57" s="31"/>
      <c r="D57" s="31"/>
      <c r="E57" s="31"/>
      <c r="F57" s="31"/>
      <c r="G57" s="31"/>
      <c r="H57" s="31"/>
      <c r="I57" s="31"/>
      <c r="J57" s="31"/>
    </row>
    <row r="58" spans="2:21" ht="15" customHeight="1">
      <c r="B58" s="31"/>
      <c r="C58" s="31"/>
      <c r="D58" s="31"/>
      <c r="E58" s="31"/>
      <c r="F58" s="31"/>
      <c r="G58" s="31"/>
      <c r="H58" s="31"/>
      <c r="I58" s="31"/>
      <c r="J58" s="31"/>
    </row>
    <row r="59" spans="2:21" ht="15" customHeight="1">
      <c r="B59" s="31"/>
      <c r="C59" s="31"/>
      <c r="D59" s="31"/>
      <c r="E59" s="31"/>
      <c r="F59" s="31"/>
      <c r="G59" s="31"/>
      <c r="H59" s="31"/>
      <c r="I59" s="31"/>
      <c r="J59" s="31"/>
    </row>
    <row r="60" spans="2:21" ht="15" customHeight="1">
      <c r="B60" s="31"/>
      <c r="C60" s="31"/>
      <c r="D60" s="31"/>
      <c r="E60" s="31"/>
      <c r="F60" s="31"/>
      <c r="G60" s="31"/>
      <c r="H60" s="31"/>
      <c r="I60" s="31"/>
      <c r="J60" s="31"/>
    </row>
    <row r="61" spans="2:21" ht="15" customHeight="1">
      <c r="B61" s="31"/>
      <c r="C61" s="31"/>
      <c r="D61" s="31"/>
      <c r="E61" s="31"/>
      <c r="F61" s="31"/>
      <c r="G61" s="31"/>
      <c r="H61" s="31"/>
      <c r="I61" s="31"/>
      <c r="J61" s="31"/>
    </row>
    <row r="62" spans="2:21" ht="15" customHeight="1">
      <c r="B62" s="31"/>
      <c r="C62" s="31"/>
      <c r="D62" s="31"/>
      <c r="E62" s="31"/>
      <c r="F62" s="31"/>
      <c r="G62" s="31"/>
      <c r="H62" s="31"/>
      <c r="I62" s="31"/>
      <c r="J62" s="31"/>
    </row>
    <row r="63" spans="2:21" ht="15" customHeight="1">
      <c r="B63" s="31"/>
      <c r="C63" s="31"/>
      <c r="D63" s="31"/>
      <c r="E63" s="31"/>
      <c r="F63" s="31"/>
      <c r="G63" s="31"/>
      <c r="H63" s="31"/>
      <c r="I63" s="31"/>
      <c r="J63" s="31"/>
    </row>
    <row r="64" spans="2:21" ht="15" customHeight="1">
      <c r="B64" s="31"/>
      <c r="C64" s="31"/>
      <c r="D64" s="31"/>
      <c r="E64" s="31"/>
      <c r="F64" s="31"/>
      <c r="G64" s="31"/>
      <c r="H64" s="31"/>
      <c r="I64" s="31"/>
      <c r="J64" s="31"/>
    </row>
    <row r="65" spans="2:10" ht="15" customHeight="1">
      <c r="B65" s="31"/>
      <c r="C65" s="31"/>
      <c r="D65" s="31"/>
      <c r="E65" s="31"/>
      <c r="F65" s="31"/>
      <c r="G65" s="31"/>
      <c r="H65" s="31"/>
      <c r="I65" s="31"/>
      <c r="J65" s="31"/>
    </row>
    <row r="66" spans="2:10" ht="15" customHeight="1">
      <c r="B66" s="31"/>
      <c r="C66" s="31"/>
      <c r="D66" s="31"/>
      <c r="E66" s="31"/>
      <c r="F66" s="31"/>
      <c r="G66" s="31"/>
      <c r="H66" s="31"/>
      <c r="I66" s="31"/>
      <c r="J66" s="31"/>
    </row>
    <row r="67" spans="2:10" ht="15" customHeight="1">
      <c r="B67" s="31"/>
      <c r="C67" s="31"/>
      <c r="D67" s="31"/>
      <c r="E67" s="31"/>
      <c r="F67" s="31"/>
      <c r="G67" s="31"/>
      <c r="H67" s="31"/>
      <c r="I67" s="31"/>
      <c r="J67" s="31"/>
    </row>
    <row r="68" spans="2:10" ht="15" customHeight="1">
      <c r="B68" s="31"/>
      <c r="C68" s="31"/>
      <c r="D68" s="31"/>
      <c r="E68" s="31"/>
      <c r="F68" s="31"/>
      <c r="G68" s="31"/>
      <c r="H68" s="31"/>
      <c r="I68" s="31"/>
      <c r="J68" s="31"/>
    </row>
    <row r="69" spans="2:10" ht="15" customHeight="1">
      <c r="B69" s="31"/>
      <c r="C69" s="31"/>
      <c r="D69" s="31"/>
      <c r="E69" s="31"/>
      <c r="F69" s="31"/>
      <c r="G69" s="31"/>
      <c r="H69" s="31"/>
      <c r="I69" s="31"/>
      <c r="J69" s="31"/>
    </row>
    <row r="70" spans="2:10" ht="15" customHeight="1">
      <c r="B70" s="31"/>
      <c r="C70" s="31"/>
      <c r="D70" s="31"/>
      <c r="E70" s="31"/>
      <c r="F70" s="31"/>
      <c r="G70" s="31"/>
      <c r="H70" s="31"/>
      <c r="I70" s="31"/>
      <c r="J70" s="31"/>
    </row>
    <row r="71" spans="2:10" ht="15" customHeight="1">
      <c r="B71" s="31"/>
      <c r="C71" s="31"/>
      <c r="D71" s="31"/>
      <c r="E71" s="31"/>
      <c r="F71" s="31"/>
      <c r="G71" s="31"/>
      <c r="H71" s="31"/>
      <c r="I71" s="31"/>
      <c r="J71" s="31"/>
    </row>
    <row r="72" spans="2:10" ht="15" customHeight="1">
      <c r="B72" s="31"/>
      <c r="C72" s="31"/>
      <c r="D72" s="31"/>
      <c r="E72" s="31"/>
      <c r="F72" s="31"/>
      <c r="G72" s="31"/>
      <c r="H72" s="31"/>
      <c r="I72" s="31"/>
      <c r="J72" s="31"/>
    </row>
    <row r="73" spans="2:10" ht="15" customHeight="1">
      <c r="B73" s="31"/>
      <c r="C73" s="31"/>
      <c r="D73" s="31"/>
      <c r="E73" s="31"/>
      <c r="F73" s="31"/>
      <c r="G73" s="31"/>
      <c r="H73" s="31"/>
      <c r="I73" s="31"/>
      <c r="J73" s="31"/>
    </row>
    <row r="74" spans="2:10" ht="15" customHeight="1">
      <c r="B74" s="31"/>
      <c r="C74" s="31"/>
      <c r="D74" s="31"/>
      <c r="E74" s="31"/>
      <c r="F74" s="31"/>
      <c r="G74" s="31"/>
      <c r="H74" s="31"/>
      <c r="I74" s="31"/>
      <c r="J74" s="31"/>
    </row>
    <row r="75" spans="2:10" ht="15" customHeight="1">
      <c r="B75" s="31"/>
      <c r="C75" s="31"/>
      <c r="D75" s="31"/>
      <c r="E75" s="31"/>
      <c r="F75" s="31"/>
      <c r="G75" s="31"/>
      <c r="H75" s="31"/>
      <c r="I75" s="31"/>
      <c r="J75" s="31"/>
    </row>
    <row r="76" spans="2:10" ht="15" customHeight="1">
      <c r="B76" s="31"/>
      <c r="C76" s="31"/>
      <c r="D76" s="31"/>
      <c r="E76" s="31"/>
      <c r="F76" s="31"/>
      <c r="G76" s="31"/>
      <c r="H76" s="31"/>
      <c r="I76" s="31"/>
      <c r="J76" s="31"/>
    </row>
    <row r="77" spans="2:10" ht="15" customHeight="1">
      <c r="B77" s="31"/>
      <c r="C77" s="31"/>
      <c r="D77" s="31"/>
      <c r="E77" s="31"/>
      <c r="F77" s="31"/>
      <c r="G77" s="31"/>
      <c r="H77" s="31"/>
      <c r="I77" s="31"/>
      <c r="J77" s="31"/>
    </row>
    <row r="78" spans="2:10" ht="15" customHeight="1">
      <c r="B78" s="31"/>
      <c r="C78" s="31"/>
      <c r="D78" s="31"/>
      <c r="E78" s="31"/>
      <c r="F78" s="31"/>
      <c r="G78" s="31"/>
      <c r="H78" s="31"/>
      <c r="I78" s="31"/>
      <c r="J78" s="31"/>
    </row>
    <row r="79" spans="2:10" ht="15" customHeight="1">
      <c r="B79" s="31"/>
      <c r="C79" s="31"/>
      <c r="D79" s="31"/>
      <c r="E79" s="31"/>
      <c r="F79" s="31"/>
      <c r="G79" s="31"/>
      <c r="H79" s="31"/>
      <c r="I79" s="31"/>
      <c r="J79" s="31"/>
    </row>
    <row r="80" spans="2:10" ht="15" customHeight="1">
      <c r="B80" s="31"/>
      <c r="C80" s="31"/>
      <c r="D80" s="31"/>
      <c r="E80" s="31"/>
      <c r="F80" s="31"/>
      <c r="G80" s="31"/>
      <c r="H80" s="31"/>
      <c r="I80" s="31"/>
      <c r="J80" s="31"/>
    </row>
    <row r="81" spans="2:10" ht="15" customHeight="1">
      <c r="B81" s="31"/>
      <c r="C81" s="31"/>
      <c r="D81" s="31"/>
      <c r="E81" s="31"/>
      <c r="F81" s="31"/>
      <c r="G81" s="31"/>
      <c r="H81" s="31"/>
      <c r="I81" s="31"/>
      <c r="J81" s="31"/>
    </row>
    <row r="82" spans="2:10" ht="15" customHeight="1">
      <c r="B82" s="31"/>
      <c r="C82" s="31"/>
      <c r="D82" s="31"/>
      <c r="E82" s="31"/>
      <c r="F82" s="31"/>
      <c r="G82" s="31"/>
      <c r="H82" s="31"/>
      <c r="I82" s="31"/>
      <c r="J82" s="31"/>
    </row>
    <row r="83" spans="2:10" ht="15" customHeight="1">
      <c r="B83" s="31"/>
      <c r="C83" s="31"/>
      <c r="D83" s="31"/>
      <c r="E83" s="31"/>
      <c r="F83" s="31"/>
      <c r="G83" s="31"/>
      <c r="H83" s="31"/>
      <c r="I83" s="31"/>
      <c r="J83" s="31"/>
    </row>
    <row r="84" spans="2:10" ht="15" customHeight="1">
      <c r="B84" s="31"/>
      <c r="C84" s="31"/>
      <c r="D84" s="31"/>
      <c r="E84" s="31"/>
      <c r="F84" s="31"/>
      <c r="G84" s="31"/>
      <c r="H84" s="31"/>
      <c r="I84" s="31"/>
      <c r="J84" s="31"/>
    </row>
    <row r="85" spans="2:10" ht="15" customHeight="1">
      <c r="B85" s="31"/>
      <c r="C85" s="31"/>
      <c r="D85" s="31"/>
      <c r="E85" s="31"/>
      <c r="F85" s="31"/>
      <c r="G85" s="31"/>
      <c r="H85" s="31"/>
      <c r="I85" s="31"/>
      <c r="J85" s="31"/>
    </row>
    <row r="86" spans="2:10" ht="15" customHeight="1">
      <c r="B86" s="31"/>
      <c r="C86" s="31"/>
      <c r="D86" s="31"/>
      <c r="E86" s="31"/>
      <c r="F86" s="31"/>
      <c r="G86" s="31"/>
      <c r="H86" s="31"/>
      <c r="I86" s="31"/>
      <c r="J86" s="31"/>
    </row>
    <row r="87" spans="2:10" ht="15" customHeight="1">
      <c r="B87" s="31"/>
      <c r="C87" s="31"/>
      <c r="D87" s="31"/>
      <c r="E87" s="31"/>
      <c r="F87" s="31"/>
      <c r="G87" s="31"/>
      <c r="H87" s="31"/>
      <c r="I87" s="31"/>
      <c r="J87" s="31"/>
    </row>
    <row r="88" spans="2:10" ht="15" customHeight="1">
      <c r="B88" s="31"/>
      <c r="C88" s="31"/>
      <c r="D88" s="31"/>
      <c r="E88" s="31"/>
      <c r="F88" s="31"/>
      <c r="G88" s="31"/>
      <c r="H88" s="31"/>
      <c r="I88" s="31"/>
      <c r="J88" s="31"/>
    </row>
    <row r="89" spans="2:10" ht="15" customHeight="1">
      <c r="B89" s="31"/>
      <c r="C89" s="31"/>
      <c r="D89" s="31"/>
      <c r="E89" s="31"/>
      <c r="F89" s="31"/>
      <c r="G89" s="31"/>
      <c r="H89" s="31"/>
      <c r="I89" s="31"/>
      <c r="J89" s="31"/>
    </row>
    <row r="90" spans="2:10" ht="15" customHeight="1">
      <c r="B90" s="31"/>
      <c r="C90" s="31"/>
      <c r="D90" s="31"/>
      <c r="E90" s="31"/>
      <c r="F90" s="31"/>
      <c r="G90" s="31"/>
      <c r="H90" s="31"/>
      <c r="I90" s="31"/>
      <c r="J90" s="31"/>
    </row>
    <row r="91" spans="2:10" ht="15" customHeight="1">
      <c r="B91" s="31"/>
      <c r="C91" s="31"/>
      <c r="D91" s="31"/>
      <c r="E91" s="31"/>
      <c r="F91" s="31"/>
      <c r="G91" s="31"/>
      <c r="H91" s="31"/>
      <c r="I91" s="31"/>
      <c r="J91" s="31"/>
    </row>
    <row r="92" spans="2:10" ht="15" customHeight="1">
      <c r="B92" s="31"/>
      <c r="C92" s="31"/>
      <c r="D92" s="31"/>
      <c r="E92" s="31"/>
      <c r="F92" s="31"/>
      <c r="G92" s="31"/>
      <c r="H92" s="31"/>
      <c r="I92" s="31"/>
      <c r="J92" s="31"/>
    </row>
    <row r="93" spans="2:10" ht="15" customHeight="1">
      <c r="B93" s="31"/>
      <c r="C93" s="31"/>
      <c r="D93" s="31"/>
      <c r="E93" s="31"/>
      <c r="F93" s="31"/>
      <c r="G93" s="31"/>
      <c r="H93" s="31"/>
      <c r="I93" s="31"/>
      <c r="J93" s="31"/>
    </row>
    <row r="94" spans="2:10" ht="15" customHeight="1">
      <c r="B94" s="31"/>
      <c r="C94" s="31"/>
      <c r="D94" s="31"/>
      <c r="E94" s="31"/>
      <c r="F94" s="31"/>
      <c r="G94" s="31"/>
      <c r="H94" s="31"/>
      <c r="I94" s="31"/>
      <c r="J94" s="31"/>
    </row>
    <row r="95" spans="2:10" ht="15" customHeight="1">
      <c r="B95" s="31"/>
      <c r="C95" s="31"/>
      <c r="D95" s="31"/>
      <c r="E95" s="31"/>
      <c r="F95" s="31"/>
      <c r="G95" s="31"/>
      <c r="H95" s="31"/>
      <c r="I95" s="31"/>
      <c r="J95" s="31"/>
    </row>
    <row r="96" spans="2:10" ht="15" customHeight="1">
      <c r="B96" s="31"/>
      <c r="C96" s="31"/>
      <c r="D96" s="31"/>
      <c r="E96" s="31"/>
      <c r="F96" s="31"/>
      <c r="G96" s="31"/>
      <c r="H96" s="31"/>
      <c r="I96" s="31"/>
      <c r="J96" s="31"/>
    </row>
    <row r="97" spans="2:10" ht="15" customHeight="1">
      <c r="B97" s="31"/>
      <c r="C97" s="31"/>
      <c r="D97" s="31"/>
      <c r="E97" s="31"/>
      <c r="F97" s="31"/>
      <c r="G97" s="31"/>
      <c r="H97" s="31"/>
      <c r="I97" s="31"/>
      <c r="J97" s="31"/>
    </row>
    <row r="98" spans="2:10" ht="15" customHeight="1">
      <c r="B98" s="31"/>
      <c r="C98" s="31"/>
      <c r="D98" s="31"/>
      <c r="E98" s="31"/>
      <c r="F98" s="31"/>
      <c r="G98" s="31"/>
      <c r="H98" s="31"/>
      <c r="I98" s="31"/>
      <c r="J98" s="31"/>
    </row>
    <row r="99" spans="2:10" ht="15" customHeight="1">
      <c r="B99" s="31"/>
      <c r="C99" s="31"/>
      <c r="D99" s="31"/>
      <c r="E99" s="31"/>
      <c r="F99" s="31"/>
      <c r="G99" s="31"/>
      <c r="H99" s="31"/>
      <c r="I99" s="31"/>
      <c r="J99" s="31"/>
    </row>
    <row r="100" spans="2:10" ht="15" customHeight="1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2:10" ht="15" customHeight="1">
      <c r="B101" s="31"/>
      <c r="C101" s="31"/>
      <c r="D101" s="31"/>
      <c r="E101" s="31"/>
      <c r="F101" s="31"/>
      <c r="G101" s="31"/>
      <c r="H101" s="31"/>
      <c r="I101" s="31"/>
      <c r="J101" s="31"/>
    </row>
  </sheetData>
  <mergeCells count="1">
    <mergeCell ref="H1:I1"/>
  </mergeCells>
  <conditionalFormatting sqref="B1">
    <cfRule type="cellIs" dxfId="74" priority="1" operator="equal">
      <formula>"Incomplete"</formula>
    </cfRule>
    <cfRule type="cellIs" dxfId="73" priority="2" operator="equal">
      <formula>"Flag for Review"</formula>
    </cfRule>
    <cfRule type="cellIs" dxfId="7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U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>
      <c r="A1" s="7">
        <v>7</v>
      </c>
      <c r="B1" s="27" t="s">
        <v>12</v>
      </c>
      <c r="C1" s="20"/>
      <c r="D1" s="20"/>
      <c r="E1" s="20"/>
      <c r="F1" s="20"/>
      <c r="G1" s="20"/>
      <c r="H1" s="854" t="s">
        <v>24</v>
      </c>
      <c r="I1" s="855"/>
      <c r="K1" s="1" t="s">
        <v>33</v>
      </c>
      <c r="L1" s="52" t="str">
        <f>VLOOKUP(A1,'Point Grid'!$L$8:$T$54,9,FALSE)</f>
        <v>Pricing - Chap 3,4: Data, Exposures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1"/>
      <c r="K3" s="48" t="s">
        <v>2</v>
      </c>
      <c r="L3" t="s">
        <v>73</v>
      </c>
      <c r="M3"/>
      <c r="N3"/>
      <c r="O3"/>
      <c r="P3"/>
      <c r="Q3"/>
      <c r="R3"/>
      <c r="S3"/>
      <c r="T3"/>
      <c r="U3"/>
    </row>
    <row r="4" spans="1:21">
      <c r="A4" s="9">
        <f>INDEX('Point Grid'!B:B,MATCH(A1,'Point Grid'!A:A,0))</f>
        <v>2</v>
      </c>
      <c r="B4" s="17"/>
      <c r="C4" s="17"/>
      <c r="D4" s="17"/>
      <c r="E4" s="17"/>
      <c r="F4" s="17"/>
      <c r="G4" s="17"/>
      <c r="H4" s="17"/>
      <c r="I4" s="18"/>
      <c r="J4" s="31"/>
      <c r="K4" s="48"/>
      <c r="L4" t="s">
        <v>74</v>
      </c>
      <c r="M4"/>
      <c r="N4"/>
      <c r="O4"/>
      <c r="P4"/>
      <c r="Q4"/>
      <c r="R4"/>
      <c r="S4"/>
      <c r="T4"/>
      <c r="U4"/>
    </row>
    <row r="5" spans="1:21">
      <c r="A5" s="16"/>
      <c r="B5" s="17"/>
      <c r="C5" s="17"/>
      <c r="D5" s="17"/>
      <c r="E5" s="17"/>
      <c r="F5" s="17"/>
      <c r="G5" s="17"/>
      <c r="H5" s="17"/>
      <c r="I5" s="18"/>
      <c r="J5" s="31"/>
      <c r="K5" s="48"/>
      <c r="L5" t="s">
        <v>75</v>
      </c>
      <c r="M5"/>
      <c r="N5"/>
      <c r="O5"/>
      <c r="P5"/>
      <c r="Q5"/>
      <c r="R5"/>
      <c r="S5"/>
      <c r="T5"/>
      <c r="U5"/>
    </row>
    <row r="6" spans="1:21">
      <c r="A6" s="25" t="s">
        <v>2</v>
      </c>
      <c r="B6" s="17" t="s">
        <v>71</v>
      </c>
      <c r="C6" s="17"/>
      <c r="D6" s="17"/>
      <c r="E6" s="17"/>
      <c r="F6" s="17"/>
      <c r="G6" s="17"/>
      <c r="H6" s="17"/>
      <c r="I6" s="18"/>
      <c r="J6" s="31"/>
      <c r="K6" s="48"/>
      <c r="L6" s="1"/>
      <c r="M6"/>
      <c r="N6"/>
      <c r="O6"/>
      <c r="P6"/>
      <c r="Q6"/>
      <c r="R6"/>
      <c r="S6"/>
      <c r="T6"/>
      <c r="U6"/>
    </row>
    <row r="7" spans="1:21" ht="15.75" thickBot="1">
      <c r="A7" s="9">
        <f>INDEX('Point Grid'!$C$8:$I$54,MATCH($A$1,'Point Grid'!$A$8:$A$54,0),MATCH(A6,'Point Grid'!$C$7:$I$7,0))</f>
        <v>0.75</v>
      </c>
      <c r="B7" s="17" t="s">
        <v>72</v>
      </c>
      <c r="C7" s="17"/>
      <c r="D7" s="17"/>
      <c r="E7" s="17"/>
      <c r="F7" s="17"/>
      <c r="G7" s="17"/>
      <c r="H7" s="17"/>
      <c r="I7" s="18"/>
      <c r="J7" s="31"/>
      <c r="K7" s="48" t="s">
        <v>3</v>
      </c>
      <c r="L7" t="s">
        <v>77</v>
      </c>
      <c r="M7"/>
      <c r="N7"/>
      <c r="O7"/>
      <c r="P7"/>
      <c r="Q7"/>
      <c r="R7"/>
      <c r="S7"/>
      <c r="T7"/>
      <c r="U7"/>
    </row>
    <row r="8" spans="1:21" ht="15.75" thickBot="1">
      <c r="A8" s="5"/>
      <c r="B8" s="17"/>
      <c r="C8" s="28"/>
      <c r="D8" s="28"/>
      <c r="E8" s="28"/>
      <c r="F8" s="28"/>
      <c r="G8" s="28"/>
      <c r="H8" s="28"/>
      <c r="I8" s="18"/>
      <c r="J8" s="31"/>
      <c r="K8"/>
      <c r="L8" t="s">
        <v>78</v>
      </c>
      <c r="M8"/>
      <c r="N8"/>
      <c r="O8"/>
      <c r="P8"/>
      <c r="Q8"/>
      <c r="R8"/>
      <c r="S8"/>
      <c r="T8"/>
      <c r="U8"/>
    </row>
    <row r="9" spans="1:21">
      <c r="A9" s="25"/>
      <c r="B9" s="17"/>
      <c r="C9" s="17"/>
      <c r="D9" s="17"/>
      <c r="E9" s="17"/>
      <c r="F9" s="17"/>
      <c r="G9" s="17"/>
      <c r="H9" s="17"/>
      <c r="I9" s="18"/>
      <c r="J9" s="31"/>
      <c r="K9" s="48"/>
      <c r="L9" t="s">
        <v>79</v>
      </c>
      <c r="M9"/>
      <c r="N9"/>
      <c r="O9"/>
      <c r="P9"/>
      <c r="Q9"/>
      <c r="R9"/>
      <c r="S9"/>
    </row>
    <row r="10" spans="1:21">
      <c r="A10" s="25" t="s">
        <v>3</v>
      </c>
      <c r="B10" s="17" t="s">
        <v>76</v>
      </c>
      <c r="C10" s="17"/>
      <c r="D10" s="17"/>
      <c r="E10" s="17"/>
      <c r="F10" s="17"/>
      <c r="G10" s="17"/>
      <c r="H10" s="17"/>
      <c r="I10" s="18"/>
      <c r="J10" s="31"/>
      <c r="K10"/>
      <c r="L10"/>
      <c r="M10"/>
      <c r="N10"/>
      <c r="O10"/>
      <c r="P10"/>
      <c r="Q10"/>
      <c r="R10"/>
      <c r="S10"/>
      <c r="T10"/>
      <c r="U10"/>
    </row>
    <row r="11" spans="1:21" ht="15.75" thickBot="1">
      <c r="A11" s="9">
        <f>INDEX('Point Grid'!$C$8:$I$54,MATCH($A$1,'Point Grid'!$A$8:$A$54,0),MATCH(A10,'Point Grid'!$C$7:$I$7,0))</f>
        <v>0.75</v>
      </c>
      <c r="B11" s="17"/>
      <c r="C11" s="17"/>
      <c r="D11" s="17"/>
      <c r="E11" s="17"/>
      <c r="F11" s="17"/>
      <c r="G11" s="17"/>
      <c r="H11" s="17"/>
      <c r="I11" s="18"/>
      <c r="J11" s="31"/>
      <c r="K11" s="48" t="s">
        <v>85</v>
      </c>
      <c r="L11">
        <v>4</v>
      </c>
      <c r="M11"/>
      <c r="N11"/>
      <c r="O11"/>
      <c r="P11"/>
      <c r="Q11"/>
      <c r="R11"/>
      <c r="S11"/>
      <c r="T11"/>
      <c r="U11"/>
    </row>
    <row r="12" spans="1:21" ht="15.75" thickBot="1">
      <c r="A12" s="5"/>
      <c r="B12" s="17"/>
      <c r="C12" s="28"/>
      <c r="D12" s="28"/>
      <c r="E12" s="28"/>
      <c r="F12" s="28"/>
      <c r="G12" s="28"/>
      <c r="H12" s="28"/>
      <c r="I12" s="18"/>
      <c r="J12" s="31"/>
      <c r="K12" s="48" t="s">
        <v>86</v>
      </c>
      <c r="L12">
        <v>0</v>
      </c>
      <c r="M12"/>
      <c r="N12"/>
      <c r="O12"/>
      <c r="P12"/>
      <c r="Q12"/>
      <c r="R12"/>
      <c r="S12"/>
      <c r="T12"/>
      <c r="U12"/>
    </row>
    <row r="13" spans="1:21">
      <c r="A13" s="25"/>
      <c r="B13" s="17"/>
      <c r="C13" s="28"/>
      <c r="D13" s="28"/>
      <c r="E13" s="28"/>
      <c r="F13" s="28"/>
      <c r="G13" s="28"/>
      <c r="H13" s="28"/>
      <c r="I13" s="18"/>
      <c r="J13" s="31"/>
      <c r="K13" s="48"/>
      <c r="L13"/>
      <c r="M13"/>
      <c r="N13"/>
      <c r="O13"/>
      <c r="P13"/>
      <c r="Q13"/>
      <c r="R13"/>
      <c r="S13"/>
      <c r="T13"/>
      <c r="U13"/>
    </row>
    <row r="14" spans="1:21">
      <c r="A14" s="25" t="s">
        <v>4</v>
      </c>
      <c r="B14" s="17" t="s">
        <v>965</v>
      </c>
      <c r="C14" s="17"/>
      <c r="D14" s="17"/>
      <c r="E14" s="17"/>
      <c r="F14" s="17"/>
      <c r="G14" s="17"/>
      <c r="H14" s="17"/>
      <c r="I14" s="18"/>
      <c r="J14" s="31"/>
      <c r="K14"/>
      <c r="L14"/>
      <c r="M14"/>
      <c r="N14"/>
      <c r="O14"/>
      <c r="P14"/>
      <c r="Q14"/>
      <c r="R14"/>
      <c r="S14"/>
      <c r="T14"/>
      <c r="U14"/>
    </row>
    <row r="15" spans="1:21" ht="15.75" thickBot="1">
      <c r="A15" s="9">
        <f>INDEX('Point Grid'!$C$8:$I$54,MATCH($A$1,'Point Grid'!$A$8:$A$54,0),MATCH(A14,'Point Grid'!$C$7:$I$7,0))</f>
        <v>0.5</v>
      </c>
      <c r="B15" s="17" t="s">
        <v>80</v>
      </c>
      <c r="C15" s="17"/>
      <c r="D15" s="17"/>
      <c r="E15" s="17"/>
      <c r="F15" s="17"/>
      <c r="G15" s="17"/>
      <c r="H15" s="17"/>
      <c r="I15" s="18"/>
      <c r="J15" s="31"/>
      <c r="K15"/>
      <c r="L15"/>
      <c r="M15"/>
      <c r="N15"/>
      <c r="O15"/>
      <c r="P15"/>
      <c r="Q15"/>
      <c r="R15"/>
      <c r="S15"/>
      <c r="T15"/>
      <c r="U15"/>
    </row>
    <row r="16" spans="1:21" ht="15.75" thickBot="1">
      <c r="A16" s="5"/>
      <c r="B16" s="35"/>
      <c r="C16" s="17"/>
      <c r="D16" s="17"/>
      <c r="E16" s="17"/>
      <c r="F16" s="17"/>
      <c r="G16" s="17"/>
      <c r="H16" s="17"/>
      <c r="I16" s="18"/>
      <c r="J16" s="31"/>
      <c r="K16" s="48"/>
      <c r="L16" s="1"/>
      <c r="M16"/>
      <c r="N16"/>
      <c r="O16"/>
      <c r="P16"/>
      <c r="Q16"/>
      <c r="R16"/>
      <c r="S16"/>
      <c r="T16"/>
      <c r="U16"/>
    </row>
    <row r="17" spans="1:21">
      <c r="A17" s="22"/>
      <c r="B17" s="35" t="s">
        <v>81</v>
      </c>
      <c r="C17" s="17" t="s">
        <v>83</v>
      </c>
      <c r="D17" s="17"/>
      <c r="E17" s="17"/>
      <c r="F17" s="17"/>
      <c r="G17" s="17"/>
      <c r="H17" s="17"/>
      <c r="I17" s="18"/>
      <c r="J17" s="31"/>
      <c r="K17"/>
      <c r="L17"/>
      <c r="M17"/>
      <c r="N17"/>
      <c r="O17"/>
      <c r="P17"/>
      <c r="Q17"/>
      <c r="R17"/>
      <c r="S17"/>
      <c r="T17"/>
      <c r="U17"/>
    </row>
    <row r="18" spans="1:21" ht="15" customHeight="1">
      <c r="A18" s="22"/>
      <c r="B18" s="35" t="s">
        <v>82</v>
      </c>
      <c r="C18" s="17" t="s">
        <v>84</v>
      </c>
      <c r="D18" s="17"/>
      <c r="E18" s="17"/>
      <c r="F18" s="17"/>
      <c r="G18" s="17"/>
      <c r="H18" s="17"/>
      <c r="I18" s="18"/>
      <c r="J18" s="31"/>
      <c r="K18"/>
      <c r="L18"/>
      <c r="M18"/>
      <c r="N18"/>
      <c r="O18"/>
      <c r="P18"/>
      <c r="Q18"/>
      <c r="R18"/>
      <c r="S18"/>
      <c r="T18"/>
      <c r="U18"/>
    </row>
    <row r="19" spans="1:21" ht="15" customHeight="1">
      <c r="A19" s="22"/>
      <c r="B19" s="17"/>
      <c r="C19" s="17"/>
      <c r="D19" s="17"/>
      <c r="E19" s="17"/>
      <c r="F19" s="17"/>
      <c r="G19" s="17"/>
      <c r="H19" s="17"/>
      <c r="I19" s="18"/>
      <c r="J19" s="31"/>
      <c r="K19"/>
      <c r="L19"/>
      <c r="M19"/>
      <c r="N19"/>
      <c r="O19"/>
      <c r="P19"/>
      <c r="Q19"/>
      <c r="R19"/>
      <c r="S19"/>
      <c r="T19"/>
      <c r="U19"/>
    </row>
    <row r="20" spans="1:21" ht="15" customHeight="1">
      <c r="A20" s="22"/>
      <c r="B20" s="17"/>
      <c r="C20" s="17"/>
      <c r="D20" s="17"/>
      <c r="E20" s="17"/>
      <c r="F20" s="17"/>
      <c r="G20" s="17"/>
      <c r="H20" s="17"/>
      <c r="I20" s="18"/>
      <c r="J20" s="31"/>
      <c r="K20"/>
      <c r="L20"/>
      <c r="M20"/>
      <c r="N20"/>
      <c r="O20"/>
      <c r="P20"/>
      <c r="Q20"/>
      <c r="R20"/>
      <c r="S20"/>
      <c r="T20"/>
      <c r="U20"/>
    </row>
    <row r="21" spans="1:21" ht="15" customHeight="1">
      <c r="A21" s="22"/>
      <c r="B21" s="17"/>
      <c r="C21" s="17"/>
      <c r="D21" s="17"/>
      <c r="E21" s="17"/>
      <c r="F21" s="17"/>
      <c r="G21" s="17"/>
      <c r="H21" s="17"/>
      <c r="I21" s="18"/>
      <c r="J21" s="31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22"/>
      <c r="B22" s="17"/>
      <c r="C22" s="17"/>
      <c r="D22" s="17"/>
      <c r="E22" s="17"/>
      <c r="F22" s="17"/>
      <c r="G22" s="17"/>
      <c r="H22" s="17"/>
      <c r="I22" s="18"/>
      <c r="J22" s="31"/>
      <c r="K22"/>
      <c r="L22"/>
      <c r="M22"/>
      <c r="N22"/>
      <c r="O22"/>
      <c r="P22"/>
      <c r="Q22"/>
      <c r="R22"/>
      <c r="S22"/>
      <c r="T22"/>
      <c r="U22"/>
    </row>
    <row r="23" spans="1:21" ht="15" customHeight="1">
      <c r="A23" s="22"/>
      <c r="B23" s="17"/>
      <c r="C23" s="17"/>
      <c r="D23" s="17"/>
      <c r="E23" s="17"/>
      <c r="F23" s="17"/>
      <c r="G23" s="17"/>
      <c r="H23" s="17"/>
      <c r="I23" s="18"/>
      <c r="J23" s="31"/>
      <c r="K23"/>
      <c r="L23"/>
      <c r="M23"/>
      <c r="N23"/>
      <c r="O23"/>
      <c r="P23"/>
      <c r="Q23"/>
      <c r="R23"/>
      <c r="S23"/>
      <c r="T23"/>
      <c r="U23"/>
    </row>
    <row r="24" spans="1:21" ht="15" customHeight="1">
      <c r="A24" s="22"/>
      <c r="B24" s="17"/>
      <c r="C24" s="17"/>
      <c r="D24" s="17"/>
      <c r="E24" s="17"/>
      <c r="F24" s="17"/>
      <c r="G24" s="17"/>
      <c r="H24" s="17"/>
      <c r="I24" s="18"/>
      <c r="J24" s="31"/>
      <c r="K24"/>
      <c r="L24"/>
      <c r="M24"/>
      <c r="N24"/>
      <c r="O24"/>
      <c r="P24"/>
      <c r="Q24"/>
      <c r="R24"/>
      <c r="S24"/>
      <c r="T24"/>
      <c r="U24"/>
    </row>
    <row r="25" spans="1:21" ht="15" customHeight="1">
      <c r="A25" s="22"/>
      <c r="B25" s="17"/>
      <c r="C25" s="17"/>
      <c r="D25" s="17"/>
      <c r="E25" s="17"/>
      <c r="F25" s="17"/>
      <c r="G25" s="17"/>
      <c r="H25" s="17"/>
      <c r="I25" s="18"/>
      <c r="J25" s="31"/>
      <c r="K25"/>
      <c r="L25"/>
      <c r="M25"/>
      <c r="N25"/>
      <c r="O25"/>
      <c r="P25"/>
      <c r="Q25"/>
      <c r="R25"/>
      <c r="S25"/>
      <c r="T25"/>
      <c r="U25"/>
    </row>
    <row r="26" spans="1:21" ht="15" customHeight="1">
      <c r="A26" s="22"/>
      <c r="B26" s="17"/>
      <c r="C26" s="17"/>
      <c r="D26" s="17"/>
      <c r="E26" s="17"/>
      <c r="F26" s="17"/>
      <c r="G26" s="17"/>
      <c r="H26" s="17"/>
      <c r="I26" s="18"/>
      <c r="J26" s="31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22"/>
      <c r="B27" s="17"/>
      <c r="C27" s="17"/>
      <c r="D27" s="17"/>
      <c r="E27" s="17"/>
      <c r="F27" s="17"/>
      <c r="G27" s="17"/>
      <c r="H27" s="17"/>
      <c r="I27" s="18"/>
      <c r="J27" s="31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22"/>
      <c r="B28" s="17"/>
      <c r="C28" s="17"/>
      <c r="D28" s="17"/>
      <c r="E28" s="17"/>
      <c r="F28" s="17"/>
      <c r="G28" s="17"/>
      <c r="H28" s="17"/>
      <c r="I28" s="18"/>
      <c r="J28" s="31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22"/>
      <c r="B29" s="17"/>
      <c r="C29" s="17"/>
      <c r="D29" s="17"/>
      <c r="E29" s="17"/>
      <c r="F29" s="17"/>
      <c r="G29" s="17"/>
      <c r="H29" s="17"/>
      <c r="I29" s="18"/>
      <c r="J29" s="31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>
      <c r="A30" s="24"/>
      <c r="B30" s="32"/>
      <c r="C30" s="32"/>
      <c r="D30" s="32"/>
      <c r="E30" s="32"/>
      <c r="F30" s="32"/>
      <c r="G30" s="32"/>
      <c r="H30" s="32"/>
      <c r="I30" s="33"/>
      <c r="J30" s="31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B31" s="31"/>
      <c r="C31" s="31"/>
      <c r="D31" s="31"/>
      <c r="E31" s="31"/>
      <c r="F31" s="31"/>
      <c r="G31" s="31"/>
      <c r="H31" s="31"/>
      <c r="I31" s="31"/>
      <c r="J31" s="31"/>
      <c r="K31"/>
      <c r="L31"/>
      <c r="M31"/>
      <c r="N31"/>
      <c r="O31"/>
      <c r="P31"/>
      <c r="Q31"/>
      <c r="R31"/>
      <c r="S31"/>
      <c r="T31"/>
      <c r="U31"/>
    </row>
    <row r="32" spans="1:21" ht="15" customHeight="1">
      <c r="J32" s="31"/>
      <c r="K32"/>
      <c r="L32"/>
      <c r="M32"/>
      <c r="N32"/>
      <c r="O32"/>
      <c r="P32"/>
      <c r="Q32"/>
      <c r="R32"/>
      <c r="S32"/>
      <c r="T32"/>
      <c r="U32"/>
    </row>
    <row r="33" spans="2:21" ht="15" customHeight="1">
      <c r="J33" s="31"/>
      <c r="K33" s="48"/>
      <c r="L33" s="1"/>
      <c r="M33"/>
      <c r="N33"/>
      <c r="O33"/>
      <c r="P33"/>
      <c r="Q33"/>
      <c r="R33"/>
      <c r="S33"/>
      <c r="T33"/>
      <c r="U33"/>
    </row>
    <row r="34" spans="2:21" ht="15" customHeight="1">
      <c r="J34" s="31"/>
      <c r="K34"/>
      <c r="L34"/>
      <c r="M34"/>
      <c r="N34"/>
      <c r="O34"/>
      <c r="P34"/>
      <c r="Q34"/>
      <c r="R34"/>
      <c r="S34"/>
      <c r="T34"/>
      <c r="U34"/>
    </row>
    <row r="35" spans="2:21" ht="15" customHeight="1">
      <c r="J35" s="31"/>
      <c r="K35" s="48"/>
      <c r="L35"/>
      <c r="M35"/>
      <c r="N35"/>
      <c r="O35"/>
      <c r="P35"/>
      <c r="Q35"/>
      <c r="R35"/>
      <c r="S35"/>
      <c r="T35"/>
      <c r="U35"/>
    </row>
    <row r="36" spans="2:21" ht="15" customHeight="1">
      <c r="J36" s="31"/>
      <c r="K36"/>
      <c r="L36"/>
      <c r="M36"/>
      <c r="N36"/>
      <c r="O36"/>
      <c r="P36"/>
      <c r="Q36"/>
      <c r="R36"/>
      <c r="S36"/>
      <c r="T36"/>
      <c r="U36"/>
    </row>
    <row r="37" spans="2:21" ht="15" customHeight="1">
      <c r="J37" s="31"/>
      <c r="K37"/>
      <c r="L37"/>
      <c r="M37"/>
      <c r="N37"/>
      <c r="O37"/>
      <c r="P37"/>
      <c r="Q37"/>
      <c r="R37"/>
      <c r="S37"/>
      <c r="T37"/>
      <c r="U37"/>
    </row>
    <row r="38" spans="2:21" ht="15" customHeight="1">
      <c r="J38" s="31"/>
      <c r="K38"/>
      <c r="L38"/>
      <c r="M38"/>
      <c r="N38"/>
      <c r="O38"/>
      <c r="P38"/>
      <c r="Q38"/>
      <c r="R38"/>
      <c r="S38"/>
      <c r="T38"/>
      <c r="U38"/>
    </row>
    <row r="39" spans="2:21" ht="15" customHeight="1">
      <c r="J39" s="31"/>
      <c r="K39"/>
      <c r="L39"/>
      <c r="M39"/>
      <c r="N39"/>
      <c r="O39"/>
      <c r="P39"/>
      <c r="Q39"/>
      <c r="R39"/>
      <c r="S39"/>
      <c r="T39"/>
      <c r="U39"/>
    </row>
    <row r="40" spans="2:21" ht="15" customHeight="1">
      <c r="J40" s="31"/>
      <c r="K40"/>
      <c r="L40"/>
      <c r="M40"/>
      <c r="N40"/>
      <c r="O40"/>
      <c r="P40"/>
      <c r="Q40"/>
      <c r="R40"/>
      <c r="S40"/>
      <c r="T40"/>
      <c r="U40"/>
    </row>
    <row r="41" spans="2:21" ht="15" customHeight="1">
      <c r="J41" s="31"/>
      <c r="K41"/>
      <c r="L41"/>
      <c r="M41"/>
      <c r="N41"/>
      <c r="O41"/>
      <c r="P41"/>
      <c r="Q41"/>
      <c r="R41"/>
      <c r="S41"/>
      <c r="T41"/>
      <c r="U41"/>
    </row>
    <row r="42" spans="2:21" ht="15" customHeight="1">
      <c r="J42" s="31"/>
      <c r="K42"/>
      <c r="L42"/>
      <c r="M42"/>
      <c r="N42"/>
      <c r="O42"/>
      <c r="P42"/>
      <c r="Q42"/>
      <c r="R42"/>
      <c r="S42"/>
      <c r="T42"/>
      <c r="U42"/>
    </row>
    <row r="43" spans="2:21" ht="15" customHeight="1">
      <c r="J43" s="31"/>
      <c r="K43"/>
      <c r="L43"/>
      <c r="M43"/>
      <c r="N43"/>
      <c r="O43"/>
      <c r="P43"/>
      <c r="Q43"/>
      <c r="R43"/>
      <c r="S43"/>
      <c r="T43"/>
      <c r="U43"/>
    </row>
    <row r="44" spans="2:21" ht="15" customHeight="1">
      <c r="J44" s="31"/>
      <c r="K44"/>
      <c r="L44"/>
      <c r="M44"/>
      <c r="N44"/>
      <c r="O44"/>
      <c r="P44"/>
      <c r="Q44"/>
      <c r="R44"/>
      <c r="S44"/>
      <c r="T44"/>
      <c r="U44"/>
    </row>
    <row r="45" spans="2:21" ht="15" customHeight="1">
      <c r="J45" s="31"/>
      <c r="K45"/>
      <c r="L45"/>
      <c r="M45"/>
      <c r="N45"/>
      <c r="O45"/>
      <c r="P45"/>
      <c r="Q45"/>
      <c r="R45"/>
      <c r="S45"/>
      <c r="T45"/>
      <c r="U45"/>
    </row>
    <row r="46" spans="2:21" ht="15" customHeight="1">
      <c r="B46" s="31"/>
      <c r="C46" s="31"/>
      <c r="D46" s="31"/>
      <c r="E46" s="31"/>
      <c r="F46" s="31"/>
      <c r="G46" s="31"/>
      <c r="H46" s="31"/>
      <c r="I46" s="31"/>
      <c r="J46" s="31"/>
      <c r="K46"/>
      <c r="L46"/>
      <c r="M46"/>
      <c r="N46"/>
      <c r="O46"/>
      <c r="P46"/>
      <c r="Q46"/>
      <c r="R46"/>
      <c r="S46"/>
      <c r="T46"/>
      <c r="U46"/>
    </row>
    <row r="47" spans="2:21" ht="15" customHeight="1">
      <c r="B47" s="31"/>
      <c r="C47" s="31"/>
      <c r="D47" s="31"/>
      <c r="E47" s="31"/>
      <c r="F47" s="31"/>
      <c r="G47" s="31"/>
      <c r="H47" s="31"/>
      <c r="I47" s="31"/>
      <c r="J47" s="31"/>
      <c r="K47"/>
      <c r="L47"/>
      <c r="M47"/>
      <c r="N47"/>
      <c r="O47"/>
      <c r="P47"/>
      <c r="Q47"/>
      <c r="R47"/>
      <c r="S47"/>
      <c r="T47"/>
      <c r="U47"/>
    </row>
    <row r="48" spans="2:21" ht="15" customHeight="1">
      <c r="B48" s="31"/>
      <c r="C48" s="31"/>
      <c r="D48" s="31"/>
      <c r="E48" s="31"/>
      <c r="F48" s="31"/>
      <c r="G48" s="31"/>
      <c r="H48" s="31"/>
      <c r="I48" s="31"/>
      <c r="J48" s="31"/>
      <c r="K48"/>
      <c r="L48"/>
      <c r="M48"/>
      <c r="N48"/>
      <c r="O48"/>
      <c r="P48"/>
      <c r="Q48"/>
      <c r="R48"/>
      <c r="S48"/>
      <c r="T48"/>
      <c r="U48"/>
    </row>
    <row r="49" spans="2:21" ht="15" customHeight="1">
      <c r="B49" s="31"/>
      <c r="C49" s="31"/>
      <c r="D49" s="31"/>
      <c r="E49" s="31"/>
      <c r="F49" s="31"/>
      <c r="G49" s="31"/>
      <c r="H49" s="31"/>
      <c r="I49" s="31"/>
      <c r="J49" s="31"/>
      <c r="K49"/>
      <c r="L49"/>
      <c r="M49"/>
      <c r="N49"/>
      <c r="O49"/>
      <c r="P49"/>
      <c r="Q49"/>
      <c r="R49"/>
      <c r="S49"/>
      <c r="T49"/>
      <c r="U49"/>
    </row>
    <row r="50" spans="2:21" ht="15" customHeight="1">
      <c r="B50" s="31"/>
      <c r="C50" s="31"/>
      <c r="D50" s="31"/>
      <c r="E50" s="31"/>
      <c r="F50" s="31"/>
      <c r="G50" s="31"/>
      <c r="H50" s="31"/>
      <c r="I50" s="31"/>
      <c r="J50" s="31"/>
      <c r="K50"/>
      <c r="L50"/>
      <c r="M50"/>
      <c r="N50"/>
      <c r="O50"/>
      <c r="P50"/>
      <c r="Q50"/>
      <c r="R50"/>
      <c r="S50"/>
      <c r="T50"/>
      <c r="U50"/>
    </row>
    <row r="51" spans="2:21" ht="15" customHeight="1">
      <c r="B51" s="31"/>
      <c r="C51" s="31"/>
      <c r="D51" s="31"/>
      <c r="E51" s="31"/>
      <c r="F51" s="31"/>
      <c r="G51" s="31"/>
      <c r="H51" s="31"/>
      <c r="I51" s="31"/>
      <c r="J51" s="31"/>
    </row>
    <row r="52" spans="2:21" ht="15" customHeight="1">
      <c r="B52" s="31"/>
      <c r="C52" s="31"/>
      <c r="D52" s="31"/>
      <c r="E52" s="31"/>
      <c r="F52" s="31"/>
      <c r="G52" s="31"/>
      <c r="H52" s="31"/>
      <c r="I52" s="31"/>
      <c r="J52" s="31"/>
    </row>
    <row r="53" spans="2:21" ht="15" customHeight="1">
      <c r="B53" s="31"/>
      <c r="C53" s="31"/>
      <c r="D53" s="31"/>
      <c r="E53" s="31"/>
      <c r="F53" s="31"/>
      <c r="G53" s="31"/>
      <c r="H53" s="31"/>
      <c r="I53" s="31"/>
      <c r="J53" s="31"/>
    </row>
    <row r="54" spans="2:21" ht="15" customHeight="1">
      <c r="B54" s="31"/>
      <c r="C54" s="31"/>
      <c r="D54" s="31"/>
      <c r="E54" s="31"/>
      <c r="F54" s="31"/>
      <c r="G54" s="31"/>
      <c r="H54" s="31"/>
      <c r="I54" s="31"/>
      <c r="J54" s="31"/>
    </row>
    <row r="55" spans="2:21" ht="15" customHeight="1">
      <c r="B55" s="31"/>
      <c r="C55" s="31"/>
      <c r="D55" s="31"/>
      <c r="E55" s="31"/>
      <c r="F55" s="31"/>
      <c r="G55" s="31"/>
      <c r="H55" s="31"/>
      <c r="I55" s="31"/>
      <c r="J55" s="31"/>
    </row>
    <row r="56" spans="2:21" ht="15" customHeight="1">
      <c r="B56" s="31"/>
      <c r="C56" s="31"/>
      <c r="D56" s="31"/>
      <c r="E56" s="31"/>
      <c r="F56" s="31"/>
      <c r="G56" s="31"/>
      <c r="H56" s="31"/>
      <c r="I56" s="31"/>
      <c r="J56" s="31"/>
    </row>
    <row r="57" spans="2:21" ht="15" customHeight="1">
      <c r="B57" s="31"/>
      <c r="C57" s="31"/>
      <c r="D57" s="31"/>
      <c r="E57" s="31"/>
      <c r="F57" s="31"/>
      <c r="G57" s="31"/>
      <c r="H57" s="31"/>
      <c r="I57" s="31"/>
      <c r="J57" s="31"/>
    </row>
    <row r="58" spans="2:21" ht="15" customHeight="1">
      <c r="B58" s="31"/>
      <c r="C58" s="31"/>
      <c r="D58" s="31"/>
      <c r="E58" s="31"/>
      <c r="F58" s="31"/>
      <c r="G58" s="31"/>
      <c r="H58" s="31"/>
      <c r="I58" s="31"/>
      <c r="J58" s="31"/>
    </row>
    <row r="59" spans="2:21" ht="15" customHeight="1">
      <c r="B59" s="31"/>
      <c r="C59" s="31"/>
      <c r="D59" s="31"/>
      <c r="E59" s="31"/>
      <c r="F59" s="31"/>
      <c r="G59" s="31"/>
      <c r="H59" s="31"/>
      <c r="I59" s="31"/>
      <c r="J59" s="31"/>
    </row>
    <row r="60" spans="2:21" ht="15" customHeight="1">
      <c r="B60" s="31"/>
      <c r="C60" s="31"/>
      <c r="D60" s="31"/>
      <c r="E60" s="31"/>
      <c r="F60" s="31"/>
      <c r="G60" s="31"/>
      <c r="H60" s="31"/>
      <c r="I60" s="31"/>
      <c r="J60" s="31"/>
    </row>
    <row r="61" spans="2:21" ht="15" customHeight="1">
      <c r="B61" s="31"/>
      <c r="C61" s="31"/>
      <c r="D61" s="31"/>
      <c r="E61" s="31"/>
      <c r="F61" s="31"/>
      <c r="G61" s="31"/>
      <c r="H61" s="31"/>
      <c r="I61" s="31"/>
      <c r="J61" s="31"/>
    </row>
    <row r="62" spans="2:21" ht="15" customHeight="1">
      <c r="B62" s="31"/>
      <c r="C62" s="31"/>
      <c r="D62" s="31"/>
      <c r="E62" s="31"/>
      <c r="F62" s="31"/>
      <c r="G62" s="31"/>
      <c r="H62" s="31"/>
      <c r="I62" s="31"/>
      <c r="J62" s="31"/>
    </row>
    <row r="63" spans="2:21" ht="15" customHeight="1">
      <c r="B63" s="31"/>
      <c r="C63" s="31"/>
      <c r="D63" s="31"/>
      <c r="E63" s="31"/>
      <c r="F63" s="31"/>
      <c r="G63" s="31"/>
      <c r="H63" s="31"/>
      <c r="I63" s="31"/>
      <c r="J63" s="31"/>
    </row>
    <row r="64" spans="2:21" ht="15" customHeight="1">
      <c r="B64" s="31"/>
      <c r="C64" s="31"/>
      <c r="D64" s="31"/>
      <c r="E64" s="31"/>
      <c r="F64" s="31"/>
      <c r="G64" s="31"/>
      <c r="H64" s="31"/>
      <c r="I64" s="31"/>
      <c r="J64" s="31"/>
    </row>
    <row r="65" spans="2:10" ht="15" customHeight="1">
      <c r="B65" s="31"/>
      <c r="C65" s="31"/>
      <c r="D65" s="31"/>
      <c r="E65" s="31"/>
      <c r="F65" s="31"/>
      <c r="G65" s="31"/>
      <c r="H65" s="31"/>
      <c r="I65" s="31"/>
      <c r="J65" s="31"/>
    </row>
    <row r="66" spans="2:10" ht="15" customHeight="1">
      <c r="B66" s="31"/>
      <c r="C66" s="31"/>
      <c r="D66" s="31"/>
      <c r="E66" s="31"/>
      <c r="F66" s="31"/>
      <c r="G66" s="31"/>
      <c r="H66" s="31"/>
      <c r="I66" s="31"/>
      <c r="J66" s="31"/>
    </row>
    <row r="67" spans="2:10" ht="15" customHeight="1">
      <c r="B67" s="31"/>
      <c r="C67" s="31"/>
      <c r="D67" s="31"/>
      <c r="E67" s="31"/>
      <c r="F67" s="31"/>
      <c r="G67" s="31"/>
      <c r="H67" s="31"/>
      <c r="I67" s="31"/>
      <c r="J67" s="31"/>
    </row>
    <row r="68" spans="2:10" ht="15" customHeight="1">
      <c r="B68" s="31"/>
      <c r="C68" s="31"/>
      <c r="D68" s="31"/>
      <c r="E68" s="31"/>
      <c r="F68" s="31"/>
      <c r="G68" s="31"/>
      <c r="H68" s="31"/>
      <c r="I68" s="31"/>
      <c r="J68" s="31"/>
    </row>
    <row r="69" spans="2:10" ht="15" customHeight="1">
      <c r="B69" s="31"/>
      <c r="C69" s="31"/>
      <c r="D69" s="31"/>
      <c r="E69" s="31"/>
      <c r="F69" s="31"/>
      <c r="G69" s="31"/>
      <c r="H69" s="31"/>
      <c r="I69" s="31"/>
      <c r="J69" s="31"/>
    </row>
    <row r="70" spans="2:10" ht="15" customHeight="1">
      <c r="B70" s="31"/>
      <c r="C70" s="31"/>
      <c r="D70" s="31"/>
      <c r="E70" s="31"/>
      <c r="F70" s="31"/>
      <c r="G70" s="31"/>
      <c r="H70" s="31"/>
      <c r="I70" s="31"/>
      <c r="J70" s="31"/>
    </row>
    <row r="71" spans="2:10" ht="15" customHeight="1">
      <c r="B71" s="31"/>
      <c r="C71" s="31"/>
      <c r="D71" s="31"/>
      <c r="E71" s="31"/>
      <c r="F71" s="31"/>
      <c r="G71" s="31"/>
      <c r="H71" s="31"/>
      <c r="I71" s="31"/>
      <c r="J71" s="31"/>
    </row>
    <row r="72" spans="2:10" ht="15" customHeight="1">
      <c r="B72" s="31"/>
      <c r="C72" s="31"/>
      <c r="D72" s="31"/>
      <c r="E72" s="31"/>
      <c r="F72" s="31"/>
      <c r="G72" s="31"/>
      <c r="H72" s="31"/>
      <c r="I72" s="31"/>
      <c r="J72" s="31"/>
    </row>
    <row r="73" spans="2:10" ht="15" customHeight="1">
      <c r="B73" s="31"/>
      <c r="C73" s="31"/>
      <c r="D73" s="31"/>
      <c r="E73" s="31"/>
      <c r="F73" s="31"/>
      <c r="G73" s="31"/>
      <c r="H73" s="31"/>
      <c r="I73" s="31"/>
      <c r="J73" s="31"/>
    </row>
    <row r="74" spans="2:10" ht="15" customHeight="1">
      <c r="B74" s="31"/>
      <c r="C74" s="31"/>
      <c r="D74" s="31"/>
      <c r="E74" s="31"/>
      <c r="F74" s="31"/>
      <c r="G74" s="31"/>
      <c r="H74" s="31"/>
      <c r="I74" s="31"/>
      <c r="J74" s="31"/>
    </row>
    <row r="75" spans="2:10" ht="15" customHeight="1">
      <c r="B75" s="31"/>
      <c r="C75" s="31"/>
      <c r="D75" s="31"/>
      <c r="E75" s="31"/>
      <c r="F75" s="31"/>
      <c r="G75" s="31"/>
      <c r="H75" s="31"/>
      <c r="I75" s="31"/>
      <c r="J75" s="31"/>
    </row>
    <row r="76" spans="2:10" ht="15" customHeight="1">
      <c r="B76" s="31"/>
      <c r="C76" s="31"/>
      <c r="D76" s="31"/>
      <c r="E76" s="31"/>
      <c r="F76" s="31"/>
      <c r="G76" s="31"/>
      <c r="H76" s="31"/>
      <c r="I76" s="31"/>
      <c r="J76" s="31"/>
    </row>
    <row r="77" spans="2:10" ht="15" customHeight="1">
      <c r="B77" s="31"/>
      <c r="C77" s="31"/>
      <c r="D77" s="31"/>
      <c r="E77" s="31"/>
      <c r="F77" s="31"/>
      <c r="G77" s="31"/>
      <c r="H77" s="31"/>
      <c r="I77" s="31"/>
      <c r="J77" s="31"/>
    </row>
    <row r="78" spans="2:10" ht="15" customHeight="1">
      <c r="B78" s="31"/>
      <c r="C78" s="31"/>
      <c r="D78" s="31"/>
      <c r="E78" s="31"/>
      <c r="F78" s="31"/>
      <c r="G78" s="31"/>
      <c r="H78" s="31"/>
      <c r="I78" s="31"/>
      <c r="J78" s="31"/>
    </row>
    <row r="79" spans="2:10" ht="15" customHeight="1">
      <c r="B79" s="31"/>
      <c r="C79" s="31"/>
      <c r="D79" s="31"/>
      <c r="E79" s="31"/>
      <c r="F79" s="31"/>
      <c r="G79" s="31"/>
      <c r="H79" s="31"/>
      <c r="I79" s="31"/>
      <c r="J79" s="31"/>
    </row>
    <row r="80" spans="2:10" ht="15" customHeight="1">
      <c r="B80" s="31"/>
      <c r="C80" s="31"/>
      <c r="D80" s="31"/>
      <c r="E80" s="31"/>
      <c r="F80" s="31"/>
      <c r="G80" s="31"/>
      <c r="H80" s="31"/>
      <c r="I80" s="31"/>
      <c r="J80" s="31"/>
    </row>
    <row r="81" spans="2:10" ht="15" customHeight="1">
      <c r="B81" s="31"/>
      <c r="C81" s="31"/>
      <c r="D81" s="31"/>
      <c r="E81" s="31"/>
      <c r="F81" s="31"/>
      <c r="G81" s="31"/>
      <c r="H81" s="31"/>
      <c r="I81" s="31"/>
      <c r="J81" s="31"/>
    </row>
    <row r="82" spans="2:10" ht="15" customHeight="1">
      <c r="B82" s="31"/>
      <c r="C82" s="31"/>
      <c r="D82" s="31"/>
      <c r="E82" s="31"/>
      <c r="F82" s="31"/>
      <c r="G82" s="31"/>
      <c r="H82" s="31"/>
      <c r="I82" s="31"/>
      <c r="J82" s="31"/>
    </row>
    <row r="83" spans="2:10" ht="15" customHeight="1">
      <c r="B83" s="31"/>
      <c r="C83" s="31"/>
      <c r="D83" s="31"/>
      <c r="E83" s="31"/>
      <c r="F83" s="31"/>
      <c r="G83" s="31"/>
      <c r="H83" s="31"/>
      <c r="I83" s="31"/>
      <c r="J83" s="31"/>
    </row>
    <row r="84" spans="2:10" ht="15" customHeight="1">
      <c r="B84" s="31"/>
      <c r="C84" s="31"/>
      <c r="D84" s="31"/>
      <c r="E84" s="31"/>
      <c r="F84" s="31"/>
      <c r="G84" s="31"/>
      <c r="H84" s="31"/>
      <c r="I84" s="31"/>
      <c r="J84" s="31"/>
    </row>
    <row r="85" spans="2:10" ht="15" customHeight="1">
      <c r="B85" s="31"/>
      <c r="C85" s="31"/>
      <c r="D85" s="31"/>
      <c r="E85" s="31"/>
      <c r="F85" s="31"/>
      <c r="G85" s="31"/>
      <c r="H85" s="31"/>
      <c r="I85" s="31"/>
      <c r="J85" s="31"/>
    </row>
    <row r="86" spans="2:10" ht="15" customHeight="1">
      <c r="B86" s="31"/>
      <c r="C86" s="31"/>
      <c r="D86" s="31"/>
      <c r="E86" s="31"/>
      <c r="F86" s="31"/>
      <c r="G86" s="31"/>
      <c r="H86" s="31"/>
      <c r="I86" s="31"/>
      <c r="J86" s="31"/>
    </row>
    <row r="87" spans="2:10" ht="15" customHeight="1">
      <c r="B87" s="31"/>
      <c r="C87" s="31"/>
      <c r="D87" s="31"/>
      <c r="E87" s="31"/>
      <c r="F87" s="31"/>
      <c r="G87" s="31"/>
      <c r="H87" s="31"/>
      <c r="I87" s="31"/>
      <c r="J87" s="31"/>
    </row>
    <row r="88" spans="2:10" ht="15" customHeight="1">
      <c r="B88" s="31"/>
      <c r="C88" s="31"/>
      <c r="D88" s="31"/>
      <c r="E88" s="31"/>
      <c r="F88" s="31"/>
      <c r="G88" s="31"/>
      <c r="H88" s="31"/>
      <c r="I88" s="31"/>
      <c r="J88" s="31"/>
    </row>
    <row r="89" spans="2:10" ht="15" customHeight="1">
      <c r="B89" s="31"/>
      <c r="C89" s="31"/>
      <c r="D89" s="31"/>
      <c r="E89" s="31"/>
      <c r="F89" s="31"/>
      <c r="G89" s="31"/>
      <c r="H89" s="31"/>
      <c r="I89" s="31"/>
      <c r="J89" s="31"/>
    </row>
    <row r="90" spans="2:10" ht="15" customHeight="1">
      <c r="B90" s="31"/>
      <c r="C90" s="31"/>
      <c r="D90" s="31"/>
      <c r="E90" s="31"/>
      <c r="F90" s="31"/>
      <c r="G90" s="31"/>
      <c r="H90" s="31"/>
      <c r="I90" s="31"/>
      <c r="J90" s="31"/>
    </row>
    <row r="91" spans="2:10" ht="15" customHeight="1">
      <c r="B91" s="31"/>
      <c r="C91" s="31"/>
      <c r="D91" s="31"/>
      <c r="E91" s="31"/>
      <c r="F91" s="31"/>
      <c r="G91" s="31"/>
      <c r="H91" s="31"/>
      <c r="I91" s="31"/>
      <c r="J91" s="31"/>
    </row>
    <row r="92" spans="2:10" ht="15" customHeight="1">
      <c r="B92" s="31"/>
      <c r="C92" s="31"/>
      <c r="D92" s="31"/>
      <c r="E92" s="31"/>
      <c r="F92" s="31"/>
      <c r="G92" s="31"/>
      <c r="H92" s="31"/>
      <c r="I92" s="31"/>
      <c r="J92" s="31"/>
    </row>
    <row r="93" spans="2:10" ht="15" customHeight="1">
      <c r="B93" s="31"/>
      <c r="C93" s="31"/>
      <c r="D93" s="31"/>
      <c r="E93" s="31"/>
      <c r="F93" s="31"/>
      <c r="G93" s="31"/>
      <c r="H93" s="31"/>
      <c r="I93" s="31"/>
      <c r="J93" s="31"/>
    </row>
    <row r="94" spans="2:10" ht="15" customHeight="1">
      <c r="B94" s="31"/>
      <c r="C94" s="31"/>
      <c r="D94" s="31"/>
      <c r="E94" s="31"/>
      <c r="F94" s="31"/>
      <c r="G94" s="31"/>
      <c r="H94" s="31"/>
      <c r="I94" s="31"/>
      <c r="J94" s="31"/>
    </row>
    <row r="95" spans="2:10" ht="15" customHeight="1">
      <c r="B95" s="31"/>
      <c r="C95" s="31"/>
      <c r="D95" s="31"/>
      <c r="E95" s="31"/>
      <c r="F95" s="31"/>
      <c r="G95" s="31"/>
      <c r="H95" s="31"/>
      <c r="I95" s="31"/>
      <c r="J95" s="31"/>
    </row>
    <row r="96" spans="2:10" ht="15" customHeight="1">
      <c r="B96" s="31"/>
      <c r="C96" s="31"/>
      <c r="D96" s="31"/>
      <c r="E96" s="31"/>
      <c r="F96" s="31"/>
      <c r="G96" s="31"/>
      <c r="H96" s="31"/>
      <c r="I96" s="31"/>
      <c r="J96" s="31"/>
    </row>
    <row r="97" spans="2:10" ht="15" customHeight="1">
      <c r="B97" s="31"/>
      <c r="C97" s="31"/>
      <c r="D97" s="31"/>
      <c r="E97" s="31"/>
      <c r="F97" s="31"/>
      <c r="G97" s="31"/>
      <c r="H97" s="31"/>
      <c r="I97" s="31"/>
      <c r="J97" s="31"/>
    </row>
    <row r="98" spans="2:10" ht="15" customHeight="1">
      <c r="B98" s="31"/>
      <c r="C98" s="31"/>
      <c r="D98" s="31"/>
      <c r="E98" s="31"/>
      <c r="F98" s="31"/>
      <c r="G98" s="31"/>
      <c r="H98" s="31"/>
      <c r="I98" s="31"/>
      <c r="J98" s="31"/>
    </row>
    <row r="99" spans="2:10" ht="15" customHeight="1">
      <c r="B99" s="31"/>
      <c r="C99" s="31"/>
      <c r="D99" s="31"/>
      <c r="E99" s="31"/>
      <c r="F99" s="31"/>
      <c r="G99" s="31"/>
      <c r="H99" s="31"/>
      <c r="I99" s="31"/>
      <c r="J99" s="31"/>
    </row>
    <row r="100" spans="2:10" ht="15" customHeight="1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2:10" ht="15" customHeight="1">
      <c r="B101" s="31"/>
      <c r="C101" s="31"/>
      <c r="D101" s="31"/>
      <c r="E101" s="31"/>
      <c r="F101" s="31"/>
      <c r="G101" s="31"/>
      <c r="H101" s="31"/>
      <c r="I101" s="31"/>
      <c r="J101" s="31"/>
    </row>
  </sheetData>
  <mergeCells count="1">
    <mergeCell ref="H1:I1"/>
  </mergeCells>
  <conditionalFormatting sqref="B1">
    <cfRule type="cellIs" dxfId="71" priority="1" operator="equal">
      <formula>"Incomplete"</formula>
    </cfRule>
    <cfRule type="cellIs" dxfId="70" priority="2" operator="equal">
      <formula>"Flag for Review"</formula>
    </cfRule>
    <cfRule type="cellIs" dxfId="6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U109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>
      <c r="A1" s="7">
        <v>8</v>
      </c>
      <c r="B1" s="27" t="s">
        <v>12</v>
      </c>
      <c r="C1" s="20"/>
      <c r="D1" s="20"/>
      <c r="E1" s="20"/>
      <c r="F1" s="20"/>
      <c r="G1" s="20"/>
      <c r="H1" s="854" t="s">
        <v>24</v>
      </c>
      <c r="I1" s="855"/>
      <c r="K1" s="1" t="s">
        <v>33</v>
      </c>
      <c r="L1" s="52" t="str">
        <f>VLOOKUP(A1,'Point Grid'!$L$8:$T$54,9,FALSE)</f>
        <v>Pricing - Chap 5: Premiums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1"/>
      <c r="K3" s="48" t="s">
        <v>2</v>
      </c>
      <c r="L3" s="102" t="s">
        <v>93</v>
      </c>
      <c r="M3" s="115"/>
      <c r="N3" s="117">
        <v>109.2</v>
      </c>
      <c r="O3"/>
      <c r="P3"/>
      <c r="Q3"/>
      <c r="R3"/>
      <c r="S3"/>
      <c r="T3"/>
      <c r="U3"/>
    </row>
    <row r="4" spans="1:21">
      <c r="A4" s="9">
        <f>INDEX('Point Grid'!B:B,MATCH(A1,'Point Grid'!A:A,0))</f>
        <v>2.5</v>
      </c>
      <c r="B4" s="17"/>
      <c r="C4" s="17"/>
      <c r="D4" s="17"/>
      <c r="E4" s="17"/>
      <c r="F4" s="17"/>
      <c r="G4" s="17"/>
      <c r="H4" s="17"/>
      <c r="I4" s="18"/>
      <c r="J4" s="31"/>
      <c r="K4" s="48"/>
      <c r="L4" s="110" t="s">
        <v>94</v>
      </c>
      <c r="M4" s="116"/>
      <c r="N4" s="118">
        <v>193.3</v>
      </c>
      <c r="O4"/>
      <c r="P4"/>
      <c r="Q4"/>
      <c r="R4"/>
      <c r="S4"/>
      <c r="T4"/>
      <c r="U4"/>
    </row>
    <row r="5" spans="1:21">
      <c r="A5" s="16"/>
      <c r="B5" s="17"/>
      <c r="C5" s="17"/>
      <c r="D5" s="17"/>
      <c r="E5" s="17"/>
      <c r="F5" s="17"/>
      <c r="G5" s="17"/>
      <c r="H5" s="17"/>
      <c r="I5" s="18"/>
      <c r="J5" s="31"/>
      <c r="K5" s="48"/>
      <c r="L5"/>
      <c r="M5"/>
      <c r="N5"/>
      <c r="O5"/>
      <c r="P5"/>
      <c r="Q5"/>
      <c r="R5"/>
      <c r="S5"/>
      <c r="T5"/>
      <c r="U5"/>
    </row>
    <row r="6" spans="1:21">
      <c r="A6" s="25" t="s">
        <v>2</v>
      </c>
      <c r="B6" s="17" t="s">
        <v>966</v>
      </c>
      <c r="C6" s="17"/>
      <c r="D6" s="17"/>
      <c r="E6" s="17"/>
      <c r="F6" s="17"/>
      <c r="G6" s="17"/>
      <c r="H6" s="17"/>
      <c r="I6" s="18"/>
      <c r="J6" s="31"/>
      <c r="K6" s="48"/>
      <c r="L6"/>
      <c r="M6"/>
      <c r="N6"/>
      <c r="O6"/>
      <c r="P6"/>
      <c r="Q6"/>
      <c r="R6"/>
      <c r="S6"/>
      <c r="T6"/>
      <c r="U6"/>
    </row>
    <row r="7" spans="1:21" ht="15.75" thickBot="1">
      <c r="A7" s="9">
        <f>INDEX('Point Grid'!$C$8:$I$54,MATCH($A$1,'Point Grid'!$A$8:$A$54,0),MATCH(A6,'Point Grid'!$C$7:$I$7,0))</f>
        <v>2</v>
      </c>
      <c r="B7" s="17"/>
      <c r="C7" s="17"/>
      <c r="D7" s="17"/>
      <c r="E7" s="17"/>
      <c r="F7" s="17"/>
      <c r="G7" s="17"/>
      <c r="H7" s="17"/>
      <c r="I7" s="18"/>
      <c r="J7" s="31"/>
      <c r="K7" s="48"/>
      <c r="L7" s="94" t="s">
        <v>95</v>
      </c>
      <c r="M7"/>
      <c r="N7"/>
      <c r="O7"/>
      <c r="P7"/>
      <c r="Q7"/>
      <c r="R7"/>
      <c r="S7"/>
      <c r="T7"/>
      <c r="U7"/>
    </row>
    <row r="8" spans="1:21" ht="15.75" thickBot="1">
      <c r="A8" s="5"/>
      <c r="B8" s="17"/>
      <c r="C8" s="83" t="s">
        <v>89</v>
      </c>
      <c r="D8" s="91"/>
      <c r="E8" s="84">
        <v>120</v>
      </c>
      <c r="F8" s="28"/>
      <c r="G8" s="28"/>
      <c r="H8" s="28"/>
      <c r="I8" s="18"/>
      <c r="J8" s="31"/>
      <c r="K8"/>
      <c r="L8" s="95"/>
      <c r="M8"/>
      <c r="N8"/>
      <c r="O8"/>
      <c r="P8"/>
      <c r="Q8"/>
      <c r="R8"/>
      <c r="S8"/>
      <c r="T8"/>
      <c r="U8"/>
    </row>
    <row r="9" spans="1:21">
      <c r="A9" s="25"/>
      <c r="B9" s="17"/>
      <c r="C9" s="87" t="s">
        <v>90</v>
      </c>
      <c r="D9" s="92"/>
      <c r="E9" s="90">
        <v>210</v>
      </c>
      <c r="F9" s="17"/>
      <c r="G9" s="17"/>
      <c r="H9" s="17"/>
      <c r="I9" s="18"/>
      <c r="J9" s="31"/>
      <c r="K9" s="48"/>
      <c r="L9"/>
      <c r="M9"/>
      <c r="N9"/>
      <c r="O9" s="80"/>
      <c r="P9"/>
      <c r="Q9"/>
      <c r="R9"/>
      <c r="S9"/>
    </row>
    <row r="10" spans="1:21">
      <c r="A10" s="25"/>
      <c r="B10" s="17"/>
      <c r="C10" s="85" t="s">
        <v>91</v>
      </c>
      <c r="D10" s="93"/>
      <c r="E10" s="86">
        <v>-0.09</v>
      </c>
      <c r="F10" s="17"/>
      <c r="G10" s="17"/>
      <c r="H10" s="17"/>
      <c r="I10" s="18"/>
      <c r="J10" s="31"/>
      <c r="K10" s="48"/>
      <c r="L10"/>
      <c r="M10"/>
      <c r="N10"/>
      <c r="O10" s="81"/>
      <c r="P10"/>
      <c r="Q10"/>
      <c r="R10"/>
      <c r="S10"/>
    </row>
    <row r="11" spans="1:21">
      <c r="A11" s="25"/>
      <c r="B11" s="17"/>
      <c r="C11" s="87" t="s">
        <v>92</v>
      </c>
      <c r="D11" s="92"/>
      <c r="E11" s="89">
        <v>44378</v>
      </c>
      <c r="F11" s="17"/>
      <c r="G11" s="17"/>
      <c r="H11" s="17"/>
      <c r="I11" s="18"/>
      <c r="J11" s="31"/>
      <c r="K11" s="48"/>
      <c r="L11"/>
      <c r="M11"/>
      <c r="N11"/>
      <c r="O11"/>
      <c r="P11"/>
      <c r="Q11"/>
      <c r="R11"/>
      <c r="S11"/>
    </row>
    <row r="12" spans="1:21">
      <c r="A12" s="25"/>
      <c r="B12" s="17"/>
      <c r="C12" s="17"/>
      <c r="D12" s="17"/>
      <c r="E12" s="17"/>
      <c r="F12" s="17"/>
      <c r="G12" s="17"/>
      <c r="H12" s="17"/>
      <c r="I12" s="18"/>
      <c r="J12" s="31"/>
      <c r="K12" s="48"/>
      <c r="L12"/>
      <c r="M12"/>
      <c r="N12"/>
      <c r="O12"/>
      <c r="P12"/>
      <c r="Q12"/>
      <c r="R12"/>
      <c r="S12"/>
    </row>
    <row r="13" spans="1:21">
      <c r="A13" s="25" t="s">
        <v>3</v>
      </c>
      <c r="B13" s="17" t="s">
        <v>112</v>
      </c>
      <c r="C13" s="17"/>
      <c r="D13" s="17"/>
      <c r="E13" s="17"/>
      <c r="F13" s="17"/>
      <c r="G13" s="17"/>
      <c r="H13" s="17"/>
      <c r="I13" s="18"/>
      <c r="J13" s="31"/>
      <c r="K13" s="48"/>
      <c r="L13"/>
      <c r="M13"/>
      <c r="N13"/>
      <c r="O13"/>
      <c r="P13"/>
      <c r="Q13"/>
      <c r="R13"/>
      <c r="S13"/>
    </row>
    <row r="14" spans="1:21" ht="15.75" thickBot="1">
      <c r="A14" s="9">
        <f>INDEX('Point Grid'!$C$8:$I$54,MATCH($A$1,'Point Grid'!$A$8:$A$54,0),MATCH(A13,'Point Grid'!$C$7:$I$7,0))</f>
        <v>0.5</v>
      </c>
      <c r="B14" s="17" t="s">
        <v>113</v>
      </c>
      <c r="C14" s="17"/>
      <c r="D14" s="17"/>
      <c r="E14" s="17"/>
      <c r="F14" s="17"/>
      <c r="G14" s="17"/>
      <c r="H14" s="17"/>
      <c r="I14" s="18"/>
      <c r="J14" s="31"/>
      <c r="K14" s="48"/>
      <c r="L14"/>
      <c r="M14"/>
      <c r="N14"/>
      <c r="O14"/>
      <c r="P14"/>
      <c r="Q14"/>
      <c r="R14"/>
      <c r="S14"/>
    </row>
    <row r="15" spans="1:21" ht="15.75" thickBot="1">
      <c r="A15" s="5"/>
      <c r="B15" s="17"/>
      <c r="C15" s="28"/>
      <c r="D15" s="28"/>
      <c r="E15" s="28"/>
      <c r="F15" s="28"/>
      <c r="G15" s="28"/>
      <c r="H15" s="28"/>
      <c r="I15" s="18"/>
      <c r="J15" s="31"/>
      <c r="K15" s="48"/>
      <c r="L15" t="s">
        <v>96</v>
      </c>
      <c r="M15"/>
      <c r="N15"/>
      <c r="O15"/>
      <c r="P15"/>
      <c r="Q15"/>
      <c r="R15"/>
      <c r="S15"/>
    </row>
    <row r="16" spans="1:21" ht="15" customHeight="1">
      <c r="A16" s="25"/>
      <c r="B16" s="17"/>
      <c r="C16" s="17"/>
      <c r="D16" s="17"/>
      <c r="E16" s="17"/>
      <c r="F16" s="17"/>
      <c r="G16" s="17"/>
      <c r="H16" s="17"/>
      <c r="I16" s="18"/>
      <c r="J16" s="31"/>
      <c r="K16" s="48"/>
      <c r="L16" s="100" t="s">
        <v>111</v>
      </c>
      <c r="M16"/>
      <c r="N16"/>
      <c r="O16"/>
      <c r="P16"/>
      <c r="Q16"/>
      <c r="R16"/>
      <c r="S16"/>
    </row>
    <row r="17" spans="1:21">
      <c r="A17" s="25"/>
      <c r="B17" s="17"/>
      <c r="C17" s="17"/>
      <c r="D17" s="17"/>
      <c r="E17" s="17"/>
      <c r="F17" s="17"/>
      <c r="G17" s="17"/>
      <c r="H17" s="17"/>
      <c r="I17" s="18"/>
      <c r="J17" s="31"/>
      <c r="K17" s="48"/>
      <c r="L17"/>
      <c r="M17"/>
      <c r="N17"/>
      <c r="O17"/>
      <c r="P17"/>
      <c r="Q17"/>
      <c r="R17"/>
      <c r="S17"/>
    </row>
    <row r="18" spans="1:21">
      <c r="A18" s="25"/>
      <c r="B18" s="17"/>
      <c r="C18" s="28"/>
      <c r="D18" s="28"/>
      <c r="E18" s="28"/>
      <c r="F18" s="28"/>
      <c r="G18" s="28"/>
      <c r="H18" s="28"/>
      <c r="I18" s="18"/>
      <c r="J18" s="31"/>
      <c r="K18"/>
      <c r="L18" s="37" t="s">
        <v>97</v>
      </c>
      <c r="M18" s="99" t="s">
        <v>102</v>
      </c>
      <c r="N18"/>
      <c r="O18"/>
      <c r="P18"/>
      <c r="Q18"/>
      <c r="R18"/>
      <c r="S18"/>
      <c r="T18"/>
      <c r="U18"/>
    </row>
    <row r="19" spans="1:21" ht="15" customHeight="1">
      <c r="A19" s="25"/>
      <c r="B19" s="17"/>
      <c r="C19" s="28"/>
      <c r="D19" s="28"/>
      <c r="E19" s="28"/>
      <c r="F19" s="28"/>
      <c r="G19" s="28"/>
      <c r="H19" s="28"/>
      <c r="I19" s="18"/>
      <c r="J19" s="31"/>
      <c r="K19"/>
      <c r="L19" s="100" t="s">
        <v>105</v>
      </c>
      <c r="M19" s="99" t="s">
        <v>103</v>
      </c>
      <c r="N19"/>
      <c r="O19"/>
      <c r="P19"/>
      <c r="Q19"/>
      <c r="R19"/>
      <c r="S19"/>
      <c r="T19"/>
      <c r="U19"/>
    </row>
    <row r="20" spans="1:21" ht="15" customHeight="1">
      <c r="A20" s="25"/>
      <c r="B20" s="17"/>
      <c r="C20" s="28"/>
      <c r="D20" s="28"/>
      <c r="E20" s="28"/>
      <c r="F20" s="28"/>
      <c r="G20" s="28"/>
      <c r="H20" s="28"/>
      <c r="I20" s="18"/>
      <c r="J20" s="31"/>
      <c r="K20"/>
      <c r="L20" s="100" t="s">
        <v>106</v>
      </c>
      <c r="M20" s="101" t="s">
        <v>104</v>
      </c>
      <c r="N20"/>
      <c r="O20"/>
      <c r="P20"/>
      <c r="Q20"/>
      <c r="R20"/>
      <c r="S20"/>
      <c r="T20"/>
      <c r="U20"/>
    </row>
    <row r="21" spans="1:21">
      <c r="A21" s="25"/>
      <c r="B21" s="17"/>
      <c r="C21" s="28"/>
      <c r="D21" s="28"/>
      <c r="E21" s="28"/>
      <c r="F21" s="28"/>
      <c r="G21" s="28"/>
      <c r="H21" s="28"/>
      <c r="I21" s="18"/>
      <c r="J21" s="31"/>
      <c r="K21" s="48"/>
      <c r="L21"/>
      <c r="M21" s="98"/>
      <c r="N21"/>
      <c r="O21"/>
      <c r="P21"/>
      <c r="Q21"/>
      <c r="R21"/>
      <c r="S21"/>
      <c r="T21"/>
      <c r="U21"/>
    </row>
    <row r="22" spans="1:21">
      <c r="A22" s="25"/>
      <c r="B22" s="17"/>
      <c r="C22" s="28"/>
      <c r="D22" s="28"/>
      <c r="E22" s="28"/>
      <c r="F22" s="28"/>
      <c r="G22" s="28"/>
      <c r="H22" s="28"/>
      <c r="I22" s="18"/>
      <c r="J22" s="31"/>
      <c r="K22"/>
      <c r="L22" s="102" t="s">
        <v>98</v>
      </c>
      <c r="M22" s="103">
        <v>1</v>
      </c>
      <c r="N22"/>
      <c r="O22"/>
      <c r="P22"/>
      <c r="Q22"/>
      <c r="R22"/>
      <c r="S22"/>
      <c r="T22"/>
      <c r="U22"/>
    </row>
    <row r="23" spans="1:21">
      <c r="A23" s="25"/>
      <c r="B23" s="17"/>
      <c r="C23" s="28"/>
      <c r="D23" s="28"/>
      <c r="E23" s="28"/>
      <c r="F23" s="28"/>
      <c r="G23" s="28"/>
      <c r="H23" s="28"/>
      <c r="I23" s="18"/>
      <c r="J23" s="31"/>
      <c r="K23"/>
      <c r="L23" s="104" t="s">
        <v>99</v>
      </c>
      <c r="M23" s="105">
        <v>0</v>
      </c>
      <c r="N23"/>
      <c r="O23"/>
      <c r="P23"/>
      <c r="Q23"/>
      <c r="R23"/>
      <c r="S23"/>
      <c r="T23"/>
      <c r="U23"/>
    </row>
    <row r="24" spans="1:21">
      <c r="A24" s="25"/>
      <c r="B24" s="17"/>
      <c r="C24" s="28"/>
      <c r="D24" s="28"/>
      <c r="E24" s="28"/>
      <c r="F24" s="28"/>
      <c r="G24" s="28"/>
      <c r="H24" s="28"/>
      <c r="I24" s="18"/>
      <c r="J24" s="31"/>
      <c r="K24" s="48"/>
      <c r="L24" s="104" t="s">
        <v>100</v>
      </c>
      <c r="M24" s="105">
        <v>0.875</v>
      </c>
      <c r="N24"/>
      <c r="O24"/>
      <c r="P24"/>
      <c r="Q24"/>
      <c r="R24"/>
      <c r="S24"/>
      <c r="T24"/>
      <c r="U24"/>
    </row>
    <row r="25" spans="1:21">
      <c r="A25" s="25"/>
      <c r="B25" s="17"/>
      <c r="C25" s="28"/>
      <c r="D25" s="28"/>
      <c r="E25" s="28"/>
      <c r="F25" s="28"/>
      <c r="G25" s="28"/>
      <c r="H25" s="28"/>
      <c r="I25" s="18"/>
      <c r="J25" s="31"/>
      <c r="K25"/>
      <c r="L25" s="110" t="s">
        <v>101</v>
      </c>
      <c r="M25" s="111">
        <v>0.125</v>
      </c>
      <c r="N25"/>
      <c r="O25"/>
      <c r="P25"/>
      <c r="Q25"/>
      <c r="R25"/>
      <c r="S25"/>
      <c r="T25"/>
      <c r="U25"/>
    </row>
    <row r="26" spans="1:21" ht="15" customHeight="1">
      <c r="A26" s="25"/>
      <c r="B26" s="17"/>
      <c r="C26" s="28"/>
      <c r="D26" s="28"/>
      <c r="E26" s="28"/>
      <c r="F26" s="28"/>
      <c r="G26" s="28"/>
      <c r="H26" s="28"/>
      <c r="I26" s="18"/>
      <c r="J26" s="31"/>
      <c r="K26"/>
      <c r="L26" s="112" t="s">
        <v>97</v>
      </c>
      <c r="M26" s="111">
        <v>0.91</v>
      </c>
      <c r="N26"/>
      <c r="O26"/>
      <c r="P26"/>
      <c r="Q26"/>
      <c r="R26"/>
      <c r="S26"/>
      <c r="T26"/>
      <c r="U26"/>
    </row>
    <row r="27" spans="1:21" ht="15" customHeight="1">
      <c r="A27" s="25"/>
      <c r="B27" s="17"/>
      <c r="C27" s="28"/>
      <c r="D27" s="28"/>
      <c r="E27" s="28"/>
      <c r="F27" s="28"/>
      <c r="G27" s="28"/>
      <c r="H27" s="28"/>
      <c r="I27" s="18"/>
      <c r="J27" s="31"/>
      <c r="K27"/>
      <c r="L27" s="113" t="s">
        <v>107</v>
      </c>
      <c r="M27" s="114">
        <v>1</v>
      </c>
      <c r="N27"/>
      <c r="O27"/>
      <c r="P27"/>
      <c r="Q27"/>
      <c r="R27"/>
      <c r="S27"/>
      <c r="T27"/>
      <c r="U27"/>
    </row>
    <row r="28" spans="1:21" ht="15" customHeight="1">
      <c r="A28" s="25"/>
      <c r="B28" s="17"/>
      <c r="C28" s="28"/>
      <c r="D28" s="28"/>
      <c r="E28" s="28"/>
      <c r="F28" s="28"/>
      <c r="G28" s="28"/>
      <c r="H28" s="28"/>
      <c r="I28" s="18"/>
      <c r="J28" s="31"/>
      <c r="K28"/>
      <c r="L28" s="108" t="s">
        <v>108</v>
      </c>
      <c r="M28" s="109">
        <v>0.98880000000000001</v>
      </c>
      <c r="N28"/>
      <c r="O28"/>
      <c r="P28"/>
      <c r="Q28"/>
      <c r="R28"/>
      <c r="S28"/>
      <c r="T28"/>
      <c r="U28"/>
    </row>
    <row r="29" spans="1:21" ht="15" customHeight="1">
      <c r="A29" s="22"/>
      <c r="B29" s="17"/>
      <c r="C29" s="17"/>
      <c r="D29" s="17"/>
      <c r="E29" s="17"/>
      <c r="F29" s="17"/>
      <c r="G29" s="17"/>
      <c r="H29" s="17"/>
      <c r="I29" s="18"/>
      <c r="J29" s="31"/>
      <c r="K29"/>
      <c r="L29" s="106" t="s">
        <v>109</v>
      </c>
      <c r="M29" s="107">
        <v>0.91</v>
      </c>
      <c r="N29"/>
      <c r="O29"/>
      <c r="P29"/>
      <c r="Q29"/>
      <c r="R29"/>
      <c r="S29"/>
      <c r="T29"/>
      <c r="U29"/>
    </row>
    <row r="30" spans="1:21" ht="15" customHeight="1" thickBot="1">
      <c r="A30" s="24"/>
      <c r="B30" s="32"/>
      <c r="C30" s="32"/>
      <c r="D30" s="32"/>
      <c r="E30" s="32"/>
      <c r="F30" s="32"/>
      <c r="G30" s="32"/>
      <c r="H30" s="32"/>
      <c r="I30" s="33"/>
      <c r="J30" s="31"/>
      <c r="K30"/>
      <c r="L30" s="108" t="s">
        <v>110</v>
      </c>
      <c r="M30" s="109">
        <v>0.9204</v>
      </c>
      <c r="N30"/>
      <c r="O30"/>
      <c r="P30"/>
      <c r="Q30"/>
      <c r="R30"/>
      <c r="S30"/>
      <c r="T30"/>
      <c r="U30"/>
    </row>
    <row r="31" spans="1:21" ht="15" customHeight="1">
      <c r="B31" s="31"/>
      <c r="C31" s="31"/>
      <c r="D31" s="31"/>
      <c r="E31" s="31"/>
      <c r="F31" s="31"/>
      <c r="G31" s="31"/>
      <c r="H31" s="31"/>
      <c r="I31" s="31"/>
      <c r="J31" s="31"/>
      <c r="K31"/>
      <c r="L31"/>
      <c r="M31" s="98"/>
      <c r="N31"/>
      <c r="O31"/>
      <c r="P31"/>
      <c r="Q31"/>
      <c r="R31"/>
      <c r="S31"/>
      <c r="T31"/>
      <c r="U31"/>
    </row>
    <row r="32" spans="1:21" ht="15" customHeight="1">
      <c r="J32" s="31"/>
      <c r="K32" s="48" t="s">
        <v>3</v>
      </c>
      <c r="L32" s="121" t="s">
        <v>114</v>
      </c>
      <c r="M32"/>
      <c r="N32"/>
      <c r="O32"/>
      <c r="P32"/>
      <c r="Q32"/>
      <c r="R32"/>
      <c r="S32"/>
      <c r="T32"/>
      <c r="U32"/>
    </row>
    <row r="33" spans="10:21" ht="15" customHeight="1">
      <c r="J33" s="31"/>
      <c r="K33"/>
      <c r="L33" s="121" t="s">
        <v>115</v>
      </c>
      <c r="M33"/>
      <c r="N33"/>
      <c r="O33"/>
      <c r="P33"/>
      <c r="Q33"/>
      <c r="R33"/>
      <c r="S33"/>
      <c r="T33"/>
      <c r="U33"/>
    </row>
    <row r="34" spans="10:21" ht="15" customHeight="1">
      <c r="J34" s="31"/>
      <c r="K34"/>
      <c r="L34"/>
      <c r="M34"/>
      <c r="N34"/>
      <c r="O34"/>
      <c r="P34"/>
      <c r="Q34"/>
      <c r="R34"/>
      <c r="S34"/>
      <c r="T34"/>
      <c r="U34"/>
    </row>
    <row r="35" spans="10:21" ht="15" customHeight="1">
      <c r="J35" s="31"/>
      <c r="K35"/>
      <c r="L35"/>
      <c r="M35"/>
      <c r="N35"/>
      <c r="O35"/>
      <c r="P35"/>
      <c r="Q35"/>
      <c r="R35"/>
      <c r="S35"/>
      <c r="T35"/>
      <c r="U35"/>
    </row>
    <row r="36" spans="10:21" ht="15" customHeight="1">
      <c r="J36" s="31"/>
      <c r="K36"/>
      <c r="L36"/>
      <c r="M36"/>
      <c r="N36"/>
      <c r="O36"/>
      <c r="P36"/>
      <c r="Q36"/>
      <c r="R36"/>
      <c r="S36"/>
      <c r="T36"/>
      <c r="U36"/>
    </row>
    <row r="37" spans="10:21" ht="15" customHeight="1">
      <c r="J37" s="31"/>
      <c r="K37"/>
      <c r="L37"/>
      <c r="M37"/>
      <c r="N37"/>
      <c r="O37"/>
      <c r="P37"/>
      <c r="Q37"/>
      <c r="R37"/>
      <c r="S37"/>
      <c r="T37"/>
      <c r="U37"/>
    </row>
    <row r="38" spans="10:21" ht="15" customHeight="1">
      <c r="J38" s="31"/>
      <c r="K38"/>
      <c r="L38"/>
      <c r="M38"/>
      <c r="N38"/>
      <c r="O38"/>
      <c r="P38"/>
      <c r="Q38"/>
      <c r="R38"/>
      <c r="S38"/>
      <c r="T38"/>
      <c r="U38"/>
    </row>
    <row r="39" spans="10:21" ht="15" customHeight="1">
      <c r="J39" s="31"/>
      <c r="K39"/>
      <c r="L39"/>
      <c r="M39"/>
      <c r="N39"/>
      <c r="O39"/>
      <c r="P39"/>
      <c r="Q39"/>
      <c r="R39"/>
      <c r="S39"/>
      <c r="T39"/>
      <c r="U39"/>
    </row>
    <row r="40" spans="10:21" ht="15" customHeight="1">
      <c r="J40" s="31"/>
      <c r="K40"/>
      <c r="L40"/>
      <c r="M40"/>
      <c r="N40"/>
      <c r="O40"/>
      <c r="P40"/>
      <c r="Q40"/>
      <c r="R40"/>
      <c r="S40"/>
      <c r="T40"/>
      <c r="U40"/>
    </row>
    <row r="41" spans="10:21" ht="15" customHeight="1">
      <c r="J41" s="31"/>
      <c r="K41" s="48"/>
      <c r="L41" s="1"/>
      <c r="M41"/>
      <c r="N41"/>
      <c r="O41"/>
      <c r="P41"/>
      <c r="Q41"/>
      <c r="R41"/>
      <c r="S41"/>
      <c r="T41"/>
      <c r="U41"/>
    </row>
    <row r="42" spans="10:21" ht="15" customHeight="1">
      <c r="J42" s="31"/>
      <c r="K42"/>
      <c r="L42"/>
      <c r="M42"/>
      <c r="N42"/>
      <c r="O42"/>
      <c r="P42"/>
      <c r="Q42"/>
      <c r="R42"/>
      <c r="S42"/>
      <c r="T42"/>
      <c r="U42"/>
    </row>
    <row r="43" spans="10:21" ht="15" customHeight="1">
      <c r="J43" s="31"/>
      <c r="K43" s="48"/>
      <c r="L43"/>
      <c r="M43"/>
      <c r="N43"/>
      <c r="O43"/>
      <c r="P43"/>
      <c r="Q43"/>
      <c r="R43"/>
      <c r="S43"/>
      <c r="T43"/>
      <c r="U43"/>
    </row>
    <row r="44" spans="10:21" ht="15" customHeight="1">
      <c r="J44" s="31"/>
      <c r="K44"/>
      <c r="L44"/>
      <c r="M44"/>
      <c r="N44"/>
      <c r="O44"/>
      <c r="P44"/>
      <c r="Q44"/>
      <c r="R44"/>
      <c r="S44"/>
      <c r="T44"/>
      <c r="U44"/>
    </row>
    <row r="45" spans="10:21" ht="15" customHeight="1">
      <c r="J45" s="31"/>
      <c r="K45"/>
      <c r="L45"/>
      <c r="M45"/>
      <c r="N45"/>
      <c r="O45"/>
      <c r="P45"/>
      <c r="Q45"/>
      <c r="R45"/>
      <c r="S45"/>
      <c r="T45"/>
      <c r="U45"/>
    </row>
    <row r="46" spans="10:21" ht="15" customHeight="1">
      <c r="J46" s="31"/>
      <c r="K46"/>
      <c r="L46"/>
      <c r="M46"/>
      <c r="N46"/>
      <c r="O46"/>
      <c r="P46"/>
      <c r="Q46"/>
      <c r="R46"/>
      <c r="S46"/>
      <c r="T46"/>
      <c r="U46"/>
    </row>
    <row r="47" spans="10:21" ht="15" customHeight="1">
      <c r="J47" s="31"/>
      <c r="K47"/>
      <c r="L47"/>
      <c r="M47"/>
      <c r="N47"/>
      <c r="O47"/>
      <c r="P47"/>
      <c r="Q47"/>
      <c r="R47"/>
      <c r="S47"/>
      <c r="T47"/>
      <c r="U47"/>
    </row>
    <row r="48" spans="10:21" ht="15" customHeight="1">
      <c r="J48" s="31"/>
      <c r="K48"/>
      <c r="L48"/>
      <c r="M48"/>
      <c r="N48"/>
      <c r="O48"/>
      <c r="P48"/>
      <c r="Q48"/>
      <c r="R48"/>
      <c r="S48"/>
      <c r="T48"/>
      <c r="U48"/>
    </row>
    <row r="49" spans="2:21" ht="15" customHeight="1">
      <c r="J49" s="31"/>
      <c r="K49"/>
      <c r="L49"/>
      <c r="M49"/>
      <c r="N49"/>
      <c r="O49"/>
      <c r="P49"/>
      <c r="Q49"/>
      <c r="R49"/>
      <c r="S49"/>
      <c r="T49"/>
      <c r="U49"/>
    </row>
    <row r="50" spans="2:21" ht="15" customHeight="1">
      <c r="J50" s="31"/>
      <c r="K50"/>
      <c r="L50"/>
      <c r="M50"/>
      <c r="N50"/>
      <c r="O50"/>
      <c r="P50"/>
      <c r="Q50"/>
      <c r="R50"/>
      <c r="S50"/>
      <c r="T50"/>
      <c r="U50"/>
    </row>
    <row r="51" spans="2:21" ht="15" customHeight="1">
      <c r="J51" s="31"/>
      <c r="K51"/>
      <c r="L51"/>
      <c r="M51"/>
      <c r="N51"/>
      <c r="O51"/>
      <c r="P51"/>
      <c r="Q51"/>
      <c r="R51"/>
      <c r="S51"/>
      <c r="T51"/>
      <c r="U51"/>
    </row>
    <row r="52" spans="2:21" ht="15" customHeight="1">
      <c r="J52" s="31"/>
      <c r="K52"/>
      <c r="L52"/>
      <c r="M52"/>
      <c r="N52"/>
      <c r="O52"/>
      <c r="P52"/>
      <c r="Q52"/>
      <c r="R52"/>
      <c r="S52"/>
      <c r="T52"/>
      <c r="U52"/>
    </row>
    <row r="53" spans="2:21" ht="15" customHeight="1">
      <c r="J53" s="31"/>
      <c r="K53"/>
      <c r="L53"/>
      <c r="M53"/>
      <c r="N53"/>
      <c r="O53"/>
      <c r="P53"/>
      <c r="Q53"/>
      <c r="R53"/>
      <c r="S53"/>
      <c r="T53"/>
      <c r="U53"/>
    </row>
    <row r="54" spans="2:21" ht="15" customHeight="1">
      <c r="B54" s="31"/>
      <c r="C54" s="31"/>
      <c r="D54" s="31"/>
      <c r="E54" s="31"/>
      <c r="F54" s="31"/>
      <c r="G54" s="31"/>
      <c r="H54" s="31"/>
      <c r="I54" s="31"/>
      <c r="J54" s="31"/>
      <c r="K54"/>
      <c r="L54"/>
      <c r="M54"/>
      <c r="N54"/>
      <c r="O54"/>
      <c r="P54"/>
      <c r="Q54"/>
      <c r="R54"/>
      <c r="S54"/>
      <c r="T54"/>
      <c r="U54"/>
    </row>
    <row r="55" spans="2:21" ht="15" customHeight="1">
      <c r="B55" s="31"/>
      <c r="C55" s="31"/>
      <c r="D55" s="31"/>
      <c r="E55" s="31"/>
      <c r="F55" s="31"/>
      <c r="G55" s="31"/>
      <c r="H55" s="31"/>
      <c r="I55" s="31"/>
      <c r="J55" s="31"/>
      <c r="K55"/>
      <c r="L55"/>
      <c r="M55"/>
      <c r="N55"/>
      <c r="O55"/>
      <c r="P55"/>
      <c r="Q55"/>
      <c r="R55"/>
      <c r="S55"/>
      <c r="T55"/>
      <c r="U55"/>
    </row>
    <row r="56" spans="2:21" ht="15" customHeight="1">
      <c r="B56" s="31"/>
      <c r="C56" s="31"/>
      <c r="D56" s="31"/>
      <c r="E56" s="31"/>
      <c r="F56" s="31"/>
      <c r="G56" s="31"/>
      <c r="H56" s="31"/>
      <c r="I56" s="31"/>
      <c r="J56" s="31"/>
      <c r="K56"/>
      <c r="L56"/>
      <c r="M56"/>
      <c r="N56"/>
      <c r="O56"/>
      <c r="P56"/>
      <c r="Q56"/>
      <c r="R56"/>
      <c r="S56"/>
      <c r="T56"/>
      <c r="U56"/>
    </row>
    <row r="57" spans="2:21" ht="15" customHeight="1">
      <c r="B57" s="31"/>
      <c r="C57" s="31"/>
      <c r="D57" s="31"/>
      <c r="E57" s="31"/>
      <c r="F57" s="31"/>
      <c r="G57" s="31"/>
      <c r="H57" s="31"/>
      <c r="I57" s="31"/>
      <c r="J57" s="31"/>
      <c r="K57"/>
      <c r="L57"/>
      <c r="M57"/>
      <c r="N57"/>
      <c r="O57"/>
      <c r="P57"/>
      <c r="Q57"/>
      <c r="R57"/>
      <c r="S57"/>
      <c r="T57"/>
      <c r="U57"/>
    </row>
    <row r="58" spans="2:21" ht="15" customHeight="1">
      <c r="B58" s="31"/>
      <c r="C58" s="31"/>
      <c r="D58" s="31"/>
      <c r="E58" s="31"/>
      <c r="F58" s="31"/>
      <c r="G58" s="31"/>
      <c r="H58" s="31"/>
      <c r="I58" s="31"/>
      <c r="J58" s="31"/>
      <c r="K58"/>
      <c r="L58"/>
      <c r="M58"/>
      <c r="N58"/>
      <c r="O58"/>
      <c r="P58"/>
      <c r="Q58"/>
      <c r="R58"/>
      <c r="S58"/>
      <c r="T58"/>
      <c r="U58"/>
    </row>
    <row r="59" spans="2:21" ht="15" customHeight="1">
      <c r="B59" s="31"/>
      <c r="C59" s="31"/>
      <c r="D59" s="31"/>
      <c r="E59" s="31"/>
      <c r="F59" s="31"/>
      <c r="G59" s="31"/>
      <c r="H59" s="31"/>
      <c r="I59" s="31"/>
      <c r="J59" s="31"/>
    </row>
    <row r="60" spans="2:21" ht="15" customHeight="1">
      <c r="B60" s="31"/>
      <c r="C60" s="31"/>
      <c r="D60" s="31"/>
      <c r="E60" s="31"/>
      <c r="F60" s="31"/>
      <c r="G60" s="31"/>
      <c r="H60" s="31"/>
      <c r="I60" s="31"/>
      <c r="J60" s="31"/>
    </row>
    <row r="61" spans="2:21" ht="15" customHeight="1">
      <c r="B61" s="31"/>
      <c r="C61" s="31"/>
      <c r="D61" s="31"/>
      <c r="E61" s="31"/>
      <c r="F61" s="31"/>
      <c r="G61" s="31"/>
      <c r="H61" s="31"/>
      <c r="I61" s="31"/>
      <c r="J61" s="31"/>
    </row>
    <row r="62" spans="2:21" ht="15" customHeight="1">
      <c r="B62" s="31"/>
      <c r="C62" s="31"/>
      <c r="D62" s="31"/>
      <c r="E62" s="31"/>
      <c r="F62" s="31"/>
      <c r="G62" s="31"/>
      <c r="H62" s="31"/>
      <c r="I62" s="31"/>
      <c r="J62" s="31"/>
    </row>
    <row r="63" spans="2:21" ht="15" customHeight="1">
      <c r="B63" s="31"/>
      <c r="C63" s="31"/>
      <c r="D63" s="31"/>
      <c r="E63" s="31"/>
      <c r="F63" s="31"/>
      <c r="G63" s="31"/>
      <c r="H63" s="31"/>
      <c r="I63" s="31"/>
      <c r="J63" s="31"/>
    </row>
    <row r="64" spans="2:21" ht="15" customHeight="1">
      <c r="B64" s="31"/>
      <c r="C64" s="31"/>
      <c r="D64" s="31"/>
      <c r="E64" s="31"/>
      <c r="F64" s="31"/>
      <c r="G64" s="31"/>
      <c r="H64" s="31"/>
      <c r="I64" s="31"/>
      <c r="J64" s="31"/>
    </row>
    <row r="65" spans="2:10" ht="15" customHeight="1">
      <c r="B65" s="31"/>
      <c r="C65" s="31"/>
      <c r="D65" s="31"/>
      <c r="E65" s="31"/>
      <c r="F65" s="31"/>
      <c r="G65" s="31"/>
      <c r="H65" s="31"/>
      <c r="I65" s="31"/>
      <c r="J65" s="31"/>
    </row>
    <row r="66" spans="2:10" ht="15" customHeight="1">
      <c r="B66" s="31"/>
      <c r="C66" s="31"/>
      <c r="D66" s="31"/>
      <c r="E66" s="31"/>
      <c r="F66" s="31"/>
      <c r="G66" s="31"/>
      <c r="H66" s="31"/>
      <c r="I66" s="31"/>
      <c r="J66" s="31"/>
    </row>
    <row r="67" spans="2:10" ht="15" customHeight="1">
      <c r="B67" s="31"/>
      <c r="C67" s="31"/>
      <c r="D67" s="31"/>
      <c r="E67" s="31"/>
      <c r="F67" s="31"/>
      <c r="G67" s="31"/>
      <c r="H67" s="31"/>
      <c r="I67" s="31"/>
      <c r="J67" s="31"/>
    </row>
    <row r="68" spans="2:10" ht="15" customHeight="1">
      <c r="B68" s="31"/>
      <c r="C68" s="31"/>
      <c r="D68" s="31"/>
      <c r="E68" s="31"/>
      <c r="F68" s="31"/>
      <c r="G68" s="31"/>
      <c r="H68" s="31"/>
      <c r="I68" s="31"/>
      <c r="J68" s="31"/>
    </row>
    <row r="69" spans="2:10" ht="15" customHeight="1">
      <c r="B69" s="31"/>
      <c r="C69" s="31"/>
      <c r="D69" s="31"/>
      <c r="E69" s="31"/>
      <c r="F69" s="31"/>
      <c r="G69" s="31"/>
      <c r="H69" s="31"/>
      <c r="I69" s="31"/>
      <c r="J69" s="31"/>
    </row>
    <row r="70" spans="2:10" ht="15" customHeight="1">
      <c r="B70" s="31"/>
      <c r="C70" s="31"/>
      <c r="D70" s="31"/>
      <c r="E70" s="31"/>
      <c r="F70" s="31"/>
      <c r="G70" s="31"/>
      <c r="H70" s="31"/>
      <c r="I70" s="31"/>
      <c r="J70" s="31"/>
    </row>
    <row r="71" spans="2:10" ht="15" customHeight="1">
      <c r="B71" s="31"/>
      <c r="C71" s="31"/>
      <c r="D71" s="31"/>
      <c r="E71" s="31"/>
      <c r="F71" s="31"/>
      <c r="G71" s="31"/>
      <c r="H71" s="31"/>
      <c r="I71" s="31"/>
      <c r="J71" s="31"/>
    </row>
    <row r="72" spans="2:10" ht="15" customHeight="1">
      <c r="B72" s="31"/>
      <c r="C72" s="31"/>
      <c r="D72" s="31"/>
      <c r="E72" s="31"/>
      <c r="F72" s="31"/>
      <c r="G72" s="31"/>
      <c r="H72" s="31"/>
      <c r="I72" s="31"/>
      <c r="J72" s="31"/>
    </row>
    <row r="73" spans="2:10" ht="15" customHeight="1">
      <c r="B73" s="31"/>
      <c r="C73" s="31"/>
      <c r="D73" s="31"/>
      <c r="E73" s="31"/>
      <c r="F73" s="31"/>
      <c r="G73" s="31"/>
      <c r="H73" s="31"/>
      <c r="I73" s="31"/>
      <c r="J73" s="31"/>
    </row>
    <row r="74" spans="2:10" ht="15" customHeight="1">
      <c r="B74" s="31"/>
      <c r="C74" s="31"/>
      <c r="D74" s="31"/>
      <c r="E74" s="31"/>
      <c r="F74" s="31"/>
      <c r="G74" s="31"/>
      <c r="H74" s="31"/>
      <c r="I74" s="31"/>
      <c r="J74" s="31"/>
    </row>
    <row r="75" spans="2:10" ht="15" customHeight="1">
      <c r="B75" s="31"/>
      <c r="C75" s="31"/>
      <c r="D75" s="31"/>
      <c r="E75" s="31"/>
      <c r="F75" s="31"/>
      <c r="G75" s="31"/>
      <c r="H75" s="31"/>
      <c r="I75" s="31"/>
      <c r="J75" s="31"/>
    </row>
    <row r="76" spans="2:10" ht="15" customHeight="1">
      <c r="B76" s="31"/>
      <c r="C76" s="31"/>
      <c r="D76" s="31"/>
      <c r="E76" s="31"/>
      <c r="F76" s="31"/>
      <c r="G76" s="31"/>
      <c r="H76" s="31"/>
      <c r="I76" s="31"/>
      <c r="J76" s="31"/>
    </row>
    <row r="77" spans="2:10" ht="15" customHeight="1">
      <c r="B77" s="31"/>
      <c r="C77" s="31"/>
      <c r="D77" s="31"/>
      <c r="E77" s="31"/>
      <c r="F77" s="31"/>
      <c r="G77" s="31"/>
      <c r="H77" s="31"/>
      <c r="I77" s="31"/>
      <c r="J77" s="31"/>
    </row>
    <row r="78" spans="2:10" ht="15" customHeight="1">
      <c r="B78" s="31"/>
      <c r="C78" s="31"/>
      <c r="D78" s="31"/>
      <c r="E78" s="31"/>
      <c r="F78" s="31"/>
      <c r="G78" s="31"/>
      <c r="H78" s="31"/>
      <c r="I78" s="31"/>
      <c r="J78" s="31"/>
    </row>
    <row r="79" spans="2:10" ht="15" customHeight="1">
      <c r="B79" s="31"/>
      <c r="C79" s="31"/>
      <c r="D79" s="31"/>
      <c r="E79" s="31"/>
      <c r="F79" s="31"/>
      <c r="G79" s="31"/>
      <c r="H79" s="31"/>
      <c r="I79" s="31"/>
      <c r="J79" s="31"/>
    </row>
    <row r="80" spans="2:10" ht="15" customHeight="1">
      <c r="B80" s="31"/>
      <c r="C80" s="31"/>
      <c r="D80" s="31"/>
      <c r="E80" s="31"/>
      <c r="F80" s="31"/>
      <c r="G80" s="31"/>
      <c r="H80" s="31"/>
      <c r="I80" s="31"/>
      <c r="J80" s="31"/>
    </row>
    <row r="81" spans="2:10" ht="15" customHeight="1">
      <c r="B81" s="31"/>
      <c r="C81" s="31"/>
      <c r="D81" s="31"/>
      <c r="E81" s="31"/>
      <c r="F81" s="31"/>
      <c r="G81" s="31"/>
      <c r="H81" s="31"/>
      <c r="I81" s="31"/>
      <c r="J81" s="31"/>
    </row>
    <row r="82" spans="2:10" ht="15" customHeight="1">
      <c r="B82" s="31"/>
      <c r="C82" s="31"/>
      <c r="D82" s="31"/>
      <c r="E82" s="31"/>
      <c r="F82" s="31"/>
      <c r="G82" s="31"/>
      <c r="H82" s="31"/>
      <c r="I82" s="31"/>
      <c r="J82" s="31"/>
    </row>
    <row r="83" spans="2:10" ht="15" customHeight="1">
      <c r="B83" s="31"/>
      <c r="C83" s="31"/>
      <c r="D83" s="31"/>
      <c r="E83" s="31"/>
      <c r="F83" s="31"/>
      <c r="G83" s="31"/>
      <c r="H83" s="31"/>
      <c r="I83" s="31"/>
      <c r="J83" s="31"/>
    </row>
    <row r="84" spans="2:10" ht="15" customHeight="1">
      <c r="B84" s="31"/>
      <c r="C84" s="31"/>
      <c r="D84" s="31"/>
      <c r="E84" s="31"/>
      <c r="F84" s="31"/>
      <c r="G84" s="31"/>
      <c r="H84" s="31"/>
      <c r="I84" s="31"/>
      <c r="J84" s="31"/>
    </row>
    <row r="85" spans="2:10" ht="15" customHeight="1">
      <c r="B85" s="31"/>
      <c r="C85" s="31"/>
      <c r="D85" s="31"/>
      <c r="E85" s="31"/>
      <c r="F85" s="31"/>
      <c r="G85" s="31"/>
      <c r="H85" s="31"/>
      <c r="I85" s="31"/>
      <c r="J85" s="31"/>
    </row>
    <row r="86" spans="2:10" ht="15" customHeight="1">
      <c r="B86" s="31"/>
      <c r="C86" s="31"/>
      <c r="D86" s="31"/>
      <c r="E86" s="31"/>
      <c r="F86" s="31"/>
      <c r="G86" s="31"/>
      <c r="H86" s="31"/>
      <c r="I86" s="31"/>
      <c r="J86" s="31"/>
    </row>
    <row r="87" spans="2:10" ht="15" customHeight="1">
      <c r="B87" s="31"/>
      <c r="C87" s="31"/>
      <c r="D87" s="31"/>
      <c r="E87" s="31"/>
      <c r="F87" s="31"/>
      <c r="G87" s="31"/>
      <c r="H87" s="31"/>
      <c r="I87" s="31"/>
      <c r="J87" s="31"/>
    </row>
    <row r="88" spans="2:10" ht="15" customHeight="1">
      <c r="B88" s="31"/>
      <c r="C88" s="31"/>
      <c r="D88" s="31"/>
      <c r="E88" s="31"/>
      <c r="F88" s="31"/>
      <c r="G88" s="31"/>
      <c r="H88" s="31"/>
      <c r="I88" s="31"/>
      <c r="J88" s="31"/>
    </row>
    <row r="89" spans="2:10" ht="15" customHeight="1">
      <c r="B89" s="31"/>
      <c r="C89" s="31"/>
      <c r="D89" s="31"/>
      <c r="E89" s="31"/>
      <c r="F89" s="31"/>
      <c r="G89" s="31"/>
      <c r="H89" s="31"/>
      <c r="I89" s="31"/>
      <c r="J89" s="31"/>
    </row>
    <row r="90" spans="2:10" ht="15" customHeight="1">
      <c r="B90" s="31"/>
      <c r="C90" s="31"/>
      <c r="D90" s="31"/>
      <c r="E90" s="31"/>
      <c r="F90" s="31"/>
      <c r="G90" s="31"/>
      <c r="H90" s="31"/>
      <c r="I90" s="31"/>
      <c r="J90" s="31"/>
    </row>
    <row r="91" spans="2:10" ht="15" customHeight="1">
      <c r="B91" s="31"/>
      <c r="C91" s="31"/>
      <c r="D91" s="31"/>
      <c r="E91" s="31"/>
      <c r="F91" s="31"/>
      <c r="G91" s="31"/>
      <c r="H91" s="31"/>
      <c r="I91" s="31"/>
      <c r="J91" s="31"/>
    </row>
    <row r="92" spans="2:10" ht="15" customHeight="1">
      <c r="B92" s="31"/>
      <c r="C92" s="31"/>
      <c r="D92" s="31"/>
      <c r="E92" s="31"/>
      <c r="F92" s="31"/>
      <c r="G92" s="31"/>
      <c r="H92" s="31"/>
      <c r="I92" s="31"/>
      <c r="J92" s="31"/>
    </row>
    <row r="93" spans="2:10" ht="15" customHeight="1">
      <c r="B93" s="31"/>
      <c r="C93" s="31"/>
      <c r="D93" s="31"/>
      <c r="E93" s="31"/>
      <c r="F93" s="31"/>
      <c r="G93" s="31"/>
      <c r="H93" s="31"/>
      <c r="I93" s="31"/>
      <c r="J93" s="31"/>
    </row>
    <row r="94" spans="2:10" ht="15" customHeight="1">
      <c r="B94" s="31"/>
      <c r="C94" s="31"/>
      <c r="D94" s="31"/>
      <c r="E94" s="31"/>
      <c r="F94" s="31"/>
      <c r="G94" s="31"/>
      <c r="H94" s="31"/>
      <c r="I94" s="31"/>
      <c r="J94" s="31"/>
    </row>
    <row r="95" spans="2:10" ht="15" customHeight="1">
      <c r="B95" s="31"/>
      <c r="C95" s="31"/>
      <c r="D95" s="31"/>
      <c r="E95" s="31"/>
      <c r="F95" s="31"/>
      <c r="G95" s="31"/>
      <c r="H95" s="31"/>
      <c r="I95" s="31"/>
      <c r="J95" s="31"/>
    </row>
    <row r="96" spans="2:10" ht="15" customHeight="1">
      <c r="B96" s="31"/>
      <c r="C96" s="31"/>
      <c r="D96" s="31"/>
      <c r="E96" s="31"/>
      <c r="F96" s="31"/>
      <c r="G96" s="31"/>
      <c r="H96" s="31"/>
      <c r="I96" s="31"/>
      <c r="J96" s="31"/>
    </row>
    <row r="97" spans="2:10" ht="15" customHeight="1">
      <c r="B97" s="31"/>
      <c r="C97" s="31"/>
      <c r="D97" s="31"/>
      <c r="E97" s="31"/>
      <c r="F97" s="31"/>
      <c r="G97" s="31"/>
      <c r="H97" s="31"/>
      <c r="I97" s="31"/>
      <c r="J97" s="31"/>
    </row>
    <row r="98" spans="2:10" ht="15" customHeight="1">
      <c r="B98" s="31"/>
      <c r="C98" s="31"/>
      <c r="D98" s="31"/>
      <c r="E98" s="31"/>
      <c r="F98" s="31"/>
      <c r="G98" s="31"/>
      <c r="H98" s="31"/>
      <c r="I98" s="31"/>
      <c r="J98" s="31"/>
    </row>
    <row r="99" spans="2:10" ht="15" customHeight="1">
      <c r="B99" s="31"/>
      <c r="C99" s="31"/>
      <c r="D99" s="31"/>
      <c r="E99" s="31"/>
      <c r="F99" s="31"/>
      <c r="G99" s="31"/>
      <c r="H99" s="31"/>
      <c r="I99" s="31"/>
      <c r="J99" s="31"/>
    </row>
    <row r="100" spans="2:10" ht="15" customHeight="1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2:10" ht="15" customHeight="1">
      <c r="B101" s="31"/>
      <c r="C101" s="31"/>
      <c r="D101" s="31"/>
      <c r="E101" s="31"/>
      <c r="F101" s="31"/>
      <c r="G101" s="31"/>
      <c r="H101" s="31"/>
      <c r="I101" s="31"/>
      <c r="J101" s="31"/>
    </row>
    <row r="102" spans="2:10" ht="15" customHeight="1">
      <c r="B102" s="31"/>
      <c r="C102" s="31"/>
      <c r="D102" s="31"/>
      <c r="E102" s="31"/>
      <c r="F102" s="31"/>
      <c r="G102" s="31"/>
      <c r="H102" s="31"/>
      <c r="I102" s="31"/>
      <c r="J102" s="31"/>
    </row>
    <row r="103" spans="2:10" ht="15" customHeight="1">
      <c r="B103" s="31"/>
      <c r="C103" s="31"/>
      <c r="D103" s="31"/>
      <c r="E103" s="31"/>
      <c r="F103" s="31"/>
      <c r="G103" s="31"/>
      <c r="H103" s="31"/>
      <c r="I103" s="31"/>
      <c r="J103" s="31"/>
    </row>
    <row r="104" spans="2:10" ht="15" customHeight="1">
      <c r="B104" s="31"/>
      <c r="C104" s="31"/>
      <c r="D104" s="31"/>
      <c r="E104" s="31"/>
      <c r="F104" s="31"/>
      <c r="G104" s="31"/>
      <c r="H104" s="31"/>
      <c r="I104" s="31"/>
      <c r="J104" s="31"/>
    </row>
    <row r="105" spans="2:10" ht="15" customHeight="1">
      <c r="B105" s="31"/>
      <c r="C105" s="31"/>
      <c r="D105" s="31"/>
      <c r="E105" s="31"/>
      <c r="F105" s="31"/>
      <c r="G105" s="31"/>
      <c r="H105" s="31"/>
      <c r="I105" s="31"/>
      <c r="J105" s="31"/>
    </row>
    <row r="106" spans="2:10" ht="15" customHeight="1">
      <c r="B106" s="31"/>
      <c r="C106" s="31"/>
      <c r="D106" s="31"/>
      <c r="E106" s="31"/>
      <c r="F106" s="31"/>
      <c r="G106" s="31"/>
      <c r="H106" s="31"/>
      <c r="I106" s="31"/>
      <c r="J106" s="31"/>
    </row>
    <row r="107" spans="2:10" ht="15" customHeight="1">
      <c r="B107" s="31"/>
      <c r="C107" s="31"/>
      <c r="D107" s="31"/>
      <c r="E107" s="31"/>
      <c r="F107" s="31"/>
      <c r="G107" s="31"/>
      <c r="H107" s="31"/>
      <c r="I107" s="31"/>
      <c r="J107" s="31"/>
    </row>
    <row r="108" spans="2:10" ht="15" customHeight="1">
      <c r="B108" s="31"/>
      <c r="C108" s="31"/>
      <c r="D108" s="31"/>
      <c r="E108" s="31"/>
      <c r="F108" s="31"/>
      <c r="G108" s="31"/>
      <c r="H108" s="31"/>
      <c r="I108" s="31"/>
      <c r="J108" s="31"/>
    </row>
    <row r="109" spans="2:10" ht="15" customHeight="1">
      <c r="B109" s="31"/>
      <c r="C109" s="31"/>
      <c r="D109" s="31"/>
      <c r="E109" s="31"/>
      <c r="F109" s="31"/>
      <c r="G109" s="31"/>
      <c r="H109" s="31"/>
      <c r="I109" s="31"/>
      <c r="J109" s="31"/>
    </row>
  </sheetData>
  <mergeCells count="1">
    <mergeCell ref="H1:I1"/>
  </mergeCells>
  <conditionalFormatting sqref="B1">
    <cfRule type="cellIs" dxfId="68" priority="1" operator="equal">
      <formula>"Incomplete"</formula>
    </cfRule>
    <cfRule type="cellIs" dxfId="67" priority="2" operator="equal">
      <formula>"Flag for Review"</formula>
    </cfRule>
    <cfRule type="cellIs" dxfId="6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U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3" width="11.140625" style="21" customWidth="1"/>
    <col min="4" max="6" width="12.7109375" style="21" customWidth="1"/>
    <col min="7" max="7" width="6.7109375" style="21" customWidth="1"/>
    <col min="8" max="8" width="11.140625" style="21" customWidth="1"/>
    <col min="9" max="9" width="6.7109375" style="21" customWidth="1"/>
    <col min="10" max="16384" width="9.140625" style="21"/>
  </cols>
  <sheetData>
    <row r="1" spans="1:21">
      <c r="A1" s="7">
        <v>9</v>
      </c>
      <c r="B1" s="27" t="s">
        <v>12</v>
      </c>
      <c r="C1" s="20"/>
      <c r="D1" s="20"/>
      <c r="E1" s="20"/>
      <c r="F1" s="20"/>
      <c r="G1" s="20"/>
      <c r="H1" s="854" t="s">
        <v>24</v>
      </c>
      <c r="I1" s="855"/>
      <c r="K1" s="1" t="s">
        <v>33</v>
      </c>
      <c r="L1" s="52" t="str">
        <f>VLOOKUP(A1,'Point Grid'!$L$8:$T$54,9,FALSE)</f>
        <v>Pricing - Chap 6: Loss &amp; LAE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1"/>
      <c r="K3" s="48" t="s">
        <v>2</v>
      </c>
      <c r="L3" s="134" t="s">
        <v>118</v>
      </c>
      <c r="M3"/>
      <c r="N3"/>
      <c r="O3"/>
      <c r="P3"/>
      <c r="Q3"/>
      <c r="R3"/>
      <c r="S3"/>
      <c r="T3"/>
      <c r="U3"/>
    </row>
    <row r="4" spans="1:21">
      <c r="A4" s="9">
        <f>INDEX('Point Grid'!B:B,MATCH(A1,'Point Grid'!A:A,0))</f>
        <v>2.5</v>
      </c>
      <c r="B4" s="17"/>
      <c r="C4" s="17"/>
      <c r="D4" s="17"/>
      <c r="E4" s="17"/>
      <c r="F4" s="17"/>
      <c r="G4" s="17"/>
      <c r="H4" s="17"/>
      <c r="I4" s="18"/>
      <c r="J4" s="31"/>
      <c r="K4" s="48"/>
      <c r="L4" s="134" t="s">
        <v>119</v>
      </c>
      <c r="M4"/>
      <c r="N4"/>
      <c r="O4"/>
      <c r="P4"/>
      <c r="Q4"/>
      <c r="R4"/>
      <c r="S4"/>
      <c r="T4"/>
      <c r="U4"/>
    </row>
    <row r="5" spans="1:21">
      <c r="A5" s="16"/>
      <c r="B5" s="17"/>
      <c r="C5" s="17"/>
      <c r="D5" s="17"/>
      <c r="E5" s="17"/>
      <c r="F5" s="17"/>
      <c r="G5" s="17"/>
      <c r="H5" s="17"/>
      <c r="I5" s="18"/>
      <c r="J5" s="31"/>
      <c r="K5" s="48"/>
      <c r="L5"/>
      <c r="M5"/>
      <c r="N5"/>
      <c r="O5"/>
      <c r="P5"/>
      <c r="Q5"/>
      <c r="R5"/>
      <c r="S5"/>
      <c r="T5"/>
      <c r="U5"/>
    </row>
    <row r="6" spans="1:21">
      <c r="A6" s="25" t="s">
        <v>2</v>
      </c>
      <c r="B6" s="17" t="s">
        <v>116</v>
      </c>
      <c r="C6" s="17"/>
      <c r="D6" s="17"/>
      <c r="E6" s="17"/>
      <c r="F6" s="17"/>
      <c r="G6" s="17"/>
      <c r="H6" s="17"/>
      <c r="I6" s="18"/>
      <c r="J6" s="31"/>
      <c r="K6" s="48" t="s">
        <v>3</v>
      </c>
      <c r="L6" s="135" t="s">
        <v>135</v>
      </c>
      <c r="M6"/>
      <c r="N6" s="136">
        <v>6.4909999999999995E-2</v>
      </c>
      <c r="O6" s="135"/>
      <c r="P6"/>
      <c r="Q6"/>
      <c r="R6"/>
      <c r="S6"/>
      <c r="T6"/>
      <c r="U6"/>
    </row>
    <row r="7" spans="1:21" ht="15.75" thickBot="1">
      <c r="A7" s="9">
        <f>INDEX('Point Grid'!$C$8:$I$54,MATCH($A$1,'Point Grid'!$A$8:$A$54,0),MATCH(A6,'Point Grid'!$C$7:$I$7,0))</f>
        <v>0.5</v>
      </c>
      <c r="B7" s="17" t="s">
        <v>117</v>
      </c>
      <c r="C7" s="17"/>
      <c r="D7" s="17"/>
      <c r="E7" s="17"/>
      <c r="F7" s="17"/>
      <c r="G7" s="17"/>
      <c r="H7" s="17"/>
      <c r="I7" s="18"/>
      <c r="J7" s="31"/>
      <c r="K7" s="48"/>
      <c r="L7"/>
      <c r="M7"/>
      <c r="N7"/>
      <c r="O7"/>
      <c r="P7"/>
      <c r="Q7"/>
      <c r="R7"/>
      <c r="S7"/>
      <c r="T7"/>
      <c r="U7"/>
    </row>
    <row r="8" spans="1:21" ht="15.75" thickBot="1">
      <c r="A8" s="5"/>
      <c r="B8" s="17"/>
      <c r="C8" s="28"/>
      <c r="D8" s="28"/>
      <c r="E8" s="28"/>
      <c r="F8" s="28"/>
      <c r="G8" s="28"/>
      <c r="H8" s="28"/>
      <c r="I8" s="18"/>
      <c r="J8" s="31"/>
      <c r="K8"/>
      <c r="L8" s="137"/>
      <c r="M8" s="138" t="s">
        <v>140</v>
      </c>
      <c r="N8" s="139" t="s">
        <v>141</v>
      </c>
      <c r="O8" s="139" t="s">
        <v>142</v>
      </c>
      <c r="P8" s="139" t="s">
        <v>143</v>
      </c>
      <c r="Q8" s="140" t="s">
        <v>144</v>
      </c>
      <c r="R8" s="140" t="s">
        <v>145</v>
      </c>
      <c r="S8"/>
      <c r="T8"/>
      <c r="U8"/>
    </row>
    <row r="9" spans="1:21">
      <c r="A9" s="25"/>
      <c r="B9" s="17"/>
      <c r="C9" s="17"/>
      <c r="D9" s="17"/>
      <c r="E9" s="17"/>
      <c r="F9" s="17"/>
      <c r="G9" s="17"/>
      <c r="H9" s="17"/>
      <c r="I9" s="18"/>
      <c r="J9" s="31"/>
      <c r="K9" s="48"/>
      <c r="L9" s="141"/>
      <c r="M9" s="142"/>
      <c r="N9" s="142" t="s">
        <v>123</v>
      </c>
      <c r="O9" s="142" t="s">
        <v>126</v>
      </c>
      <c r="P9" s="143" t="s">
        <v>122</v>
      </c>
      <c r="Q9" s="144" t="s">
        <v>138</v>
      </c>
      <c r="R9" s="144"/>
      <c r="S9"/>
    </row>
    <row r="10" spans="1:21">
      <c r="A10" s="25" t="s">
        <v>3</v>
      </c>
      <c r="B10" s="17" t="s">
        <v>136</v>
      </c>
      <c r="C10" s="17"/>
      <c r="D10" s="17"/>
      <c r="E10" s="17"/>
      <c r="F10" s="17"/>
      <c r="G10" s="17"/>
      <c r="H10" s="17"/>
      <c r="I10" s="18"/>
      <c r="J10" s="31"/>
      <c r="K10"/>
      <c r="L10" s="141"/>
      <c r="M10" s="142" t="s">
        <v>121</v>
      </c>
      <c r="N10" s="142" t="s">
        <v>124</v>
      </c>
      <c r="O10" s="142" t="s">
        <v>124</v>
      </c>
      <c r="P10" s="143" t="s">
        <v>137</v>
      </c>
      <c r="Q10" s="145" t="s">
        <v>124</v>
      </c>
      <c r="R10" s="144" t="s">
        <v>124</v>
      </c>
      <c r="S10"/>
      <c r="T10"/>
      <c r="U10"/>
    </row>
    <row r="11" spans="1:21" ht="15.75" thickBot="1">
      <c r="A11" s="9">
        <f>INDEX('Point Grid'!$C$8:$I$54,MATCH($A$1,'Point Grid'!$A$8:$A$54,0),MATCH(A10,'Point Grid'!$C$7:$I$7,0))</f>
        <v>2</v>
      </c>
      <c r="B11" s="17"/>
      <c r="C11" s="17"/>
      <c r="D11" s="17"/>
      <c r="E11" s="17"/>
      <c r="F11" s="17"/>
      <c r="G11" s="17"/>
      <c r="H11" s="17"/>
      <c r="I11" s="18"/>
      <c r="J11" s="31"/>
      <c r="K11"/>
      <c r="L11" s="146" t="s">
        <v>120</v>
      </c>
      <c r="M11" s="147" t="s">
        <v>122</v>
      </c>
      <c r="N11" s="147" t="s">
        <v>125</v>
      </c>
      <c r="O11" s="147" t="s">
        <v>122</v>
      </c>
      <c r="P11" s="148">
        <f>E12</f>
        <v>250</v>
      </c>
      <c r="Q11" s="149" t="s">
        <v>122</v>
      </c>
      <c r="R11" s="149" t="s">
        <v>139</v>
      </c>
      <c r="S11"/>
      <c r="T11"/>
      <c r="U11"/>
    </row>
    <row r="12" spans="1:21" ht="15.75" thickBot="1">
      <c r="A12" s="5"/>
      <c r="B12" s="17"/>
      <c r="C12" s="154" t="s">
        <v>147</v>
      </c>
      <c r="D12" s="154"/>
      <c r="E12" s="155">
        <f>250</f>
        <v>250</v>
      </c>
      <c r="F12" s="154"/>
      <c r="G12" s="28"/>
      <c r="H12" s="28"/>
      <c r="I12" s="18"/>
      <c r="J12" s="31"/>
      <c r="K12"/>
      <c r="L12" s="150">
        <v>2022</v>
      </c>
      <c r="M12" s="151">
        <f t="shared" ref="M12:O15" si="0">D16</f>
        <v>19000</v>
      </c>
      <c r="N12" s="151">
        <f t="shared" si="0"/>
        <v>5</v>
      </c>
      <c r="O12" s="151">
        <f t="shared" si="0"/>
        <v>3255</v>
      </c>
      <c r="P12" s="142">
        <f>O12-N12*P11</f>
        <v>2005</v>
      </c>
      <c r="Q12" s="144">
        <f>M12-P12</f>
        <v>16995</v>
      </c>
      <c r="R12" s="152">
        <f>ROUND(P12/Q12,3)</f>
        <v>0.11799999999999999</v>
      </c>
      <c r="S12"/>
      <c r="T12"/>
      <c r="U12"/>
    </row>
    <row r="13" spans="1:21">
      <c r="A13" s="25"/>
      <c r="B13" s="17"/>
      <c r="C13" s="154"/>
      <c r="D13" s="154"/>
      <c r="E13" s="154"/>
      <c r="F13" s="154"/>
      <c r="G13" s="28"/>
      <c r="H13" s="28"/>
      <c r="I13" s="18"/>
      <c r="J13" s="31"/>
      <c r="K13" s="48"/>
      <c r="L13" s="150">
        <f>L12+1</f>
        <v>2023</v>
      </c>
      <c r="M13" s="151">
        <f t="shared" si="0"/>
        <v>26400</v>
      </c>
      <c r="N13" s="151">
        <f t="shared" si="0"/>
        <v>0</v>
      </c>
      <c r="O13" s="151">
        <f t="shared" si="0"/>
        <v>0</v>
      </c>
      <c r="P13" s="142">
        <f>O13-N13*P11</f>
        <v>0</v>
      </c>
      <c r="Q13" s="144">
        <f>M13-P13</f>
        <v>26400</v>
      </c>
      <c r="R13" s="152">
        <f>ROUND(P13/Q13,3)</f>
        <v>0</v>
      </c>
      <c r="S13"/>
      <c r="T13"/>
      <c r="U13"/>
    </row>
    <row r="14" spans="1:21">
      <c r="A14" s="25"/>
      <c r="B14" s="17"/>
      <c r="C14" s="131"/>
      <c r="D14" s="123" t="s">
        <v>128</v>
      </c>
      <c r="E14" s="123" t="s">
        <v>130</v>
      </c>
      <c r="F14" s="124" t="s">
        <v>132</v>
      </c>
      <c r="G14" s="28"/>
      <c r="H14" s="28"/>
      <c r="I14" s="18"/>
      <c r="J14" s="31"/>
      <c r="K14"/>
      <c r="L14" s="150">
        <f>L13+1</f>
        <v>2024</v>
      </c>
      <c r="M14" s="151">
        <f t="shared" si="0"/>
        <v>22880</v>
      </c>
      <c r="N14" s="151">
        <f t="shared" si="0"/>
        <v>1</v>
      </c>
      <c r="O14" s="151">
        <f t="shared" si="0"/>
        <v>1151</v>
      </c>
      <c r="P14" s="142">
        <f>O14-N14*P11</f>
        <v>901</v>
      </c>
      <c r="Q14" s="144">
        <f>M14-P14</f>
        <v>21979</v>
      </c>
      <c r="R14" s="152">
        <f>ROUND(P14/Q14,3)</f>
        <v>4.1000000000000002E-2</v>
      </c>
      <c r="S14"/>
      <c r="T14"/>
      <c r="U14"/>
    </row>
    <row r="15" spans="1:21">
      <c r="A15" s="25"/>
      <c r="B15" s="17"/>
      <c r="C15" s="132" t="s">
        <v>120</v>
      </c>
      <c r="D15" s="129" t="s">
        <v>129</v>
      </c>
      <c r="E15" s="129" t="s">
        <v>131</v>
      </c>
      <c r="F15" s="130" t="s">
        <v>133</v>
      </c>
      <c r="G15" s="28"/>
      <c r="H15" s="28"/>
      <c r="I15" s="18"/>
      <c r="J15" s="31"/>
      <c r="K15"/>
      <c r="L15" s="150">
        <f>L14+1</f>
        <v>2025</v>
      </c>
      <c r="M15" s="151">
        <f t="shared" si="0"/>
        <v>21964</v>
      </c>
      <c r="N15" s="151">
        <f t="shared" si="0"/>
        <v>22</v>
      </c>
      <c r="O15" s="151">
        <f t="shared" si="0"/>
        <v>8095</v>
      </c>
      <c r="P15" s="142">
        <f>O15-N15*P11</f>
        <v>2595</v>
      </c>
      <c r="Q15" s="144">
        <f>M15-P15</f>
        <v>19369</v>
      </c>
      <c r="R15" s="152">
        <f>ROUND(P15/Q15,3)</f>
        <v>0.13400000000000001</v>
      </c>
      <c r="S15"/>
      <c r="T15"/>
      <c r="U15"/>
    </row>
    <row r="16" spans="1:21">
      <c r="A16" s="25"/>
      <c r="B16" s="17"/>
      <c r="C16" s="133">
        <v>2022</v>
      </c>
      <c r="D16" s="125">
        <v>19000</v>
      </c>
      <c r="E16" s="125">
        <v>5</v>
      </c>
      <c r="F16" s="126">
        <v>3255</v>
      </c>
      <c r="G16" s="28"/>
      <c r="H16" s="28"/>
      <c r="I16" s="18"/>
      <c r="J16" s="31"/>
      <c r="K16" s="48"/>
      <c r="L16" s="159" t="s">
        <v>146</v>
      </c>
      <c r="M16" s="160">
        <f>SUM(M12:M15)</f>
        <v>90244</v>
      </c>
      <c r="N16" s="160">
        <f>SUM(N12:N15)</f>
        <v>28</v>
      </c>
      <c r="O16" s="160">
        <f>SUM(O12:O15)</f>
        <v>12501</v>
      </c>
      <c r="P16" s="160">
        <f>SUM(P12:P15)</f>
        <v>5501</v>
      </c>
      <c r="Q16" s="161">
        <f>SUM(Q12:Q15)</f>
        <v>84743</v>
      </c>
      <c r="R16" s="162">
        <f>P16/Q16</f>
        <v>6.4913916193667917E-2</v>
      </c>
      <c r="S16"/>
      <c r="T16"/>
      <c r="U16"/>
    </row>
    <row r="17" spans="1:21">
      <c r="A17" s="25"/>
      <c r="B17" s="17"/>
      <c r="C17" s="133">
        <v>2023</v>
      </c>
      <c r="D17" s="125">
        <v>26400</v>
      </c>
      <c r="E17" s="125">
        <v>0</v>
      </c>
      <c r="F17" s="126">
        <v>0</v>
      </c>
      <c r="G17" s="28"/>
      <c r="H17" s="28"/>
      <c r="I17" s="18"/>
      <c r="J17" s="31"/>
      <c r="K17"/>
      <c r="L17"/>
      <c r="M17"/>
      <c r="N17"/>
      <c r="O17"/>
      <c r="P17"/>
      <c r="Q17"/>
      <c r="R17"/>
      <c r="S17"/>
      <c r="T17"/>
      <c r="U17"/>
    </row>
    <row r="18" spans="1:21" ht="15" customHeight="1">
      <c r="A18" s="25"/>
      <c r="B18" s="17"/>
      <c r="C18" s="133">
        <v>2024</v>
      </c>
      <c r="D18" s="125">
        <v>22880</v>
      </c>
      <c r="E18" s="125">
        <v>1</v>
      </c>
      <c r="F18" s="126">
        <v>1151</v>
      </c>
      <c r="G18" s="28"/>
      <c r="H18" s="28"/>
      <c r="I18" s="18"/>
      <c r="J18" s="31"/>
      <c r="K18"/>
      <c r="L18" s="163" t="s">
        <v>152</v>
      </c>
      <c r="R18"/>
      <c r="S18"/>
      <c r="T18"/>
      <c r="U18"/>
    </row>
    <row r="19" spans="1:21" ht="15" customHeight="1">
      <c r="A19" s="25"/>
      <c r="B19" s="17"/>
      <c r="C19" s="132">
        <v>2025</v>
      </c>
      <c r="D19" s="127">
        <v>21964</v>
      </c>
      <c r="E19" s="127">
        <v>22</v>
      </c>
      <c r="F19" s="128">
        <v>8095</v>
      </c>
      <c r="G19" s="28"/>
      <c r="H19" s="28"/>
      <c r="I19" s="18"/>
      <c r="J19" s="31"/>
      <c r="K19"/>
      <c r="L19" s="156" t="s">
        <v>148</v>
      </c>
      <c r="M19" s="156" t="str">
        <f>"[ "&amp;P11 &amp; " x (2) ]"</f>
        <v>[ 250 x (2) ]</v>
      </c>
      <c r="N19" s="157"/>
      <c r="O19" s="158"/>
      <c r="P19" s="158"/>
      <c r="Q19" s="158"/>
      <c r="S19"/>
      <c r="T19"/>
      <c r="U19"/>
    </row>
    <row r="20" spans="1:21" ht="15" customHeight="1">
      <c r="A20" s="25"/>
      <c r="B20" s="17"/>
      <c r="C20" s="132" t="s">
        <v>127</v>
      </c>
      <c r="D20" s="127">
        <v>90244</v>
      </c>
      <c r="E20" s="127">
        <v>28</v>
      </c>
      <c r="F20" s="128">
        <v>12501</v>
      </c>
      <c r="G20" s="28"/>
      <c r="H20" s="28"/>
      <c r="I20" s="18"/>
      <c r="J20" s="31"/>
      <c r="K20"/>
      <c r="L20" s="157" t="s">
        <v>149</v>
      </c>
      <c r="M20" s="158"/>
      <c r="N20" s="158"/>
      <c r="O20" s="158"/>
      <c r="P20" s="158"/>
      <c r="Q20" s="158"/>
      <c r="S20"/>
      <c r="T20"/>
      <c r="U20"/>
    </row>
    <row r="21" spans="1:21" ht="15" customHeight="1">
      <c r="A21" s="25"/>
      <c r="B21" s="17"/>
      <c r="C21" s="154"/>
      <c r="D21" s="154"/>
      <c r="E21" s="154"/>
      <c r="F21" s="154"/>
      <c r="G21" s="28"/>
      <c r="H21" s="28"/>
      <c r="I21" s="18"/>
      <c r="J21" s="31"/>
      <c r="K21"/>
      <c r="L21" s="157" t="s">
        <v>150</v>
      </c>
      <c r="M21" s="158"/>
      <c r="N21" s="158"/>
      <c r="O21" s="158"/>
      <c r="P21" s="158"/>
      <c r="Q21" s="158"/>
      <c r="R21"/>
      <c r="S21"/>
      <c r="T21"/>
      <c r="U21"/>
    </row>
    <row r="22" spans="1:21" ht="15" customHeight="1">
      <c r="A22" s="25"/>
      <c r="B22" s="17"/>
      <c r="C22" s="28"/>
      <c r="D22" s="28"/>
      <c r="E22" s="28"/>
      <c r="F22" s="28"/>
      <c r="G22" s="28"/>
      <c r="H22" s="28"/>
      <c r="I22" s="18"/>
      <c r="J22" s="31"/>
      <c r="K22"/>
      <c r="L22" s="157" t="s">
        <v>151</v>
      </c>
      <c r="M22" s="158"/>
      <c r="N22" s="158"/>
      <c r="O22" s="158"/>
      <c r="P22" s="158"/>
      <c r="Q22" s="158"/>
      <c r="R22"/>
      <c r="S22"/>
      <c r="T22"/>
      <c r="U22"/>
    </row>
    <row r="23" spans="1:21" ht="15" customHeight="1">
      <c r="A23" s="25"/>
      <c r="B23" s="17"/>
      <c r="C23" s="28"/>
      <c r="D23" s="28"/>
      <c r="E23" s="28"/>
      <c r="F23" s="28"/>
      <c r="G23" s="28"/>
      <c r="H23" s="28"/>
      <c r="I23" s="18"/>
      <c r="J23" s="31"/>
      <c r="K23"/>
      <c r="R23"/>
      <c r="S23"/>
      <c r="T23"/>
      <c r="U23"/>
    </row>
    <row r="24" spans="1:21" ht="15" customHeight="1">
      <c r="A24" s="25"/>
      <c r="B24" s="17"/>
      <c r="C24" s="28"/>
      <c r="D24" s="28"/>
      <c r="E24" s="28"/>
      <c r="F24" s="28"/>
      <c r="G24" s="28"/>
      <c r="H24" s="28"/>
      <c r="I24" s="18"/>
      <c r="J24" s="31"/>
      <c r="K24"/>
      <c r="L24"/>
      <c r="M24"/>
      <c r="N24"/>
      <c r="O24" s="122"/>
      <c r="P24"/>
      <c r="Q24"/>
      <c r="R24"/>
      <c r="S24"/>
      <c r="T24"/>
      <c r="U24"/>
    </row>
    <row r="25" spans="1:21" ht="15" customHeight="1">
      <c r="A25" s="25"/>
      <c r="B25" s="17"/>
      <c r="C25" s="28"/>
      <c r="D25" s="28"/>
      <c r="E25" s="28"/>
      <c r="F25" s="28"/>
      <c r="G25" s="28"/>
      <c r="H25" s="28"/>
      <c r="I25" s="18"/>
      <c r="J25" s="31"/>
      <c r="K25"/>
      <c r="L25"/>
      <c r="M25"/>
      <c r="N25"/>
      <c r="O25" s="122"/>
      <c r="P25"/>
      <c r="Q25" s="122"/>
      <c r="R25"/>
      <c r="S25"/>
      <c r="T25"/>
      <c r="U25"/>
    </row>
    <row r="26" spans="1:21" ht="15" customHeight="1">
      <c r="A26" s="25"/>
      <c r="B26" s="17"/>
      <c r="C26" s="28"/>
      <c r="D26" s="28"/>
      <c r="E26" s="28"/>
      <c r="F26" s="28"/>
      <c r="G26" s="28"/>
      <c r="H26" s="28"/>
      <c r="I26" s="18"/>
      <c r="J26" s="31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25"/>
      <c r="B27" s="17"/>
      <c r="C27" s="28"/>
      <c r="D27" s="28"/>
      <c r="E27" s="28"/>
      <c r="F27" s="28"/>
      <c r="G27" s="28"/>
      <c r="H27" s="28"/>
      <c r="I27" s="18"/>
      <c r="J27" s="31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25"/>
      <c r="B28" s="17"/>
      <c r="C28" s="28"/>
      <c r="D28" s="28"/>
      <c r="E28" s="28"/>
      <c r="F28" s="28"/>
      <c r="G28" s="28"/>
      <c r="H28" s="28"/>
      <c r="I28" s="18"/>
      <c r="J28" s="31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22"/>
      <c r="B29" s="17"/>
      <c r="C29" s="17"/>
      <c r="D29" s="17"/>
      <c r="E29" s="17"/>
      <c r="F29" s="17"/>
      <c r="G29" s="17"/>
      <c r="H29" s="17"/>
      <c r="I29" s="18"/>
      <c r="J29" s="31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>
      <c r="A30" s="24"/>
      <c r="B30" s="32"/>
      <c r="C30" s="32"/>
      <c r="D30" s="32"/>
      <c r="E30" s="32"/>
      <c r="F30" s="32"/>
      <c r="G30" s="32"/>
      <c r="H30" s="32"/>
      <c r="I30" s="33"/>
      <c r="J30" s="31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B31" s="31"/>
      <c r="C31" s="31"/>
      <c r="D31" s="31"/>
      <c r="E31" s="31"/>
      <c r="F31" s="31"/>
      <c r="G31" s="31"/>
      <c r="H31" s="31"/>
      <c r="I31" s="31"/>
      <c r="J31" s="31"/>
      <c r="K31"/>
      <c r="L31"/>
      <c r="M31"/>
      <c r="N31"/>
      <c r="O31"/>
      <c r="P31"/>
      <c r="Q31"/>
      <c r="R31"/>
      <c r="S31"/>
      <c r="T31"/>
      <c r="U31"/>
    </row>
    <row r="32" spans="1:21" ht="15" customHeight="1">
      <c r="J32" s="31"/>
      <c r="K32"/>
      <c r="L32"/>
      <c r="M32"/>
      <c r="N32"/>
      <c r="O32"/>
      <c r="P32"/>
      <c r="Q32"/>
      <c r="R32"/>
      <c r="S32"/>
      <c r="T32"/>
      <c r="U32"/>
    </row>
    <row r="33" spans="2:21" ht="15" customHeight="1">
      <c r="J33" s="31"/>
      <c r="K33" s="48"/>
      <c r="L33" s="1"/>
      <c r="M33"/>
      <c r="N33"/>
      <c r="O33"/>
      <c r="P33"/>
      <c r="Q33"/>
      <c r="R33"/>
      <c r="S33"/>
      <c r="T33"/>
      <c r="U33"/>
    </row>
    <row r="34" spans="2:21" ht="15" customHeight="1">
      <c r="J34" s="31"/>
      <c r="K34"/>
      <c r="L34"/>
      <c r="M34"/>
      <c r="N34"/>
      <c r="O34"/>
      <c r="P34"/>
      <c r="Q34"/>
      <c r="R34"/>
      <c r="S34"/>
      <c r="T34"/>
      <c r="U34"/>
    </row>
    <row r="35" spans="2:21" ht="15" customHeight="1">
      <c r="J35" s="31"/>
      <c r="K35" s="48"/>
      <c r="L35"/>
      <c r="M35"/>
      <c r="N35"/>
      <c r="O35"/>
      <c r="P35"/>
      <c r="Q35"/>
      <c r="R35"/>
      <c r="S35"/>
      <c r="T35"/>
      <c r="U35"/>
    </row>
    <row r="36" spans="2:21" ht="15" customHeight="1">
      <c r="J36" s="31"/>
      <c r="K36"/>
      <c r="L36"/>
      <c r="M36"/>
      <c r="N36"/>
      <c r="O36"/>
      <c r="P36"/>
      <c r="Q36"/>
      <c r="R36"/>
      <c r="S36"/>
      <c r="T36"/>
      <c r="U36"/>
    </row>
    <row r="37" spans="2:21" ht="15" customHeight="1">
      <c r="J37" s="31"/>
      <c r="K37"/>
      <c r="L37"/>
      <c r="M37"/>
      <c r="N37"/>
      <c r="O37"/>
      <c r="P37"/>
      <c r="Q37"/>
      <c r="R37"/>
      <c r="S37"/>
      <c r="T37"/>
      <c r="U37"/>
    </row>
    <row r="38" spans="2:21" ht="15" customHeight="1">
      <c r="J38" s="31"/>
      <c r="K38"/>
      <c r="L38"/>
      <c r="M38"/>
      <c r="N38"/>
      <c r="O38"/>
      <c r="P38"/>
      <c r="Q38"/>
      <c r="R38"/>
      <c r="S38"/>
      <c r="T38"/>
      <c r="U38"/>
    </row>
    <row r="39" spans="2:21" ht="15" customHeight="1">
      <c r="J39" s="31"/>
      <c r="K39"/>
      <c r="L39"/>
      <c r="M39"/>
      <c r="N39"/>
      <c r="O39"/>
      <c r="P39"/>
      <c r="Q39"/>
      <c r="R39"/>
      <c r="S39"/>
      <c r="T39"/>
      <c r="U39"/>
    </row>
    <row r="40" spans="2:21" ht="15" customHeight="1">
      <c r="J40" s="31"/>
      <c r="K40"/>
      <c r="L40"/>
      <c r="M40"/>
      <c r="N40"/>
      <c r="O40"/>
      <c r="P40"/>
      <c r="Q40"/>
      <c r="R40"/>
      <c r="S40"/>
      <c r="T40"/>
      <c r="U40"/>
    </row>
    <row r="41" spans="2:21" ht="15" customHeight="1">
      <c r="J41" s="31"/>
      <c r="K41"/>
      <c r="L41"/>
      <c r="M41"/>
      <c r="N41"/>
      <c r="O41"/>
      <c r="P41"/>
      <c r="Q41"/>
      <c r="R41"/>
      <c r="S41"/>
      <c r="T41"/>
      <c r="U41"/>
    </row>
    <row r="42" spans="2:21" ht="15" customHeight="1">
      <c r="J42" s="31"/>
      <c r="K42"/>
      <c r="L42"/>
      <c r="M42"/>
      <c r="N42"/>
      <c r="O42"/>
      <c r="P42"/>
      <c r="Q42"/>
      <c r="R42"/>
      <c r="S42"/>
      <c r="T42"/>
      <c r="U42"/>
    </row>
    <row r="43" spans="2:21" ht="15" customHeight="1">
      <c r="J43" s="31"/>
      <c r="K43"/>
      <c r="L43"/>
      <c r="M43"/>
      <c r="N43"/>
      <c r="O43"/>
      <c r="P43"/>
      <c r="Q43"/>
      <c r="R43"/>
      <c r="S43"/>
      <c r="T43"/>
      <c r="U43"/>
    </row>
    <row r="44" spans="2:21" ht="15" customHeight="1">
      <c r="J44" s="31"/>
      <c r="K44"/>
      <c r="L44"/>
      <c r="M44"/>
      <c r="N44"/>
      <c r="O44"/>
      <c r="P44"/>
      <c r="Q44"/>
      <c r="R44"/>
      <c r="S44"/>
      <c r="T44"/>
      <c r="U44"/>
    </row>
    <row r="45" spans="2:21" ht="15" customHeight="1">
      <c r="J45" s="31"/>
      <c r="K45"/>
      <c r="L45"/>
      <c r="M45"/>
      <c r="N45"/>
      <c r="O45"/>
      <c r="P45"/>
      <c r="Q45"/>
      <c r="R45"/>
      <c r="S45"/>
      <c r="T45"/>
      <c r="U45"/>
    </row>
    <row r="46" spans="2:21" ht="15" customHeight="1">
      <c r="B46" s="31"/>
      <c r="C46" s="31"/>
      <c r="D46" s="31"/>
      <c r="E46" s="31"/>
      <c r="F46" s="31"/>
      <c r="G46" s="31"/>
      <c r="H46" s="31"/>
      <c r="I46" s="31"/>
      <c r="J46" s="31"/>
      <c r="K46"/>
      <c r="L46"/>
      <c r="M46"/>
      <c r="N46"/>
      <c r="O46"/>
      <c r="P46"/>
      <c r="Q46"/>
      <c r="R46"/>
      <c r="S46"/>
      <c r="T46"/>
      <c r="U46"/>
    </row>
    <row r="47" spans="2:21" ht="15" customHeight="1">
      <c r="B47" s="31"/>
      <c r="C47" s="31"/>
      <c r="D47" s="31"/>
      <c r="E47" s="31"/>
      <c r="F47" s="31"/>
      <c r="G47" s="31"/>
      <c r="H47" s="31"/>
      <c r="I47" s="31"/>
      <c r="J47" s="31"/>
      <c r="K47"/>
      <c r="L47"/>
      <c r="M47"/>
      <c r="N47"/>
      <c r="O47"/>
      <c r="P47"/>
      <c r="Q47"/>
      <c r="R47"/>
      <c r="S47"/>
      <c r="T47"/>
      <c r="U47"/>
    </row>
    <row r="48" spans="2:21" ht="15" customHeight="1">
      <c r="B48" s="31"/>
      <c r="C48" s="31"/>
      <c r="D48" s="31"/>
      <c r="E48" s="31"/>
      <c r="F48" s="31"/>
      <c r="G48" s="31"/>
      <c r="H48" s="31"/>
      <c r="I48" s="31"/>
      <c r="J48" s="31"/>
      <c r="K48"/>
      <c r="L48"/>
      <c r="M48"/>
      <c r="N48"/>
      <c r="O48"/>
      <c r="P48"/>
      <c r="Q48"/>
      <c r="R48"/>
      <c r="S48"/>
      <c r="T48"/>
      <c r="U48"/>
    </row>
    <row r="49" spans="2:21" ht="15" customHeight="1">
      <c r="B49" s="31"/>
      <c r="C49" s="31"/>
      <c r="D49" s="31"/>
      <c r="E49" s="31"/>
      <c r="F49" s="31"/>
      <c r="G49" s="31"/>
      <c r="H49" s="31"/>
      <c r="I49" s="31"/>
      <c r="J49" s="31"/>
      <c r="K49"/>
      <c r="L49"/>
      <c r="M49"/>
      <c r="N49"/>
      <c r="O49"/>
      <c r="P49"/>
      <c r="Q49"/>
      <c r="R49"/>
      <c r="S49"/>
      <c r="T49"/>
      <c r="U49"/>
    </row>
    <row r="50" spans="2:21" ht="15" customHeight="1">
      <c r="B50" s="31"/>
      <c r="C50" s="31"/>
      <c r="D50" s="31"/>
      <c r="E50" s="31"/>
      <c r="F50" s="31"/>
      <c r="G50" s="31"/>
      <c r="H50" s="31"/>
      <c r="I50" s="31"/>
      <c r="J50" s="31"/>
      <c r="K50"/>
      <c r="L50"/>
      <c r="M50"/>
      <c r="N50"/>
      <c r="O50"/>
      <c r="P50"/>
      <c r="Q50"/>
      <c r="R50"/>
      <c r="S50"/>
      <c r="T50"/>
      <c r="U50"/>
    </row>
    <row r="51" spans="2:21" ht="15" customHeight="1">
      <c r="B51" s="31"/>
      <c r="C51" s="31"/>
      <c r="D51" s="31"/>
      <c r="E51" s="31"/>
      <c r="F51" s="31"/>
      <c r="G51" s="31"/>
      <c r="H51" s="31"/>
      <c r="I51" s="31"/>
      <c r="J51" s="31"/>
    </row>
    <row r="52" spans="2:21" ht="15" customHeight="1">
      <c r="B52" s="31"/>
      <c r="C52" s="31"/>
      <c r="D52" s="31"/>
      <c r="E52" s="31"/>
      <c r="F52" s="31"/>
      <c r="G52" s="31"/>
      <c r="H52" s="31"/>
      <c r="I52" s="31"/>
      <c r="J52" s="31"/>
    </row>
    <row r="53" spans="2:21" ht="15" customHeight="1">
      <c r="B53" s="31"/>
      <c r="C53" s="31"/>
      <c r="D53" s="31"/>
      <c r="E53" s="31"/>
      <c r="F53" s="31"/>
      <c r="G53" s="31"/>
      <c r="H53" s="31"/>
      <c r="I53" s="31"/>
      <c r="J53" s="31"/>
    </row>
    <row r="54" spans="2:21" ht="15" customHeight="1">
      <c r="B54" s="31"/>
      <c r="C54" s="31"/>
      <c r="D54" s="31"/>
      <c r="E54" s="31"/>
      <c r="F54" s="31"/>
      <c r="G54" s="31"/>
      <c r="H54" s="31"/>
      <c r="I54" s="31"/>
      <c r="J54" s="31"/>
    </row>
    <row r="55" spans="2:21" ht="15" customHeight="1">
      <c r="B55" s="31"/>
      <c r="C55" s="31"/>
      <c r="D55" s="31"/>
      <c r="E55" s="31"/>
      <c r="F55" s="31"/>
      <c r="G55" s="31"/>
      <c r="H55" s="31"/>
      <c r="I55" s="31"/>
      <c r="J55" s="31"/>
    </row>
    <row r="56" spans="2:21" ht="15" customHeight="1">
      <c r="B56" s="31"/>
      <c r="C56" s="31"/>
      <c r="D56" s="31"/>
      <c r="E56" s="31"/>
      <c r="F56" s="31"/>
      <c r="G56" s="31"/>
      <c r="H56" s="31"/>
      <c r="I56" s="31"/>
      <c r="J56" s="31"/>
    </row>
    <row r="57" spans="2:21" ht="15" customHeight="1">
      <c r="B57" s="31"/>
      <c r="C57" s="31"/>
      <c r="D57" s="31"/>
      <c r="E57" s="31"/>
      <c r="F57" s="31"/>
      <c r="G57" s="31"/>
      <c r="H57" s="31"/>
      <c r="I57" s="31"/>
      <c r="J57" s="31"/>
    </row>
    <row r="58" spans="2:21" ht="15" customHeight="1">
      <c r="B58" s="31"/>
      <c r="C58" s="31"/>
      <c r="D58" s="31"/>
      <c r="E58" s="31"/>
      <c r="F58" s="31"/>
      <c r="G58" s="31"/>
      <c r="H58" s="31"/>
      <c r="I58" s="31"/>
      <c r="J58" s="31"/>
    </row>
    <row r="59" spans="2:21" ht="15" customHeight="1">
      <c r="B59" s="31"/>
      <c r="C59" s="31"/>
      <c r="D59" s="31"/>
      <c r="E59" s="31"/>
      <c r="F59" s="31"/>
      <c r="G59" s="31"/>
      <c r="H59" s="31"/>
      <c r="I59" s="31"/>
      <c r="J59" s="31"/>
    </row>
    <row r="60" spans="2:21" ht="15" customHeight="1">
      <c r="B60" s="31"/>
      <c r="C60" s="31"/>
      <c r="D60" s="31"/>
      <c r="E60" s="31"/>
      <c r="F60" s="31"/>
      <c r="G60" s="31"/>
      <c r="H60" s="31"/>
      <c r="I60" s="31"/>
      <c r="J60" s="31"/>
    </row>
    <row r="61" spans="2:21" ht="15" customHeight="1">
      <c r="B61" s="31"/>
      <c r="C61" s="31"/>
      <c r="D61" s="31"/>
      <c r="E61" s="31"/>
      <c r="F61" s="31"/>
      <c r="G61" s="31"/>
      <c r="H61" s="31"/>
      <c r="I61" s="31"/>
      <c r="J61" s="31"/>
    </row>
    <row r="62" spans="2:21" ht="15" customHeight="1">
      <c r="B62" s="31"/>
      <c r="C62" s="31"/>
      <c r="D62" s="31"/>
      <c r="E62" s="31"/>
      <c r="F62" s="31"/>
      <c r="G62" s="31"/>
      <c r="H62" s="31"/>
      <c r="I62" s="31"/>
      <c r="J62" s="31"/>
    </row>
    <row r="63" spans="2:21" ht="15" customHeight="1">
      <c r="B63" s="31"/>
      <c r="C63" s="31"/>
      <c r="D63" s="31"/>
      <c r="E63" s="31"/>
      <c r="F63" s="31"/>
      <c r="G63" s="31"/>
      <c r="H63" s="31"/>
      <c r="I63" s="31"/>
      <c r="J63" s="31"/>
    </row>
    <row r="64" spans="2:21" ht="15" customHeight="1">
      <c r="B64" s="31"/>
      <c r="C64" s="31"/>
      <c r="D64" s="31"/>
      <c r="E64" s="31"/>
      <c r="F64" s="31"/>
      <c r="G64" s="31"/>
      <c r="H64" s="31"/>
      <c r="I64" s="31"/>
      <c r="J64" s="31"/>
    </row>
    <row r="65" spans="2:10" ht="15" customHeight="1">
      <c r="B65" s="31"/>
      <c r="C65" s="31"/>
      <c r="D65" s="31"/>
      <c r="E65" s="31"/>
      <c r="F65" s="31"/>
      <c r="G65" s="31"/>
      <c r="H65" s="31"/>
      <c r="I65" s="31"/>
      <c r="J65" s="31"/>
    </row>
    <row r="66" spans="2:10" ht="15" customHeight="1">
      <c r="B66" s="31"/>
      <c r="C66" s="31"/>
      <c r="D66" s="31"/>
      <c r="E66" s="31"/>
      <c r="F66" s="31"/>
      <c r="G66" s="31"/>
      <c r="H66" s="31"/>
      <c r="I66" s="31"/>
      <c r="J66" s="31"/>
    </row>
    <row r="67" spans="2:10" ht="15" customHeight="1">
      <c r="B67" s="31"/>
      <c r="C67" s="31"/>
      <c r="D67" s="31"/>
      <c r="E67" s="31"/>
      <c r="F67" s="31"/>
      <c r="G67" s="31"/>
      <c r="H67" s="31"/>
      <c r="I67" s="31"/>
      <c r="J67" s="31"/>
    </row>
    <row r="68" spans="2:10" ht="15" customHeight="1">
      <c r="B68" s="31"/>
      <c r="C68" s="31"/>
      <c r="D68" s="31"/>
      <c r="E68" s="31"/>
      <c r="F68" s="31"/>
      <c r="G68" s="31"/>
      <c r="H68" s="31"/>
      <c r="I68" s="31"/>
      <c r="J68" s="31"/>
    </row>
    <row r="69" spans="2:10" ht="15" customHeight="1">
      <c r="B69" s="31"/>
      <c r="C69" s="31"/>
      <c r="D69" s="31"/>
      <c r="E69" s="31"/>
      <c r="F69" s="31"/>
      <c r="G69" s="31"/>
      <c r="H69" s="31"/>
      <c r="I69" s="31"/>
      <c r="J69" s="31"/>
    </row>
    <row r="70" spans="2:10" ht="15" customHeight="1">
      <c r="B70" s="31"/>
      <c r="C70" s="31"/>
      <c r="D70" s="31"/>
      <c r="E70" s="31"/>
      <c r="F70" s="31"/>
      <c r="G70" s="31"/>
      <c r="H70" s="31"/>
      <c r="I70" s="31"/>
      <c r="J70" s="31"/>
    </row>
    <row r="71" spans="2:10" ht="15" customHeight="1">
      <c r="B71" s="31"/>
      <c r="C71" s="31"/>
      <c r="D71" s="31"/>
      <c r="E71" s="31"/>
      <c r="F71" s="31"/>
      <c r="G71" s="31"/>
      <c r="H71" s="31"/>
      <c r="I71" s="31"/>
      <c r="J71" s="31"/>
    </row>
    <row r="72" spans="2:10" ht="15" customHeight="1">
      <c r="B72" s="31"/>
      <c r="C72" s="31"/>
      <c r="D72" s="31"/>
      <c r="E72" s="31"/>
      <c r="F72" s="31"/>
      <c r="G72" s="31"/>
      <c r="H72" s="31"/>
      <c r="I72" s="31"/>
      <c r="J72" s="31"/>
    </row>
    <row r="73" spans="2:10" ht="15" customHeight="1">
      <c r="B73" s="31"/>
      <c r="C73" s="31"/>
      <c r="D73" s="31"/>
      <c r="E73" s="31"/>
      <c r="F73" s="31"/>
      <c r="G73" s="31"/>
      <c r="H73" s="31"/>
      <c r="I73" s="31"/>
      <c r="J73" s="31"/>
    </row>
    <row r="74" spans="2:10" ht="15" customHeight="1">
      <c r="B74" s="31"/>
      <c r="C74" s="31"/>
      <c r="D74" s="31"/>
      <c r="E74" s="31"/>
      <c r="F74" s="31"/>
      <c r="G74" s="31"/>
      <c r="H74" s="31"/>
      <c r="I74" s="31"/>
      <c r="J74" s="31"/>
    </row>
    <row r="75" spans="2:10" ht="15" customHeight="1">
      <c r="B75" s="31"/>
      <c r="C75" s="31"/>
      <c r="D75" s="31"/>
      <c r="E75" s="31"/>
      <c r="F75" s="31"/>
      <c r="G75" s="31"/>
      <c r="H75" s="31"/>
      <c r="I75" s="31"/>
      <c r="J75" s="31"/>
    </row>
    <row r="76" spans="2:10" ht="15" customHeight="1">
      <c r="B76" s="31"/>
      <c r="C76" s="31"/>
      <c r="D76" s="31"/>
      <c r="E76" s="31"/>
      <c r="F76" s="31"/>
      <c r="G76" s="31"/>
      <c r="H76" s="31"/>
      <c r="I76" s="31"/>
      <c r="J76" s="31"/>
    </row>
    <row r="77" spans="2:10" ht="15" customHeight="1">
      <c r="B77" s="31"/>
      <c r="C77" s="31"/>
      <c r="D77" s="31"/>
      <c r="E77" s="31"/>
      <c r="F77" s="31"/>
      <c r="G77" s="31"/>
      <c r="H77" s="31"/>
      <c r="I77" s="31"/>
      <c r="J77" s="31"/>
    </row>
    <row r="78" spans="2:10" ht="15" customHeight="1">
      <c r="B78" s="31"/>
      <c r="C78" s="31"/>
      <c r="D78" s="31"/>
      <c r="E78" s="31"/>
      <c r="F78" s="31"/>
      <c r="G78" s="31"/>
      <c r="H78" s="31"/>
      <c r="I78" s="31"/>
      <c r="J78" s="31"/>
    </row>
    <row r="79" spans="2:10" ht="15" customHeight="1">
      <c r="B79" s="31"/>
      <c r="C79" s="31"/>
      <c r="D79" s="31"/>
      <c r="E79" s="31"/>
      <c r="F79" s="31"/>
      <c r="G79" s="31"/>
      <c r="H79" s="31"/>
      <c r="I79" s="31"/>
      <c r="J79" s="31"/>
    </row>
    <row r="80" spans="2:10" ht="15" customHeight="1">
      <c r="B80" s="31"/>
      <c r="C80" s="31"/>
      <c r="D80" s="31"/>
      <c r="E80" s="31"/>
      <c r="F80" s="31"/>
      <c r="G80" s="31"/>
      <c r="H80" s="31"/>
      <c r="I80" s="31"/>
      <c r="J80" s="31"/>
    </row>
    <row r="81" spans="2:10" ht="15" customHeight="1">
      <c r="B81" s="31"/>
      <c r="C81" s="31"/>
      <c r="D81" s="31"/>
      <c r="E81" s="31"/>
      <c r="F81" s="31"/>
      <c r="G81" s="31"/>
      <c r="H81" s="31"/>
      <c r="I81" s="31"/>
      <c r="J81" s="31"/>
    </row>
    <row r="82" spans="2:10" ht="15" customHeight="1">
      <c r="B82" s="31"/>
      <c r="C82" s="31"/>
      <c r="D82" s="31"/>
      <c r="E82" s="31"/>
      <c r="F82" s="31"/>
      <c r="G82" s="31"/>
      <c r="H82" s="31"/>
      <c r="I82" s="31"/>
      <c r="J82" s="31"/>
    </row>
    <row r="83" spans="2:10" ht="15" customHeight="1">
      <c r="B83" s="31"/>
      <c r="C83" s="31"/>
      <c r="D83" s="31"/>
      <c r="E83" s="31"/>
      <c r="F83" s="31"/>
      <c r="G83" s="31"/>
      <c r="H83" s="31"/>
      <c r="I83" s="31"/>
      <c r="J83" s="31"/>
    </row>
    <row r="84" spans="2:10" ht="15" customHeight="1">
      <c r="B84" s="31"/>
      <c r="C84" s="31"/>
      <c r="D84" s="31"/>
      <c r="E84" s="31"/>
      <c r="F84" s="31"/>
      <c r="G84" s="31"/>
      <c r="H84" s="31"/>
      <c r="I84" s="31"/>
      <c r="J84" s="31"/>
    </row>
    <row r="85" spans="2:10" ht="15" customHeight="1">
      <c r="B85" s="31"/>
      <c r="C85" s="31"/>
      <c r="D85" s="31"/>
      <c r="E85" s="31"/>
      <c r="F85" s="31"/>
      <c r="G85" s="31"/>
      <c r="H85" s="31"/>
      <c r="I85" s="31"/>
      <c r="J85" s="31"/>
    </row>
    <row r="86" spans="2:10" ht="15" customHeight="1">
      <c r="B86" s="31"/>
      <c r="C86" s="31"/>
      <c r="D86" s="31"/>
      <c r="E86" s="31"/>
      <c r="F86" s="31"/>
      <c r="G86" s="31"/>
      <c r="H86" s="31"/>
      <c r="I86" s="31"/>
      <c r="J86" s="31"/>
    </row>
    <row r="87" spans="2:10" ht="15" customHeight="1">
      <c r="B87" s="31"/>
      <c r="C87" s="31"/>
      <c r="D87" s="31"/>
      <c r="E87" s="31"/>
      <c r="F87" s="31"/>
      <c r="G87" s="31"/>
      <c r="H87" s="31"/>
      <c r="I87" s="31"/>
      <c r="J87" s="31"/>
    </row>
    <row r="88" spans="2:10" ht="15" customHeight="1">
      <c r="B88" s="31"/>
      <c r="C88" s="31"/>
      <c r="D88" s="31"/>
      <c r="E88" s="31"/>
      <c r="F88" s="31"/>
      <c r="G88" s="31"/>
      <c r="H88" s="31"/>
      <c r="I88" s="31"/>
      <c r="J88" s="31"/>
    </row>
    <row r="89" spans="2:10" ht="15" customHeight="1">
      <c r="B89" s="31"/>
      <c r="C89" s="31"/>
      <c r="D89" s="31"/>
      <c r="E89" s="31"/>
      <c r="F89" s="31"/>
      <c r="G89" s="31"/>
      <c r="H89" s="31"/>
      <c r="I89" s="31"/>
      <c r="J89" s="31"/>
    </row>
    <row r="90" spans="2:10" ht="15" customHeight="1">
      <c r="B90" s="31"/>
      <c r="C90" s="31"/>
      <c r="D90" s="31"/>
      <c r="E90" s="31"/>
      <c r="F90" s="31"/>
      <c r="G90" s="31"/>
      <c r="H90" s="31"/>
      <c r="I90" s="31"/>
      <c r="J90" s="31"/>
    </row>
    <row r="91" spans="2:10" ht="15" customHeight="1">
      <c r="B91" s="31"/>
      <c r="C91" s="31"/>
      <c r="D91" s="31"/>
      <c r="E91" s="31"/>
      <c r="F91" s="31"/>
      <c r="G91" s="31"/>
      <c r="H91" s="31"/>
      <c r="I91" s="31"/>
      <c r="J91" s="31"/>
    </row>
    <row r="92" spans="2:10" ht="15" customHeight="1">
      <c r="B92" s="31"/>
      <c r="C92" s="31"/>
      <c r="D92" s="31"/>
      <c r="E92" s="31"/>
      <c r="F92" s="31"/>
      <c r="G92" s="31"/>
      <c r="H92" s="31"/>
      <c r="I92" s="31"/>
      <c r="J92" s="31"/>
    </row>
    <row r="93" spans="2:10" ht="15" customHeight="1">
      <c r="B93" s="31"/>
      <c r="C93" s="31"/>
      <c r="D93" s="31"/>
      <c r="E93" s="31"/>
      <c r="F93" s="31"/>
      <c r="G93" s="31"/>
      <c r="H93" s="31"/>
      <c r="I93" s="31"/>
      <c r="J93" s="31"/>
    </row>
    <row r="94" spans="2:10" ht="15" customHeight="1">
      <c r="B94" s="31"/>
      <c r="C94" s="31"/>
      <c r="D94" s="31"/>
      <c r="E94" s="31"/>
      <c r="F94" s="31"/>
      <c r="G94" s="31"/>
      <c r="H94" s="31"/>
      <c r="I94" s="31"/>
      <c r="J94" s="31"/>
    </row>
    <row r="95" spans="2:10" ht="15" customHeight="1">
      <c r="B95" s="31"/>
      <c r="C95" s="31"/>
      <c r="D95" s="31"/>
      <c r="E95" s="31"/>
      <c r="F95" s="31"/>
      <c r="G95" s="31"/>
      <c r="H95" s="31"/>
      <c r="I95" s="31"/>
      <c r="J95" s="31"/>
    </row>
    <row r="96" spans="2:10" ht="15" customHeight="1">
      <c r="B96" s="31"/>
      <c r="C96" s="31"/>
      <c r="D96" s="31"/>
      <c r="E96" s="31"/>
      <c r="F96" s="31"/>
      <c r="G96" s="31"/>
      <c r="H96" s="31"/>
      <c r="I96" s="31"/>
      <c r="J96" s="31"/>
    </row>
    <row r="97" spans="2:10" ht="15" customHeight="1">
      <c r="B97" s="31"/>
      <c r="C97" s="31"/>
      <c r="D97" s="31"/>
      <c r="E97" s="31"/>
      <c r="F97" s="31"/>
      <c r="G97" s="31"/>
      <c r="H97" s="31"/>
      <c r="I97" s="31"/>
      <c r="J97" s="31"/>
    </row>
    <row r="98" spans="2:10" ht="15" customHeight="1">
      <c r="B98" s="31"/>
      <c r="C98" s="31"/>
      <c r="D98" s="31"/>
      <c r="E98" s="31"/>
      <c r="F98" s="31"/>
      <c r="G98" s="31"/>
      <c r="H98" s="31"/>
      <c r="I98" s="31"/>
      <c r="J98" s="31"/>
    </row>
    <row r="99" spans="2:10" ht="15" customHeight="1">
      <c r="B99" s="31"/>
      <c r="C99" s="31"/>
      <c r="D99" s="31"/>
      <c r="E99" s="31"/>
      <c r="F99" s="31"/>
      <c r="G99" s="31"/>
      <c r="H99" s="31"/>
      <c r="I99" s="31"/>
      <c r="J99" s="31"/>
    </row>
    <row r="100" spans="2:10" ht="15" customHeight="1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2:10" ht="15" customHeight="1">
      <c r="B101" s="31"/>
      <c r="C101" s="31"/>
      <c r="D101" s="31"/>
      <c r="E101" s="31"/>
      <c r="F101" s="31"/>
      <c r="G101" s="31"/>
      <c r="H101" s="31"/>
      <c r="I101" s="31"/>
      <c r="J101" s="31"/>
    </row>
  </sheetData>
  <mergeCells count="1">
    <mergeCell ref="H1:I1"/>
  </mergeCells>
  <conditionalFormatting sqref="B1">
    <cfRule type="cellIs" dxfId="65" priority="1" operator="equal">
      <formula>"Incomplete"</formula>
    </cfRule>
    <cfRule type="cellIs" dxfId="64" priority="2" operator="equal">
      <formula>"Flag for Review"</formula>
    </cfRule>
    <cfRule type="cellIs" dxfId="6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U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>
      <c r="A1" s="7">
        <v>10</v>
      </c>
      <c r="B1" s="27" t="s">
        <v>12</v>
      </c>
      <c r="C1" s="20"/>
      <c r="D1" s="20"/>
      <c r="E1" s="20"/>
      <c r="F1" s="20"/>
      <c r="G1" s="20"/>
      <c r="H1" s="854" t="s">
        <v>24</v>
      </c>
      <c r="I1" s="855"/>
      <c r="K1" s="1" t="s">
        <v>33</v>
      </c>
      <c r="L1" s="52" t="str">
        <f>VLOOKUP(A1,'Point Grid'!$L$8:$T$54,9,FALSE)</f>
        <v>Pricing - Chap 7: Other Expenses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1"/>
      <c r="K3" s="48" t="s">
        <v>2</v>
      </c>
      <c r="L3" t="s">
        <v>158</v>
      </c>
      <c r="M3"/>
      <c r="N3"/>
      <c r="O3"/>
      <c r="P3"/>
      <c r="Q3"/>
      <c r="R3"/>
      <c r="S3"/>
      <c r="T3"/>
      <c r="U3"/>
    </row>
    <row r="4" spans="1:21">
      <c r="A4" s="9">
        <f>INDEX('Point Grid'!B:B,MATCH(A1,'Point Grid'!A:A,0))</f>
        <v>2</v>
      </c>
      <c r="B4" s="17"/>
      <c r="C4" s="17"/>
      <c r="D4" s="17"/>
      <c r="E4" s="17"/>
      <c r="F4" s="17"/>
      <c r="G4" s="17"/>
      <c r="H4" s="17"/>
      <c r="I4" s="18"/>
      <c r="J4" s="31"/>
      <c r="K4" s="48"/>
      <c r="L4" t="s">
        <v>157</v>
      </c>
      <c r="M4"/>
      <c r="N4"/>
      <c r="O4"/>
      <c r="P4"/>
      <c r="Q4"/>
      <c r="R4"/>
      <c r="S4"/>
      <c r="T4"/>
      <c r="U4"/>
    </row>
    <row r="5" spans="1:21">
      <c r="A5" s="16"/>
      <c r="B5" s="17"/>
      <c r="C5" s="17"/>
      <c r="D5" s="17"/>
      <c r="E5" s="17"/>
      <c r="F5" s="17"/>
      <c r="G5" s="17"/>
      <c r="H5" s="17"/>
      <c r="I5" s="18"/>
      <c r="J5" s="31"/>
      <c r="K5" s="48"/>
      <c r="L5" t="s">
        <v>156</v>
      </c>
      <c r="M5"/>
      <c r="N5"/>
      <c r="O5"/>
      <c r="P5"/>
      <c r="Q5"/>
      <c r="R5"/>
      <c r="S5"/>
      <c r="T5"/>
      <c r="U5"/>
    </row>
    <row r="6" spans="1:21">
      <c r="A6" s="25" t="s">
        <v>2</v>
      </c>
      <c r="B6" s="17" t="s">
        <v>159</v>
      </c>
      <c r="C6" s="17"/>
      <c r="D6" s="17"/>
      <c r="E6" s="17"/>
      <c r="F6" s="17"/>
      <c r="G6" s="17"/>
      <c r="H6" s="17"/>
      <c r="I6" s="18"/>
      <c r="J6" s="31"/>
      <c r="K6" s="48"/>
      <c r="L6" s="37" t="s">
        <v>155</v>
      </c>
      <c r="M6"/>
      <c r="N6"/>
      <c r="O6"/>
      <c r="P6"/>
      <c r="Q6"/>
      <c r="R6"/>
      <c r="S6"/>
      <c r="T6"/>
      <c r="U6"/>
    </row>
    <row r="7" spans="1:21" ht="15.75" thickBot="1">
      <c r="A7" s="9">
        <f>INDEX('Point Grid'!$C$8:$I$54,MATCH($A$1,'Point Grid'!$A$8:$A$54,0),MATCH(A6,'Point Grid'!$C$7:$I$7,0))</f>
        <v>1</v>
      </c>
      <c r="B7" s="17" t="s">
        <v>160</v>
      </c>
      <c r="C7" s="17"/>
      <c r="D7" s="17"/>
      <c r="E7" s="17"/>
      <c r="F7" s="17"/>
      <c r="G7" s="17"/>
      <c r="H7" s="17"/>
      <c r="I7" s="18"/>
      <c r="J7" s="31"/>
      <c r="K7" s="48"/>
      <c r="L7"/>
      <c r="M7"/>
      <c r="N7"/>
      <c r="O7"/>
      <c r="P7"/>
      <c r="Q7"/>
      <c r="R7"/>
      <c r="S7"/>
      <c r="T7"/>
      <c r="U7"/>
    </row>
    <row r="8" spans="1:21" ht="15.75" thickBot="1">
      <c r="A8" s="5"/>
      <c r="B8" s="17"/>
      <c r="C8" s="28"/>
      <c r="D8" s="28"/>
      <c r="E8" s="28"/>
      <c r="F8" s="28"/>
      <c r="G8" s="28"/>
      <c r="H8" s="28"/>
      <c r="I8" s="18"/>
      <c r="J8" s="31"/>
      <c r="K8" s="48" t="s">
        <v>3</v>
      </c>
      <c r="L8" s="190" t="s">
        <v>169</v>
      </c>
      <c r="M8" s="37" t="s">
        <v>170</v>
      </c>
      <c r="N8" s="37"/>
      <c r="O8" s="37"/>
      <c r="P8" s="37"/>
      <c r="Q8" s="37"/>
      <c r="R8" s="37"/>
      <c r="S8" s="37"/>
      <c r="T8" s="37"/>
      <c r="U8" s="37"/>
    </row>
    <row r="9" spans="1:21">
      <c r="A9" s="25"/>
      <c r="B9" s="17"/>
      <c r="C9" s="17"/>
      <c r="D9" s="17"/>
      <c r="E9" s="17"/>
      <c r="F9" s="17"/>
      <c r="G9" s="17"/>
      <c r="H9" s="17"/>
      <c r="I9" s="18"/>
      <c r="J9" s="31"/>
      <c r="K9" s="48"/>
      <c r="L9" s="37"/>
      <c r="M9" s="37"/>
      <c r="N9" s="37"/>
      <c r="O9" s="37"/>
      <c r="P9" s="37"/>
      <c r="Q9" s="37"/>
      <c r="R9" s="37"/>
      <c r="S9" s="37"/>
      <c r="T9" s="37"/>
      <c r="U9" s="37"/>
    </row>
    <row r="10" spans="1:21">
      <c r="A10" s="25" t="s">
        <v>3</v>
      </c>
      <c r="B10" s="17" t="s">
        <v>154</v>
      </c>
      <c r="C10" s="17"/>
      <c r="D10" s="17"/>
      <c r="E10" s="17"/>
      <c r="F10" s="17"/>
      <c r="G10" s="17"/>
      <c r="H10" s="17"/>
      <c r="I10" s="18"/>
      <c r="J10" s="31"/>
      <c r="K10"/>
      <c r="L10" s="158"/>
      <c r="M10" s="191" t="s">
        <v>171</v>
      </c>
      <c r="N10" s="192" t="s">
        <v>34</v>
      </c>
      <c r="O10" s="193">
        <f>F12/F15</f>
        <v>212.40740740740742</v>
      </c>
      <c r="P10" s="194"/>
      <c r="Q10" s="195"/>
      <c r="R10" s="192"/>
      <c r="S10" s="192"/>
      <c r="T10" s="194"/>
      <c r="U10" s="192"/>
    </row>
    <row r="11" spans="1:21" ht="15.75" thickBot="1">
      <c r="A11" s="9">
        <f>INDEX('Point Grid'!$C$8:$I$54,MATCH($A$1,'Point Grid'!$A$8:$A$54,0),MATCH(A10,'Point Grid'!$C$7:$I$7,0))</f>
        <v>1</v>
      </c>
      <c r="B11" s="17"/>
      <c r="C11" s="17"/>
      <c r="D11" s="17"/>
      <c r="E11" s="17"/>
      <c r="F11" s="17"/>
      <c r="G11" s="17"/>
      <c r="H11" s="17"/>
      <c r="I11" s="18"/>
      <c r="J11" s="31"/>
      <c r="K11"/>
      <c r="L11" s="158"/>
      <c r="M11" s="191" t="s">
        <v>172</v>
      </c>
      <c r="N11" s="192" t="s">
        <v>34</v>
      </c>
      <c r="O11" s="193">
        <f>F13/F15</f>
        <v>50.148148148148145</v>
      </c>
      <c r="P11" s="158"/>
      <c r="Q11" s="158"/>
      <c r="R11" s="158"/>
      <c r="S11" s="158"/>
      <c r="T11" s="158"/>
      <c r="U11" s="158"/>
    </row>
    <row r="12" spans="1:21" ht="15.75" thickBot="1">
      <c r="A12" s="5"/>
      <c r="B12" s="17"/>
      <c r="C12" s="174" t="s">
        <v>161</v>
      </c>
      <c r="D12" s="175"/>
      <c r="E12" s="176"/>
      <c r="F12" s="177">
        <v>114700</v>
      </c>
      <c r="G12" s="178"/>
      <c r="H12" s="28"/>
      <c r="I12" s="18"/>
      <c r="J12" s="31"/>
      <c r="K12"/>
      <c r="L12" s="158"/>
      <c r="M12" s="158" t="s">
        <v>173</v>
      </c>
      <c r="N12" s="192" t="s">
        <v>34</v>
      </c>
      <c r="O12" s="193">
        <f>F14/F15</f>
        <v>32.444444444444443</v>
      </c>
      <c r="P12" s="158" t="s">
        <v>180</v>
      </c>
      <c r="Q12" s="158"/>
      <c r="R12" s="158"/>
      <c r="S12" s="158"/>
      <c r="T12" s="158"/>
      <c r="U12" s="158"/>
    </row>
    <row r="13" spans="1:21">
      <c r="A13" s="25"/>
      <c r="B13" s="17"/>
      <c r="C13" s="179" t="s">
        <v>162</v>
      </c>
      <c r="D13" s="180"/>
      <c r="E13" s="181"/>
      <c r="F13" s="182">
        <v>27080</v>
      </c>
      <c r="G13" s="178"/>
      <c r="H13" s="28"/>
      <c r="I13" s="18"/>
      <c r="J13" s="31"/>
      <c r="K13" s="48"/>
      <c r="L13" s="158"/>
      <c r="M13" s="158"/>
      <c r="N13" s="158"/>
      <c r="O13" s="158"/>
      <c r="P13" s="158"/>
      <c r="Q13" s="158"/>
      <c r="R13" s="158"/>
      <c r="S13" s="158"/>
      <c r="T13" s="158"/>
      <c r="U13" s="158"/>
    </row>
    <row r="14" spans="1:21">
      <c r="A14" s="25"/>
      <c r="B14" s="17"/>
      <c r="C14" s="179" t="s">
        <v>163</v>
      </c>
      <c r="D14" s="180"/>
      <c r="E14" s="181"/>
      <c r="F14" s="182">
        <v>17520</v>
      </c>
      <c r="G14" s="178"/>
      <c r="H14" s="28"/>
      <c r="I14" s="18"/>
      <c r="J14" s="31"/>
      <c r="K14"/>
      <c r="L14" s="158"/>
      <c r="M14" s="158"/>
      <c r="N14" s="158"/>
      <c r="O14" s="158"/>
      <c r="P14" s="158"/>
      <c r="Q14" s="158"/>
      <c r="R14" s="158"/>
      <c r="S14" s="158"/>
      <c r="T14" s="158"/>
      <c r="U14" s="158"/>
    </row>
    <row r="15" spans="1:21">
      <c r="A15" s="25"/>
      <c r="B15" s="17"/>
      <c r="C15" s="179" t="s">
        <v>164</v>
      </c>
      <c r="D15" s="183"/>
      <c r="E15" s="184"/>
      <c r="F15" s="181">
        <v>540</v>
      </c>
      <c r="G15" s="178"/>
      <c r="H15" s="28"/>
      <c r="I15" s="18"/>
      <c r="J15" s="31"/>
      <c r="K15"/>
      <c r="L15" s="196" t="s">
        <v>174</v>
      </c>
      <c r="M15" s="37" t="s">
        <v>175</v>
      </c>
      <c r="N15" s="158"/>
      <c r="O15" s="158"/>
      <c r="P15" s="158"/>
      <c r="Q15" s="158"/>
      <c r="R15" s="158"/>
      <c r="S15" s="158"/>
      <c r="T15" s="158"/>
      <c r="U15" s="158"/>
    </row>
    <row r="16" spans="1:21">
      <c r="A16" s="25"/>
      <c r="B16" s="17"/>
      <c r="C16" s="174" t="s">
        <v>165</v>
      </c>
      <c r="D16" s="175"/>
      <c r="E16" s="176"/>
      <c r="F16" s="185">
        <v>0.18</v>
      </c>
      <c r="G16" s="178" t="s">
        <v>166</v>
      </c>
      <c r="H16" s="28"/>
      <c r="I16" s="18"/>
      <c r="J16" s="31"/>
      <c r="K16" s="48"/>
      <c r="L16" s="158"/>
      <c r="M16" s="158"/>
      <c r="N16" s="158"/>
      <c r="O16" s="158"/>
      <c r="P16" s="158"/>
      <c r="Q16" s="158"/>
      <c r="R16" s="158"/>
      <c r="S16" s="158"/>
      <c r="T16" s="158"/>
      <c r="U16" s="158"/>
    </row>
    <row r="17" spans="1:21">
      <c r="A17" s="25"/>
      <c r="B17" s="17"/>
      <c r="C17" s="186" t="s">
        <v>167</v>
      </c>
      <c r="D17" s="187"/>
      <c r="E17" s="188"/>
      <c r="F17" s="189">
        <v>0.05</v>
      </c>
      <c r="G17" s="178" t="s">
        <v>168</v>
      </c>
      <c r="H17" s="28"/>
      <c r="I17" s="18"/>
      <c r="J17" s="31"/>
      <c r="K17"/>
      <c r="L17" s="158"/>
      <c r="M17" s="158" t="s">
        <v>176</v>
      </c>
      <c r="N17" s="192" t="s">
        <v>34</v>
      </c>
      <c r="O17" s="158" t="s">
        <v>177</v>
      </c>
      <c r="P17" s="158"/>
      <c r="Q17" s="158"/>
      <c r="R17" s="158"/>
      <c r="S17" s="158"/>
      <c r="T17" s="194" t="s">
        <v>36</v>
      </c>
      <c r="U17" s="158" t="s">
        <v>178</v>
      </c>
    </row>
    <row r="18" spans="1:21" ht="15" customHeight="1">
      <c r="A18" s="25"/>
      <c r="B18" s="17"/>
      <c r="C18" s="28"/>
      <c r="D18" s="28"/>
      <c r="E18" s="28"/>
      <c r="F18" s="28"/>
      <c r="G18" s="28"/>
      <c r="H18" s="28"/>
      <c r="I18" s="18"/>
      <c r="J18" s="31"/>
      <c r="K18"/>
      <c r="L18" s="158"/>
      <c r="M18" s="37"/>
      <c r="N18" s="192" t="s">
        <v>34</v>
      </c>
      <c r="O18" s="197">
        <f>SUM(O10:O12)</f>
        <v>295</v>
      </c>
      <c r="P18" s="37"/>
      <c r="Q18" s="158"/>
      <c r="R18" s="158"/>
      <c r="S18" s="158"/>
      <c r="T18" s="194" t="s">
        <v>36</v>
      </c>
      <c r="U18" s="198">
        <f>(1-F16-F17)</f>
        <v>0.77</v>
      </c>
    </row>
    <row r="19" spans="1:21" ht="15" customHeight="1">
      <c r="A19" s="25"/>
      <c r="B19" s="17"/>
      <c r="C19" s="28"/>
      <c r="D19" s="28"/>
      <c r="E19" s="28"/>
      <c r="F19" s="28"/>
      <c r="G19" s="28"/>
      <c r="H19" s="28"/>
      <c r="I19" s="18"/>
      <c r="J19" s="31"/>
      <c r="K19"/>
      <c r="L19" s="158"/>
      <c r="M19" s="158"/>
      <c r="N19" s="192" t="s">
        <v>34</v>
      </c>
      <c r="O19" s="199">
        <f>O18/U18</f>
        <v>383.11688311688312</v>
      </c>
      <c r="P19" s="158"/>
      <c r="Q19" s="158"/>
      <c r="R19" s="158"/>
      <c r="S19" s="158"/>
      <c r="T19" s="158"/>
      <c r="U19" s="158"/>
    </row>
    <row r="20" spans="1:21" ht="15" customHeight="1">
      <c r="A20" s="25"/>
      <c r="B20" s="17"/>
      <c r="C20" s="28"/>
      <c r="D20" s="28"/>
      <c r="E20" s="28"/>
      <c r="F20" s="28"/>
      <c r="G20" s="28"/>
      <c r="H20" s="28"/>
      <c r="I20" s="18"/>
      <c r="J20" s="31"/>
      <c r="K20"/>
      <c r="L20" s="158"/>
      <c r="M20" s="158"/>
      <c r="N20" s="158"/>
      <c r="O20" s="200" t="s">
        <v>179</v>
      </c>
      <c r="P20" s="158"/>
      <c r="Q20" s="158"/>
      <c r="R20" s="158"/>
      <c r="S20" s="158"/>
      <c r="T20" s="158"/>
      <c r="U20" s="158"/>
    </row>
    <row r="21" spans="1:21" ht="15" customHeight="1">
      <c r="A21" s="25"/>
      <c r="B21" s="17"/>
      <c r="C21" s="28"/>
      <c r="D21" s="28"/>
      <c r="E21" s="28"/>
      <c r="F21" s="28"/>
      <c r="G21" s="28"/>
      <c r="H21" s="28"/>
      <c r="I21" s="18"/>
      <c r="J21" s="31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25"/>
      <c r="B22" s="17"/>
      <c r="C22" s="28"/>
      <c r="D22" s="28"/>
      <c r="E22" s="28"/>
      <c r="F22" s="28"/>
      <c r="G22" s="28"/>
      <c r="H22" s="28"/>
      <c r="I22" s="18"/>
      <c r="J22" s="31"/>
      <c r="K22"/>
      <c r="L22"/>
      <c r="M22"/>
      <c r="N22"/>
      <c r="O22"/>
      <c r="P22"/>
      <c r="Q22"/>
      <c r="R22"/>
      <c r="S22"/>
      <c r="T22"/>
      <c r="U22"/>
    </row>
    <row r="23" spans="1:21" ht="15" customHeight="1">
      <c r="A23" s="25"/>
      <c r="B23" s="17"/>
      <c r="C23" s="28"/>
      <c r="D23" s="28"/>
      <c r="E23" s="28"/>
      <c r="F23" s="28"/>
      <c r="G23" s="28"/>
      <c r="H23" s="28"/>
      <c r="I23" s="18"/>
      <c r="J23" s="31"/>
      <c r="K23"/>
      <c r="L23"/>
      <c r="M23"/>
      <c r="N23"/>
      <c r="O23"/>
      <c r="P23"/>
      <c r="Q23"/>
      <c r="R23"/>
      <c r="S23"/>
      <c r="T23"/>
      <c r="U23"/>
    </row>
    <row r="24" spans="1:21" ht="15" customHeight="1">
      <c r="A24" s="25"/>
      <c r="B24" s="17"/>
      <c r="C24" s="28"/>
      <c r="D24" s="28"/>
      <c r="E24" s="28"/>
      <c r="F24" s="28"/>
      <c r="G24" s="28"/>
      <c r="H24" s="28"/>
      <c r="I24" s="18"/>
      <c r="J24" s="31"/>
      <c r="K24"/>
      <c r="L24"/>
      <c r="M24"/>
      <c r="N24"/>
      <c r="O24"/>
      <c r="P24"/>
      <c r="Q24"/>
      <c r="R24"/>
      <c r="S24"/>
      <c r="T24"/>
      <c r="U24"/>
    </row>
    <row r="25" spans="1:21" ht="15" customHeight="1">
      <c r="A25" s="25"/>
      <c r="B25" s="17"/>
      <c r="C25" s="28"/>
      <c r="D25" s="28"/>
      <c r="E25" s="28"/>
      <c r="F25" s="28"/>
      <c r="G25" s="28"/>
      <c r="H25" s="28"/>
      <c r="I25" s="18"/>
      <c r="J25" s="31"/>
      <c r="K25"/>
      <c r="L25"/>
      <c r="M25"/>
      <c r="N25"/>
      <c r="O25"/>
      <c r="P25"/>
      <c r="Q25"/>
      <c r="R25"/>
      <c r="S25"/>
      <c r="T25"/>
      <c r="U25"/>
    </row>
    <row r="26" spans="1:21" ht="15" customHeight="1">
      <c r="A26" s="25"/>
      <c r="B26" s="17"/>
      <c r="C26" s="28"/>
      <c r="D26" s="28"/>
      <c r="E26" s="28"/>
      <c r="F26" s="28"/>
      <c r="G26" s="28"/>
      <c r="H26" s="28"/>
      <c r="I26" s="18"/>
      <c r="J26" s="31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25"/>
      <c r="B27" s="17"/>
      <c r="C27" s="28"/>
      <c r="D27" s="28"/>
      <c r="E27" s="28"/>
      <c r="F27" s="28"/>
      <c r="G27" s="28"/>
      <c r="H27" s="28"/>
      <c r="I27" s="18"/>
      <c r="J27" s="31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25"/>
      <c r="B28" s="17"/>
      <c r="C28" s="28"/>
      <c r="D28" s="28"/>
      <c r="E28" s="28"/>
      <c r="F28" s="28"/>
      <c r="G28" s="28"/>
      <c r="H28" s="28"/>
      <c r="I28" s="18"/>
      <c r="J28" s="31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22"/>
      <c r="B29" s="17"/>
      <c r="C29" s="17"/>
      <c r="D29" s="17"/>
      <c r="E29" s="17"/>
      <c r="F29" s="17"/>
      <c r="G29" s="17"/>
      <c r="H29" s="17"/>
      <c r="I29" s="18"/>
      <c r="J29" s="31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>
      <c r="A30" s="24"/>
      <c r="B30" s="32"/>
      <c r="C30" s="32"/>
      <c r="D30" s="32"/>
      <c r="E30" s="32"/>
      <c r="F30" s="32"/>
      <c r="G30" s="32"/>
      <c r="H30" s="32"/>
      <c r="I30" s="33"/>
      <c r="J30" s="31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B31" s="31"/>
      <c r="C31" s="31"/>
      <c r="D31" s="31"/>
      <c r="E31" s="31"/>
      <c r="F31" s="31"/>
      <c r="G31" s="31"/>
      <c r="H31" s="31"/>
      <c r="I31" s="31"/>
      <c r="J31" s="31"/>
      <c r="K31"/>
      <c r="L31"/>
      <c r="M31"/>
      <c r="N31"/>
      <c r="O31"/>
      <c r="P31"/>
      <c r="Q31"/>
      <c r="R31"/>
      <c r="S31"/>
      <c r="T31"/>
      <c r="U31"/>
    </row>
    <row r="32" spans="1:21" ht="15" customHeight="1">
      <c r="J32" s="31"/>
      <c r="K32"/>
      <c r="L32"/>
      <c r="M32"/>
      <c r="N32"/>
      <c r="O32"/>
      <c r="P32"/>
      <c r="Q32"/>
      <c r="R32"/>
      <c r="S32"/>
      <c r="T32"/>
      <c r="U32"/>
    </row>
    <row r="33" spans="2:21" ht="15" customHeight="1">
      <c r="J33" s="31"/>
      <c r="K33" s="48"/>
      <c r="L33" s="1"/>
      <c r="M33"/>
      <c r="N33"/>
      <c r="O33"/>
      <c r="P33"/>
      <c r="Q33"/>
      <c r="R33"/>
      <c r="S33"/>
      <c r="T33"/>
      <c r="U33"/>
    </row>
    <row r="34" spans="2:21" ht="15" customHeight="1">
      <c r="J34" s="31"/>
      <c r="K34"/>
      <c r="L34"/>
      <c r="M34"/>
      <c r="N34"/>
      <c r="O34"/>
      <c r="P34"/>
      <c r="Q34"/>
      <c r="R34"/>
      <c r="S34"/>
      <c r="T34"/>
      <c r="U34"/>
    </row>
    <row r="35" spans="2:21" ht="15" customHeight="1">
      <c r="J35" s="31"/>
      <c r="K35" s="48"/>
      <c r="L35"/>
      <c r="M35"/>
      <c r="N35"/>
      <c r="O35"/>
      <c r="P35"/>
      <c r="Q35"/>
      <c r="R35"/>
      <c r="S35"/>
      <c r="T35"/>
      <c r="U35"/>
    </row>
    <row r="36" spans="2:21" ht="15" customHeight="1">
      <c r="J36" s="31"/>
      <c r="K36"/>
      <c r="L36"/>
      <c r="M36"/>
      <c r="N36"/>
      <c r="O36"/>
      <c r="P36"/>
      <c r="Q36"/>
      <c r="R36"/>
      <c r="S36"/>
      <c r="T36"/>
      <c r="U36"/>
    </row>
    <row r="37" spans="2:21" ht="15" customHeight="1">
      <c r="J37" s="31"/>
      <c r="K37"/>
      <c r="L37"/>
      <c r="M37"/>
      <c r="N37"/>
      <c r="O37"/>
      <c r="P37"/>
      <c r="Q37"/>
      <c r="R37"/>
      <c r="S37"/>
      <c r="T37"/>
      <c r="U37"/>
    </row>
    <row r="38" spans="2:21" ht="15" customHeight="1">
      <c r="J38" s="31"/>
      <c r="K38"/>
      <c r="L38"/>
      <c r="M38"/>
      <c r="N38"/>
      <c r="O38"/>
      <c r="P38"/>
      <c r="Q38"/>
      <c r="R38"/>
      <c r="S38"/>
      <c r="T38"/>
      <c r="U38"/>
    </row>
    <row r="39" spans="2:21" ht="15" customHeight="1">
      <c r="J39" s="31"/>
      <c r="K39"/>
      <c r="L39"/>
      <c r="M39"/>
      <c r="N39"/>
      <c r="O39"/>
      <c r="P39"/>
      <c r="Q39"/>
      <c r="R39"/>
      <c r="S39"/>
      <c r="T39"/>
      <c r="U39"/>
    </row>
    <row r="40" spans="2:21" ht="15" customHeight="1">
      <c r="J40" s="31"/>
      <c r="K40"/>
      <c r="L40"/>
      <c r="M40"/>
      <c r="N40"/>
      <c r="O40"/>
      <c r="P40"/>
      <c r="Q40"/>
      <c r="R40"/>
      <c r="S40"/>
      <c r="T40"/>
      <c r="U40"/>
    </row>
    <row r="41" spans="2:21" ht="15" customHeight="1">
      <c r="J41" s="31"/>
      <c r="K41"/>
      <c r="L41"/>
      <c r="M41"/>
      <c r="N41"/>
      <c r="O41"/>
      <c r="P41"/>
      <c r="Q41"/>
      <c r="R41"/>
      <c r="S41"/>
      <c r="T41"/>
      <c r="U41"/>
    </row>
    <row r="42" spans="2:21" ht="15" customHeight="1">
      <c r="J42" s="31"/>
      <c r="K42"/>
      <c r="L42"/>
      <c r="M42"/>
      <c r="N42"/>
      <c r="O42"/>
      <c r="P42"/>
      <c r="Q42"/>
      <c r="R42"/>
      <c r="S42"/>
      <c r="T42"/>
      <c r="U42"/>
    </row>
    <row r="43" spans="2:21" ht="15" customHeight="1">
      <c r="J43" s="31"/>
      <c r="K43"/>
      <c r="L43"/>
      <c r="M43"/>
      <c r="N43"/>
      <c r="O43"/>
      <c r="P43"/>
      <c r="Q43"/>
      <c r="R43"/>
      <c r="S43"/>
      <c r="T43"/>
      <c r="U43"/>
    </row>
    <row r="44" spans="2:21" ht="15" customHeight="1">
      <c r="J44" s="31"/>
      <c r="K44"/>
      <c r="L44"/>
      <c r="M44"/>
      <c r="N44"/>
      <c r="O44"/>
      <c r="P44"/>
      <c r="Q44"/>
      <c r="R44"/>
      <c r="S44"/>
      <c r="T44"/>
      <c r="U44"/>
    </row>
    <row r="45" spans="2:21" ht="15" customHeight="1">
      <c r="J45" s="31"/>
      <c r="K45"/>
      <c r="L45"/>
      <c r="M45"/>
      <c r="N45"/>
      <c r="O45"/>
      <c r="P45"/>
      <c r="Q45"/>
      <c r="R45"/>
      <c r="S45"/>
      <c r="T45"/>
      <c r="U45"/>
    </row>
    <row r="46" spans="2:21" ht="15" customHeight="1">
      <c r="B46" s="31"/>
      <c r="C46" s="31"/>
      <c r="D46" s="31"/>
      <c r="E46" s="31"/>
      <c r="F46" s="31"/>
      <c r="G46" s="31"/>
      <c r="H46" s="31"/>
      <c r="I46" s="31"/>
      <c r="J46" s="31"/>
      <c r="K46"/>
      <c r="L46"/>
      <c r="M46"/>
      <c r="N46"/>
      <c r="O46"/>
      <c r="P46"/>
      <c r="Q46"/>
      <c r="R46"/>
      <c r="S46"/>
      <c r="T46"/>
      <c r="U46"/>
    </row>
    <row r="47" spans="2:21" ht="15" customHeight="1">
      <c r="B47" s="31"/>
      <c r="C47" s="31"/>
      <c r="D47" s="31"/>
      <c r="E47" s="31"/>
      <c r="F47" s="31"/>
      <c r="G47" s="31"/>
      <c r="H47" s="31"/>
      <c r="I47" s="31"/>
      <c r="J47" s="31"/>
      <c r="K47"/>
      <c r="L47"/>
      <c r="M47"/>
      <c r="N47"/>
      <c r="O47"/>
      <c r="P47"/>
      <c r="Q47"/>
      <c r="R47"/>
      <c r="S47"/>
      <c r="T47"/>
      <c r="U47"/>
    </row>
    <row r="48" spans="2:21" ht="15" customHeight="1">
      <c r="B48" s="31"/>
      <c r="C48" s="31"/>
      <c r="D48" s="31"/>
      <c r="E48" s="31"/>
      <c r="F48" s="31"/>
      <c r="G48" s="31"/>
      <c r="H48" s="31"/>
      <c r="I48" s="31"/>
      <c r="J48" s="31"/>
      <c r="K48"/>
      <c r="L48"/>
      <c r="M48"/>
      <c r="N48"/>
      <c r="O48"/>
      <c r="P48"/>
      <c r="Q48"/>
      <c r="R48"/>
      <c r="S48"/>
      <c r="T48"/>
      <c r="U48"/>
    </row>
    <row r="49" spans="2:21" ht="15" customHeight="1">
      <c r="B49" s="31"/>
      <c r="C49" s="31"/>
      <c r="D49" s="31"/>
      <c r="E49" s="31"/>
      <c r="F49" s="31"/>
      <c r="G49" s="31"/>
      <c r="H49" s="31"/>
      <c r="I49" s="31"/>
      <c r="J49" s="31"/>
      <c r="K49"/>
      <c r="L49"/>
      <c r="M49"/>
      <c r="N49"/>
      <c r="O49"/>
      <c r="P49"/>
      <c r="Q49"/>
      <c r="R49"/>
      <c r="S49"/>
      <c r="T49"/>
      <c r="U49"/>
    </row>
    <row r="50" spans="2:21" ht="15" customHeight="1">
      <c r="B50" s="31"/>
      <c r="C50" s="31"/>
      <c r="D50" s="31"/>
      <c r="E50" s="31"/>
      <c r="F50" s="31"/>
      <c r="G50" s="31"/>
      <c r="H50" s="31"/>
      <c r="I50" s="31"/>
      <c r="J50" s="31"/>
      <c r="K50"/>
      <c r="L50"/>
      <c r="M50"/>
      <c r="N50"/>
      <c r="O50"/>
      <c r="P50"/>
      <c r="Q50"/>
      <c r="R50"/>
      <c r="S50"/>
      <c r="T50"/>
      <c r="U50"/>
    </row>
    <row r="51" spans="2:21" ht="15" customHeight="1">
      <c r="B51" s="31"/>
      <c r="C51" s="31"/>
      <c r="D51" s="31"/>
      <c r="E51" s="31"/>
      <c r="F51" s="31"/>
      <c r="G51" s="31"/>
      <c r="H51" s="31"/>
      <c r="I51" s="31"/>
      <c r="J51" s="31"/>
    </row>
    <row r="52" spans="2:21" ht="15" customHeight="1">
      <c r="B52" s="31"/>
      <c r="C52" s="31"/>
      <c r="D52" s="31"/>
      <c r="E52" s="31"/>
      <c r="F52" s="31"/>
      <c r="G52" s="31"/>
      <c r="H52" s="31"/>
      <c r="I52" s="31"/>
      <c r="J52" s="31"/>
    </row>
    <row r="53" spans="2:21" ht="15" customHeight="1">
      <c r="B53" s="31"/>
      <c r="C53" s="31"/>
      <c r="D53" s="31"/>
      <c r="E53" s="31"/>
      <c r="F53" s="31"/>
      <c r="G53" s="31"/>
      <c r="H53" s="31"/>
      <c r="I53" s="31"/>
      <c r="J53" s="31"/>
    </row>
    <row r="54" spans="2:21" ht="15" customHeight="1">
      <c r="B54" s="31"/>
      <c r="C54" s="31"/>
      <c r="D54" s="31"/>
      <c r="E54" s="31"/>
      <c r="F54" s="31"/>
      <c r="G54" s="31"/>
      <c r="H54" s="31"/>
      <c r="I54" s="31"/>
      <c r="J54" s="31"/>
    </row>
    <row r="55" spans="2:21" ht="15" customHeight="1">
      <c r="B55" s="31"/>
      <c r="C55" s="31"/>
      <c r="D55" s="31"/>
      <c r="E55" s="31"/>
      <c r="F55" s="31"/>
      <c r="G55" s="31"/>
      <c r="H55" s="31"/>
      <c r="I55" s="31"/>
      <c r="J55" s="31"/>
    </row>
    <row r="56" spans="2:21" ht="15" customHeight="1">
      <c r="B56" s="31"/>
      <c r="C56" s="31"/>
      <c r="D56" s="31"/>
      <c r="E56" s="31"/>
      <c r="F56" s="31"/>
      <c r="G56" s="31"/>
      <c r="H56" s="31"/>
      <c r="I56" s="31"/>
      <c r="J56" s="31"/>
    </row>
    <row r="57" spans="2:21" ht="15" customHeight="1">
      <c r="B57" s="31"/>
      <c r="C57" s="31"/>
      <c r="D57" s="31"/>
      <c r="E57" s="31"/>
      <c r="F57" s="31"/>
      <c r="G57" s="31"/>
      <c r="H57" s="31"/>
      <c r="I57" s="31"/>
      <c r="J57" s="31"/>
    </row>
    <row r="58" spans="2:21" ht="15" customHeight="1">
      <c r="B58" s="31"/>
      <c r="C58" s="31"/>
      <c r="D58" s="31"/>
      <c r="E58" s="31"/>
      <c r="F58" s="31"/>
      <c r="G58" s="31"/>
      <c r="H58" s="31"/>
      <c r="I58" s="31"/>
      <c r="J58" s="31"/>
    </row>
    <row r="59" spans="2:21" ht="15" customHeight="1">
      <c r="B59" s="31"/>
      <c r="C59" s="31"/>
      <c r="D59" s="31"/>
      <c r="E59" s="31"/>
      <c r="F59" s="31"/>
      <c r="G59" s="31"/>
      <c r="H59" s="31"/>
      <c r="I59" s="31"/>
      <c r="J59" s="31"/>
    </row>
    <row r="60" spans="2:21" ht="15" customHeight="1">
      <c r="B60" s="31"/>
      <c r="C60" s="31"/>
      <c r="D60" s="31"/>
      <c r="E60" s="31"/>
      <c r="F60" s="31"/>
      <c r="G60" s="31"/>
      <c r="H60" s="31"/>
      <c r="I60" s="31"/>
      <c r="J60" s="31"/>
    </row>
    <row r="61" spans="2:21" ht="15" customHeight="1">
      <c r="B61" s="31"/>
      <c r="C61" s="31"/>
      <c r="D61" s="31"/>
      <c r="E61" s="31"/>
      <c r="F61" s="31"/>
      <c r="G61" s="31"/>
      <c r="H61" s="31"/>
      <c r="I61" s="31"/>
      <c r="J61" s="31"/>
    </row>
    <row r="62" spans="2:21" ht="15" customHeight="1">
      <c r="B62" s="31"/>
      <c r="C62" s="31"/>
      <c r="D62" s="31"/>
      <c r="E62" s="31"/>
      <c r="F62" s="31"/>
      <c r="G62" s="31"/>
      <c r="H62" s="31"/>
      <c r="I62" s="31"/>
      <c r="J62" s="31"/>
    </row>
    <row r="63" spans="2:21" ht="15" customHeight="1">
      <c r="B63" s="31"/>
      <c r="C63" s="31"/>
      <c r="D63" s="31"/>
      <c r="E63" s="31"/>
      <c r="F63" s="31"/>
      <c r="G63" s="31"/>
      <c r="H63" s="31"/>
      <c r="I63" s="31"/>
      <c r="J63" s="31"/>
    </row>
    <row r="64" spans="2:21" ht="15" customHeight="1">
      <c r="B64" s="31"/>
      <c r="C64" s="31"/>
      <c r="D64" s="31"/>
      <c r="E64" s="31"/>
      <c r="F64" s="31"/>
      <c r="G64" s="31"/>
      <c r="H64" s="31"/>
      <c r="I64" s="31"/>
      <c r="J64" s="31"/>
    </row>
    <row r="65" spans="2:10" ht="15" customHeight="1">
      <c r="B65" s="31"/>
      <c r="C65" s="31"/>
      <c r="D65" s="31"/>
      <c r="E65" s="31"/>
      <c r="F65" s="31"/>
      <c r="G65" s="31"/>
      <c r="H65" s="31"/>
      <c r="I65" s="31"/>
      <c r="J65" s="31"/>
    </row>
    <row r="66" spans="2:10" ht="15" customHeight="1">
      <c r="B66" s="31"/>
      <c r="C66" s="31"/>
      <c r="D66" s="31"/>
      <c r="E66" s="31"/>
      <c r="F66" s="31"/>
      <c r="G66" s="31"/>
      <c r="H66" s="31"/>
      <c r="I66" s="31"/>
      <c r="J66" s="31"/>
    </row>
    <row r="67" spans="2:10" ht="15" customHeight="1">
      <c r="B67" s="31"/>
      <c r="C67" s="31"/>
      <c r="D67" s="31"/>
      <c r="E67" s="31"/>
      <c r="F67" s="31"/>
      <c r="G67" s="31"/>
      <c r="H67" s="31"/>
      <c r="I67" s="31"/>
      <c r="J67" s="31"/>
    </row>
    <row r="68" spans="2:10" ht="15" customHeight="1">
      <c r="B68" s="31"/>
      <c r="C68" s="31"/>
      <c r="D68" s="31"/>
      <c r="E68" s="31"/>
      <c r="F68" s="31"/>
      <c r="G68" s="31"/>
      <c r="H68" s="31"/>
      <c r="I68" s="31"/>
      <c r="J68" s="31"/>
    </row>
    <row r="69" spans="2:10" ht="15" customHeight="1">
      <c r="B69" s="31"/>
      <c r="C69" s="31"/>
      <c r="D69" s="31"/>
      <c r="E69" s="31"/>
      <c r="F69" s="31"/>
      <c r="G69" s="31"/>
      <c r="H69" s="31"/>
      <c r="I69" s="31"/>
      <c r="J69" s="31"/>
    </row>
    <row r="70" spans="2:10" ht="15" customHeight="1">
      <c r="B70" s="31"/>
      <c r="C70" s="31"/>
      <c r="D70" s="31"/>
      <c r="E70" s="31"/>
      <c r="F70" s="31"/>
      <c r="G70" s="31"/>
      <c r="H70" s="31"/>
      <c r="I70" s="31"/>
      <c r="J70" s="31"/>
    </row>
    <row r="71" spans="2:10" ht="15" customHeight="1">
      <c r="B71" s="31"/>
      <c r="C71" s="31"/>
      <c r="D71" s="31"/>
      <c r="E71" s="31"/>
      <c r="F71" s="31"/>
      <c r="G71" s="31"/>
      <c r="H71" s="31"/>
      <c r="I71" s="31"/>
      <c r="J71" s="31"/>
    </row>
    <row r="72" spans="2:10" ht="15" customHeight="1">
      <c r="B72" s="31"/>
      <c r="C72" s="31"/>
      <c r="D72" s="31"/>
      <c r="E72" s="31"/>
      <c r="F72" s="31"/>
      <c r="G72" s="31"/>
      <c r="H72" s="31"/>
      <c r="I72" s="31"/>
      <c r="J72" s="31"/>
    </row>
    <row r="73" spans="2:10" ht="15" customHeight="1">
      <c r="B73" s="31"/>
      <c r="C73" s="31"/>
      <c r="D73" s="31"/>
      <c r="E73" s="31"/>
      <c r="F73" s="31"/>
      <c r="G73" s="31"/>
      <c r="H73" s="31"/>
      <c r="I73" s="31"/>
      <c r="J73" s="31"/>
    </row>
    <row r="74" spans="2:10" ht="15" customHeight="1">
      <c r="B74" s="31"/>
      <c r="C74" s="31"/>
      <c r="D74" s="31"/>
      <c r="E74" s="31"/>
      <c r="F74" s="31"/>
      <c r="G74" s="31"/>
      <c r="H74" s="31"/>
      <c r="I74" s="31"/>
      <c r="J74" s="31"/>
    </row>
    <row r="75" spans="2:10" ht="15" customHeight="1">
      <c r="B75" s="31"/>
      <c r="C75" s="31"/>
      <c r="D75" s="31"/>
      <c r="E75" s="31"/>
      <c r="F75" s="31"/>
      <c r="G75" s="31"/>
      <c r="H75" s="31"/>
      <c r="I75" s="31"/>
      <c r="J75" s="31"/>
    </row>
    <row r="76" spans="2:10" ht="15" customHeight="1">
      <c r="B76" s="31"/>
      <c r="C76" s="31"/>
      <c r="D76" s="31"/>
      <c r="E76" s="31"/>
      <c r="F76" s="31"/>
      <c r="G76" s="31"/>
      <c r="H76" s="31"/>
      <c r="I76" s="31"/>
      <c r="J76" s="31"/>
    </row>
    <row r="77" spans="2:10" ht="15" customHeight="1">
      <c r="B77" s="31"/>
      <c r="C77" s="31"/>
      <c r="D77" s="31"/>
      <c r="E77" s="31"/>
      <c r="F77" s="31"/>
      <c r="G77" s="31"/>
      <c r="H77" s="31"/>
      <c r="I77" s="31"/>
      <c r="J77" s="31"/>
    </row>
    <row r="78" spans="2:10" ht="15" customHeight="1">
      <c r="B78" s="31"/>
      <c r="C78" s="31"/>
      <c r="D78" s="31"/>
      <c r="E78" s="31"/>
      <c r="F78" s="31"/>
      <c r="G78" s="31"/>
      <c r="H78" s="31"/>
      <c r="I78" s="31"/>
      <c r="J78" s="31"/>
    </row>
    <row r="79" spans="2:10" ht="15" customHeight="1">
      <c r="B79" s="31"/>
      <c r="C79" s="31"/>
      <c r="D79" s="31"/>
      <c r="E79" s="31"/>
      <c r="F79" s="31"/>
      <c r="G79" s="31"/>
      <c r="H79" s="31"/>
      <c r="I79" s="31"/>
      <c r="J79" s="31"/>
    </row>
    <row r="80" spans="2:10" ht="15" customHeight="1">
      <c r="B80" s="31"/>
      <c r="C80" s="31"/>
      <c r="D80" s="31"/>
      <c r="E80" s="31"/>
      <c r="F80" s="31"/>
      <c r="G80" s="31"/>
      <c r="H80" s="31"/>
      <c r="I80" s="31"/>
      <c r="J80" s="31"/>
    </row>
    <row r="81" spans="2:10" ht="15" customHeight="1">
      <c r="B81" s="31"/>
      <c r="C81" s="31"/>
      <c r="D81" s="31"/>
      <c r="E81" s="31"/>
      <c r="F81" s="31"/>
      <c r="G81" s="31"/>
      <c r="H81" s="31"/>
      <c r="I81" s="31"/>
      <c r="J81" s="31"/>
    </row>
    <row r="82" spans="2:10" ht="15" customHeight="1">
      <c r="B82" s="31"/>
      <c r="C82" s="31"/>
      <c r="D82" s="31"/>
      <c r="E82" s="31"/>
      <c r="F82" s="31"/>
      <c r="G82" s="31"/>
      <c r="H82" s="31"/>
      <c r="I82" s="31"/>
      <c r="J82" s="31"/>
    </row>
    <row r="83" spans="2:10" ht="15" customHeight="1">
      <c r="B83" s="31"/>
      <c r="C83" s="31"/>
      <c r="D83" s="31"/>
      <c r="E83" s="31"/>
      <c r="F83" s="31"/>
      <c r="G83" s="31"/>
      <c r="H83" s="31"/>
      <c r="I83" s="31"/>
      <c r="J83" s="31"/>
    </row>
    <row r="84" spans="2:10" ht="15" customHeight="1">
      <c r="B84" s="31"/>
      <c r="C84" s="31"/>
      <c r="D84" s="31"/>
      <c r="E84" s="31"/>
      <c r="F84" s="31"/>
      <c r="G84" s="31"/>
      <c r="H84" s="31"/>
      <c r="I84" s="31"/>
      <c r="J84" s="31"/>
    </row>
    <row r="85" spans="2:10" ht="15" customHeight="1">
      <c r="B85" s="31"/>
      <c r="C85" s="31"/>
      <c r="D85" s="31"/>
      <c r="E85" s="31"/>
      <c r="F85" s="31"/>
      <c r="G85" s="31"/>
      <c r="H85" s="31"/>
      <c r="I85" s="31"/>
      <c r="J85" s="31"/>
    </row>
    <row r="86" spans="2:10" ht="15" customHeight="1">
      <c r="B86" s="31"/>
      <c r="C86" s="31"/>
      <c r="D86" s="31"/>
      <c r="E86" s="31"/>
      <c r="F86" s="31"/>
      <c r="G86" s="31"/>
      <c r="H86" s="31"/>
      <c r="I86" s="31"/>
      <c r="J86" s="31"/>
    </row>
    <row r="87" spans="2:10" ht="15" customHeight="1">
      <c r="B87" s="31"/>
      <c r="C87" s="31"/>
      <c r="D87" s="31"/>
      <c r="E87" s="31"/>
      <c r="F87" s="31"/>
      <c r="G87" s="31"/>
      <c r="H87" s="31"/>
      <c r="I87" s="31"/>
      <c r="J87" s="31"/>
    </row>
    <row r="88" spans="2:10" ht="15" customHeight="1">
      <c r="B88" s="31"/>
      <c r="C88" s="31"/>
      <c r="D88" s="31"/>
      <c r="E88" s="31"/>
      <c r="F88" s="31"/>
      <c r="G88" s="31"/>
      <c r="H88" s="31"/>
      <c r="I88" s="31"/>
      <c r="J88" s="31"/>
    </row>
    <row r="89" spans="2:10" ht="15" customHeight="1">
      <c r="B89" s="31"/>
      <c r="C89" s="31"/>
      <c r="D89" s="31"/>
      <c r="E89" s="31"/>
      <c r="F89" s="31"/>
      <c r="G89" s="31"/>
      <c r="H89" s="31"/>
      <c r="I89" s="31"/>
      <c r="J89" s="31"/>
    </row>
    <row r="90" spans="2:10" ht="15" customHeight="1">
      <c r="B90" s="31"/>
      <c r="C90" s="31"/>
      <c r="D90" s="31"/>
      <c r="E90" s="31"/>
      <c r="F90" s="31"/>
      <c r="G90" s="31"/>
      <c r="H90" s="31"/>
      <c r="I90" s="31"/>
      <c r="J90" s="31"/>
    </row>
    <row r="91" spans="2:10" ht="15" customHeight="1">
      <c r="B91" s="31"/>
      <c r="C91" s="31"/>
      <c r="D91" s="31"/>
      <c r="E91" s="31"/>
      <c r="F91" s="31"/>
      <c r="G91" s="31"/>
      <c r="H91" s="31"/>
      <c r="I91" s="31"/>
      <c r="J91" s="31"/>
    </row>
    <row r="92" spans="2:10" ht="15" customHeight="1">
      <c r="B92" s="31"/>
      <c r="C92" s="31"/>
      <c r="D92" s="31"/>
      <c r="E92" s="31"/>
      <c r="F92" s="31"/>
      <c r="G92" s="31"/>
      <c r="H92" s="31"/>
      <c r="I92" s="31"/>
      <c r="J92" s="31"/>
    </row>
    <row r="93" spans="2:10" ht="15" customHeight="1">
      <c r="B93" s="31"/>
      <c r="C93" s="31"/>
      <c r="D93" s="31"/>
      <c r="E93" s="31"/>
      <c r="F93" s="31"/>
      <c r="G93" s="31"/>
      <c r="H93" s="31"/>
      <c r="I93" s="31"/>
      <c r="J93" s="31"/>
    </row>
    <row r="94" spans="2:10" ht="15" customHeight="1">
      <c r="B94" s="31"/>
      <c r="C94" s="31"/>
      <c r="D94" s="31"/>
      <c r="E94" s="31"/>
      <c r="F94" s="31"/>
      <c r="G94" s="31"/>
      <c r="H94" s="31"/>
      <c r="I94" s="31"/>
      <c r="J94" s="31"/>
    </row>
    <row r="95" spans="2:10" ht="15" customHeight="1">
      <c r="B95" s="31"/>
      <c r="C95" s="31"/>
      <c r="D95" s="31"/>
      <c r="E95" s="31"/>
      <c r="F95" s="31"/>
      <c r="G95" s="31"/>
      <c r="H95" s="31"/>
      <c r="I95" s="31"/>
      <c r="J95" s="31"/>
    </row>
    <row r="96" spans="2:10" ht="15" customHeight="1">
      <c r="B96" s="31"/>
      <c r="C96" s="31"/>
      <c r="D96" s="31"/>
      <c r="E96" s="31"/>
      <c r="F96" s="31"/>
      <c r="G96" s="31"/>
      <c r="H96" s="31"/>
      <c r="I96" s="31"/>
      <c r="J96" s="31"/>
    </row>
    <row r="97" spans="2:10" ht="15" customHeight="1">
      <c r="B97" s="31"/>
      <c r="C97" s="31"/>
      <c r="D97" s="31"/>
      <c r="E97" s="31"/>
      <c r="F97" s="31"/>
      <c r="G97" s="31"/>
      <c r="H97" s="31"/>
      <c r="I97" s="31"/>
      <c r="J97" s="31"/>
    </row>
    <row r="98" spans="2:10" ht="15" customHeight="1">
      <c r="B98" s="31"/>
      <c r="C98" s="31"/>
      <c r="D98" s="31"/>
      <c r="E98" s="31"/>
      <c r="F98" s="31"/>
      <c r="G98" s="31"/>
      <c r="H98" s="31"/>
      <c r="I98" s="31"/>
      <c r="J98" s="31"/>
    </row>
    <row r="99" spans="2:10" ht="15" customHeight="1">
      <c r="B99" s="31"/>
      <c r="C99" s="31"/>
      <c r="D99" s="31"/>
      <c r="E99" s="31"/>
      <c r="F99" s="31"/>
      <c r="G99" s="31"/>
      <c r="H99" s="31"/>
      <c r="I99" s="31"/>
      <c r="J99" s="31"/>
    </row>
    <row r="100" spans="2:10" ht="15" customHeight="1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2:10" ht="15" customHeight="1">
      <c r="B101" s="31"/>
      <c r="C101" s="31"/>
      <c r="D101" s="31"/>
      <c r="E101" s="31"/>
      <c r="F101" s="31"/>
      <c r="G101" s="31"/>
      <c r="H101" s="31"/>
      <c r="I101" s="31"/>
      <c r="J101" s="31"/>
    </row>
  </sheetData>
  <mergeCells count="1">
    <mergeCell ref="H1:I1"/>
  </mergeCells>
  <conditionalFormatting sqref="B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U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7" width="9.140625" style="21"/>
    <col min="18" max="18" width="9.7109375" style="21" customWidth="1"/>
    <col min="19" max="16384" width="9.140625" style="21"/>
  </cols>
  <sheetData>
    <row r="1" spans="1:21">
      <c r="A1" s="7">
        <v>11</v>
      </c>
      <c r="B1" s="27" t="s">
        <v>12</v>
      </c>
      <c r="C1" s="20"/>
      <c r="D1" s="20"/>
      <c r="E1" s="20"/>
      <c r="F1" s="20"/>
      <c r="G1" s="20"/>
      <c r="H1" s="854" t="s">
        <v>24</v>
      </c>
      <c r="I1" s="855"/>
      <c r="K1" s="1" t="s">
        <v>33</v>
      </c>
      <c r="L1" s="52" t="str">
        <f>VLOOKUP(A1,'Point Grid'!$L$8:$T$54,9,FALSE)</f>
        <v>Pricing - Chap 8: Indication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1"/>
      <c r="K3" s="48" t="s">
        <v>2</v>
      </c>
      <c r="L3" s="190" t="s">
        <v>169</v>
      </c>
      <c r="M3" s="37" t="s">
        <v>185</v>
      </c>
      <c r="N3" s="37"/>
      <c r="O3" s="37"/>
      <c r="P3" s="37"/>
      <c r="Q3" s="37"/>
      <c r="R3" s="37"/>
      <c r="S3" s="37"/>
      <c r="T3" s="37"/>
      <c r="U3"/>
    </row>
    <row r="4" spans="1:21">
      <c r="A4" s="9">
        <f>INDEX('Point Grid'!B:B,MATCH(A1,'Point Grid'!A:A,0))</f>
        <v>1.5</v>
      </c>
      <c r="B4" s="17"/>
      <c r="C4" s="17"/>
      <c r="D4" s="17"/>
      <c r="E4" s="17"/>
      <c r="F4" s="17"/>
      <c r="G4" s="17"/>
      <c r="H4" s="17"/>
      <c r="I4" s="18"/>
      <c r="J4" s="31"/>
      <c r="K4" s="48"/>
      <c r="L4" s="37"/>
      <c r="M4" s="37"/>
      <c r="N4" s="37"/>
      <c r="O4" s="37"/>
      <c r="P4" s="37"/>
      <c r="Q4" s="37"/>
      <c r="R4" s="37"/>
      <c r="S4" s="37"/>
      <c r="T4" s="37"/>
      <c r="U4"/>
    </row>
    <row r="5" spans="1:21">
      <c r="A5" s="16"/>
      <c r="B5" s="17"/>
      <c r="C5" s="17"/>
      <c r="D5" s="17"/>
      <c r="E5" s="17"/>
      <c r="F5" s="17"/>
      <c r="G5" s="17"/>
      <c r="H5" s="17"/>
      <c r="I5" s="18"/>
      <c r="J5" s="31"/>
      <c r="K5" s="48"/>
      <c r="L5" s="158"/>
      <c r="M5" s="209" t="s">
        <v>186</v>
      </c>
      <c r="N5" s="192" t="s">
        <v>34</v>
      </c>
      <c r="O5" s="192">
        <f>H9</f>
        <v>339570</v>
      </c>
      <c r="P5" s="194" t="s">
        <v>36</v>
      </c>
      <c r="Q5" s="192">
        <f>H8</f>
        <v>441000</v>
      </c>
      <c r="R5" s="192" t="s">
        <v>34</v>
      </c>
      <c r="S5" s="210">
        <f>O5/Q5</f>
        <v>0.77</v>
      </c>
      <c r="T5" s="194"/>
      <c r="U5"/>
    </row>
    <row r="6" spans="1:21">
      <c r="A6" s="25" t="s">
        <v>2</v>
      </c>
      <c r="B6" s="17" t="s">
        <v>181</v>
      </c>
      <c r="C6" s="17"/>
      <c r="D6" s="17"/>
      <c r="E6" s="17"/>
      <c r="F6" s="17"/>
      <c r="G6" s="17"/>
      <c r="H6" s="17"/>
      <c r="I6" s="18"/>
      <c r="J6" s="31"/>
      <c r="K6" s="48"/>
      <c r="L6" s="158"/>
      <c r="M6" s="211" t="s">
        <v>27</v>
      </c>
      <c r="N6" s="192" t="s">
        <v>34</v>
      </c>
      <c r="O6" s="192">
        <f>H10</f>
        <v>13671</v>
      </c>
      <c r="P6" s="194" t="s">
        <v>36</v>
      </c>
      <c r="Q6" s="192">
        <f>H8</f>
        <v>441000</v>
      </c>
      <c r="R6" s="192" t="s">
        <v>34</v>
      </c>
      <c r="S6" s="210">
        <f>O6/Q6</f>
        <v>3.1E-2</v>
      </c>
      <c r="T6" s="158"/>
      <c r="U6"/>
    </row>
    <row r="7" spans="1:21" ht="15.75" thickBot="1">
      <c r="A7" s="9">
        <f>INDEX('Point Grid'!$C$8:$I$54,MATCH($A$1,'Point Grid'!$A$8:$A$54,0),MATCH(A6,'Point Grid'!$C$7:$I$7,0))</f>
        <v>1</v>
      </c>
      <c r="B7" s="17"/>
      <c r="C7" s="17"/>
      <c r="D7" s="17"/>
      <c r="E7" s="17"/>
      <c r="F7" s="17"/>
      <c r="G7" s="17"/>
      <c r="H7" s="17"/>
      <c r="I7" s="18"/>
      <c r="J7" s="31"/>
      <c r="K7" s="48"/>
      <c r="L7" s="158"/>
      <c r="M7" s="158"/>
      <c r="N7" s="192"/>
      <c r="O7" s="193"/>
      <c r="P7" s="158"/>
      <c r="Q7" s="158"/>
      <c r="R7" s="158"/>
      <c r="S7" s="212">
        <f>SUM(S5:S6)</f>
        <v>0.80100000000000005</v>
      </c>
      <c r="T7" s="158"/>
      <c r="U7"/>
    </row>
    <row r="8" spans="1:21" ht="15.75" thickBot="1">
      <c r="A8" s="5"/>
      <c r="B8" s="17"/>
      <c r="C8" s="174" t="s">
        <v>182</v>
      </c>
      <c r="D8" s="175"/>
      <c r="E8" s="176"/>
      <c r="F8" s="203"/>
      <c r="G8" s="204"/>
      <c r="H8" s="177">
        <v>441000</v>
      </c>
      <c r="I8" s="18"/>
      <c r="J8" s="31"/>
      <c r="K8"/>
      <c r="L8" s="158"/>
      <c r="M8" s="158"/>
      <c r="N8" s="158"/>
      <c r="O8" s="158"/>
      <c r="P8" s="158"/>
      <c r="Q8" s="158"/>
      <c r="R8" s="158"/>
      <c r="S8" s="158"/>
      <c r="T8" s="158"/>
      <c r="U8"/>
    </row>
    <row r="9" spans="1:21">
      <c r="A9" s="25"/>
      <c r="B9" s="17"/>
      <c r="C9" s="179" t="s">
        <v>183</v>
      </c>
      <c r="D9" s="180"/>
      <c r="E9" s="181"/>
      <c r="F9" s="183"/>
      <c r="G9" s="184"/>
      <c r="H9" s="182">
        <v>339570</v>
      </c>
      <c r="I9" s="18"/>
      <c r="J9" s="31"/>
      <c r="K9" s="48"/>
      <c r="L9" s="158"/>
      <c r="M9" s="158"/>
      <c r="N9" s="158"/>
      <c r="O9" s="158"/>
      <c r="P9" s="158"/>
      <c r="Q9" s="158"/>
      <c r="R9" s="158"/>
      <c r="S9" s="158"/>
      <c r="T9" s="158"/>
    </row>
    <row r="10" spans="1:21">
      <c r="A10" s="25"/>
      <c r="B10" s="17"/>
      <c r="C10" s="186" t="s">
        <v>184</v>
      </c>
      <c r="D10" s="187"/>
      <c r="E10" s="187"/>
      <c r="F10" s="205"/>
      <c r="G10" s="206"/>
      <c r="H10" s="207">
        <v>13671</v>
      </c>
      <c r="I10" s="18"/>
      <c r="J10" s="31"/>
      <c r="K10"/>
      <c r="L10" s="196" t="s">
        <v>174</v>
      </c>
      <c r="M10" s="37" t="s">
        <v>187</v>
      </c>
      <c r="N10" s="158"/>
      <c r="O10" s="158"/>
      <c r="P10" s="158"/>
      <c r="Q10" s="158"/>
      <c r="R10" s="158"/>
      <c r="S10" s="158"/>
      <c r="T10" s="158"/>
      <c r="U10"/>
    </row>
    <row r="11" spans="1:21">
      <c r="A11" s="25"/>
      <c r="B11" s="17"/>
      <c r="C11" s="179" t="s">
        <v>165</v>
      </c>
      <c r="D11" s="180"/>
      <c r="E11" s="180"/>
      <c r="F11" s="183"/>
      <c r="G11" s="184"/>
      <c r="H11" s="208">
        <v>0.2</v>
      </c>
      <c r="I11" s="18"/>
      <c r="J11" s="31"/>
      <c r="K11"/>
      <c r="L11" s="158"/>
      <c r="M11" s="158"/>
      <c r="N11" s="158"/>
      <c r="O11" s="158"/>
      <c r="P11" s="158"/>
      <c r="Q11" s="158"/>
      <c r="R11" s="158"/>
      <c r="S11" s="158"/>
      <c r="T11" s="158"/>
      <c r="U11"/>
    </row>
    <row r="12" spans="1:21">
      <c r="A12" s="25"/>
      <c r="B12" s="17"/>
      <c r="C12" s="186" t="s">
        <v>167</v>
      </c>
      <c r="D12" s="187"/>
      <c r="E12" s="187"/>
      <c r="F12" s="205"/>
      <c r="G12" s="206"/>
      <c r="H12" s="189">
        <v>0.04</v>
      </c>
      <c r="I12" s="18"/>
      <c r="J12" s="31"/>
      <c r="K12"/>
      <c r="L12" s="158"/>
      <c r="M12" s="213" t="s">
        <v>91</v>
      </c>
      <c r="N12" s="192" t="s">
        <v>34</v>
      </c>
      <c r="O12" s="158" t="s">
        <v>188</v>
      </c>
      <c r="P12" s="158"/>
      <c r="Q12" s="194" t="s">
        <v>36</v>
      </c>
      <c r="R12" s="158" t="s">
        <v>178</v>
      </c>
      <c r="S12" s="214" t="s">
        <v>189</v>
      </c>
      <c r="T12" s="215">
        <v>1</v>
      </c>
      <c r="U12"/>
    </row>
    <row r="13" spans="1:21">
      <c r="A13" s="25"/>
      <c r="B13" s="17"/>
      <c r="C13" s="28"/>
      <c r="D13" s="28"/>
      <c r="E13" s="28"/>
      <c r="F13" s="28"/>
      <c r="G13" s="28"/>
      <c r="H13" s="28"/>
      <c r="I13" s="18"/>
      <c r="J13" s="31"/>
      <c r="K13" s="48"/>
      <c r="L13" s="158"/>
      <c r="M13" s="37"/>
      <c r="N13" s="192" t="s">
        <v>34</v>
      </c>
      <c r="O13" s="216">
        <f>S7</f>
        <v>0.80100000000000005</v>
      </c>
      <c r="P13" s="37"/>
      <c r="Q13" s="194" t="s">
        <v>36</v>
      </c>
      <c r="R13" s="198">
        <f>1-H11-H12</f>
        <v>0.76</v>
      </c>
      <c r="S13" s="214" t="s">
        <v>189</v>
      </c>
      <c r="T13" s="215">
        <v>1</v>
      </c>
      <c r="U13"/>
    </row>
    <row r="14" spans="1:21">
      <c r="A14" s="25" t="s">
        <v>3</v>
      </c>
      <c r="B14" s="17" t="s">
        <v>190</v>
      </c>
      <c r="C14" s="28"/>
      <c r="D14" s="28"/>
      <c r="E14" s="28"/>
      <c r="F14" s="28"/>
      <c r="G14" s="28"/>
      <c r="H14" s="28"/>
      <c r="I14" s="18"/>
      <c r="J14" s="31"/>
      <c r="K14"/>
      <c r="L14" s="158"/>
      <c r="M14" s="158"/>
      <c r="N14" s="192" t="s">
        <v>34</v>
      </c>
      <c r="O14" s="217">
        <f>O13/R13-T13</f>
        <v>5.3947368421052744E-2</v>
      </c>
      <c r="P14" s="158"/>
      <c r="Q14" s="158"/>
      <c r="R14" s="158"/>
      <c r="S14" s="158"/>
      <c r="T14" s="158"/>
      <c r="U14"/>
    </row>
    <row r="15" spans="1:21" ht="15.75" thickBot="1">
      <c r="A15" s="9">
        <f>INDEX('Point Grid'!$C$8:$I$54,MATCH($A$1,'Point Grid'!$A$8:$A$54,0),MATCH(A14,'Point Grid'!$C$7:$I$7,0))</f>
        <v>0.5</v>
      </c>
      <c r="B15" s="17" t="s">
        <v>191</v>
      </c>
      <c r="C15" s="28"/>
      <c r="D15" s="28"/>
      <c r="E15" s="28"/>
      <c r="F15" s="28"/>
      <c r="G15" s="28"/>
      <c r="H15" s="28"/>
      <c r="I15" s="18"/>
      <c r="J15" s="31"/>
      <c r="K15"/>
      <c r="L15" s="158"/>
      <c r="M15" s="158"/>
      <c r="N15" s="158"/>
      <c r="O15" s="200" t="s">
        <v>179</v>
      </c>
      <c r="P15" s="158"/>
      <c r="Q15" s="158"/>
      <c r="R15" s="158"/>
      <c r="S15" s="158"/>
      <c r="T15" s="158"/>
      <c r="U15"/>
    </row>
    <row r="16" spans="1:21" ht="15.75" thickBot="1">
      <c r="A16" s="5"/>
      <c r="B16" s="17" t="s">
        <v>192</v>
      </c>
      <c r="C16" s="28"/>
      <c r="D16" s="28"/>
      <c r="E16" s="28"/>
      <c r="F16" s="28"/>
      <c r="G16" s="28"/>
      <c r="H16" s="28"/>
      <c r="I16" s="18"/>
      <c r="J16" s="31"/>
      <c r="K16" s="48"/>
      <c r="L16" s="1"/>
      <c r="M16"/>
      <c r="N16"/>
      <c r="O16"/>
      <c r="P16"/>
      <c r="Q16"/>
      <c r="R16"/>
      <c r="S16"/>
      <c r="T16"/>
      <c r="U16"/>
    </row>
    <row r="17" spans="1:21">
      <c r="A17" s="25"/>
      <c r="B17" s="17"/>
      <c r="C17" s="28"/>
      <c r="D17" s="28"/>
      <c r="E17" s="28"/>
      <c r="F17" s="28"/>
      <c r="G17" s="28"/>
      <c r="H17" s="28"/>
      <c r="I17" s="18"/>
      <c r="J17" s="31"/>
      <c r="K17" s="48" t="s">
        <v>3</v>
      </c>
      <c r="L17" t="s">
        <v>194</v>
      </c>
      <c r="M17"/>
      <c r="N17"/>
      <c r="O17"/>
      <c r="P17"/>
      <c r="Q17"/>
      <c r="R17"/>
      <c r="S17"/>
      <c r="T17"/>
      <c r="U17"/>
    </row>
    <row r="18" spans="1:21" ht="15" customHeight="1">
      <c r="A18" s="25"/>
      <c r="B18" s="17"/>
      <c r="C18" s="28"/>
      <c r="D18" s="28"/>
      <c r="E18" s="28"/>
      <c r="F18" s="28"/>
      <c r="G18" s="28"/>
      <c r="H18" s="28"/>
      <c r="I18" s="18"/>
      <c r="J18" s="31"/>
      <c r="K18"/>
      <c r="L18" t="s">
        <v>193</v>
      </c>
      <c r="M18"/>
      <c r="N18"/>
      <c r="O18"/>
      <c r="P18"/>
      <c r="Q18"/>
      <c r="R18"/>
      <c r="S18"/>
      <c r="T18"/>
      <c r="U18"/>
    </row>
    <row r="19" spans="1:21" ht="15" customHeight="1">
      <c r="A19" s="25"/>
      <c r="B19" s="17"/>
      <c r="C19" s="28"/>
      <c r="D19" s="28"/>
      <c r="E19" s="28"/>
      <c r="F19" s="28"/>
      <c r="G19" s="28"/>
      <c r="H19" s="28"/>
      <c r="I19" s="18"/>
      <c r="J19" s="31"/>
      <c r="K19"/>
      <c r="L19"/>
      <c r="M19"/>
      <c r="N19"/>
      <c r="O19"/>
      <c r="P19"/>
      <c r="Q19"/>
      <c r="R19"/>
      <c r="S19"/>
      <c r="T19"/>
      <c r="U19"/>
    </row>
    <row r="20" spans="1:21" ht="15" customHeight="1">
      <c r="A20" s="25"/>
      <c r="B20" s="17"/>
      <c r="C20" s="28"/>
      <c r="D20" s="28"/>
      <c r="E20" s="28"/>
      <c r="F20" s="28"/>
      <c r="G20" s="28"/>
      <c r="H20" s="28"/>
      <c r="I20" s="18"/>
      <c r="J20" s="31"/>
      <c r="K20"/>
      <c r="L20"/>
      <c r="M20"/>
      <c r="N20"/>
      <c r="O20"/>
      <c r="P20"/>
      <c r="Q20"/>
      <c r="R20"/>
      <c r="S20"/>
      <c r="T20"/>
      <c r="U20"/>
    </row>
    <row r="21" spans="1:21" ht="15" customHeight="1">
      <c r="A21" s="25"/>
      <c r="B21" s="17"/>
      <c r="C21" s="28"/>
      <c r="D21" s="28"/>
      <c r="E21" s="28"/>
      <c r="F21" s="28"/>
      <c r="G21" s="28"/>
      <c r="H21" s="28"/>
      <c r="I21" s="18"/>
      <c r="J21" s="31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25"/>
      <c r="B22" s="17"/>
      <c r="C22" s="28"/>
      <c r="D22" s="28"/>
      <c r="E22" s="28"/>
      <c r="F22" s="28"/>
      <c r="G22" s="28"/>
      <c r="H22" s="28"/>
      <c r="I22" s="18"/>
      <c r="J22" s="31"/>
      <c r="K22"/>
      <c r="L22"/>
      <c r="M22"/>
      <c r="N22"/>
      <c r="O22"/>
      <c r="P22"/>
      <c r="Q22"/>
      <c r="R22"/>
      <c r="S22"/>
      <c r="T22"/>
      <c r="U22"/>
    </row>
    <row r="23" spans="1:21" ht="15" customHeight="1">
      <c r="A23" s="25"/>
      <c r="B23" s="17"/>
      <c r="C23" s="28"/>
      <c r="D23" s="28"/>
      <c r="E23" s="28"/>
      <c r="F23" s="28"/>
      <c r="G23" s="28"/>
      <c r="H23" s="28"/>
      <c r="I23" s="18"/>
      <c r="J23" s="31"/>
      <c r="K23"/>
      <c r="L23"/>
      <c r="M23"/>
      <c r="N23"/>
      <c r="O23"/>
      <c r="P23"/>
      <c r="Q23"/>
      <c r="R23"/>
      <c r="S23"/>
      <c r="T23"/>
      <c r="U23"/>
    </row>
    <row r="24" spans="1:21" ht="15" customHeight="1">
      <c r="A24" s="25"/>
      <c r="B24" s="17"/>
      <c r="C24" s="28"/>
      <c r="D24" s="28"/>
      <c r="E24" s="28"/>
      <c r="F24" s="28"/>
      <c r="G24" s="28"/>
      <c r="H24" s="28"/>
      <c r="I24" s="18"/>
      <c r="J24" s="31"/>
      <c r="K24"/>
      <c r="L24"/>
      <c r="M24"/>
      <c r="N24"/>
      <c r="O24"/>
      <c r="P24"/>
      <c r="Q24"/>
      <c r="R24"/>
      <c r="S24"/>
      <c r="T24"/>
      <c r="U24"/>
    </row>
    <row r="25" spans="1:21" ht="15" customHeight="1">
      <c r="A25" s="25"/>
      <c r="B25" s="17"/>
      <c r="C25" s="28"/>
      <c r="D25" s="28"/>
      <c r="E25" s="28"/>
      <c r="F25" s="28"/>
      <c r="G25" s="28"/>
      <c r="H25" s="28"/>
      <c r="I25" s="18"/>
      <c r="J25" s="31"/>
      <c r="K25"/>
      <c r="L25"/>
      <c r="M25"/>
      <c r="N25"/>
      <c r="O25"/>
      <c r="P25"/>
      <c r="Q25"/>
      <c r="R25"/>
      <c r="S25"/>
      <c r="T25"/>
      <c r="U25"/>
    </row>
    <row r="26" spans="1:21" ht="15" customHeight="1">
      <c r="A26" s="25"/>
      <c r="B26" s="17"/>
      <c r="C26" s="28"/>
      <c r="D26" s="28"/>
      <c r="E26" s="28"/>
      <c r="F26" s="28"/>
      <c r="G26" s="28"/>
      <c r="H26" s="28"/>
      <c r="I26" s="18"/>
      <c r="J26" s="31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25"/>
      <c r="B27" s="17"/>
      <c r="C27" s="28"/>
      <c r="D27" s="28"/>
      <c r="E27" s="28"/>
      <c r="F27" s="28"/>
      <c r="G27" s="28"/>
      <c r="H27" s="28"/>
      <c r="I27" s="18"/>
      <c r="J27" s="31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25"/>
      <c r="B28" s="17"/>
      <c r="C28" s="28"/>
      <c r="D28" s="28"/>
      <c r="E28" s="28"/>
      <c r="F28" s="28"/>
      <c r="G28" s="28"/>
      <c r="H28" s="28"/>
      <c r="I28" s="18"/>
      <c r="J28" s="31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22"/>
      <c r="B29" s="17"/>
      <c r="C29" s="17"/>
      <c r="D29" s="17"/>
      <c r="E29" s="17"/>
      <c r="F29" s="17"/>
      <c r="G29" s="17"/>
      <c r="H29" s="17"/>
      <c r="I29" s="18"/>
      <c r="J29" s="31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>
      <c r="A30" s="24"/>
      <c r="B30" s="32"/>
      <c r="C30" s="32"/>
      <c r="D30" s="32"/>
      <c r="E30" s="32"/>
      <c r="F30" s="32"/>
      <c r="G30" s="32"/>
      <c r="H30" s="32"/>
      <c r="I30" s="33"/>
      <c r="J30" s="31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B31" s="31"/>
      <c r="C31" s="31"/>
      <c r="D31" s="31"/>
      <c r="E31" s="31"/>
      <c r="F31" s="31"/>
      <c r="G31" s="31"/>
      <c r="H31" s="31"/>
      <c r="I31" s="31"/>
      <c r="J31" s="31"/>
      <c r="K31"/>
      <c r="L31"/>
      <c r="M31"/>
      <c r="N31"/>
      <c r="O31"/>
      <c r="P31"/>
      <c r="Q31"/>
      <c r="R31"/>
      <c r="S31"/>
      <c r="T31"/>
      <c r="U31"/>
    </row>
    <row r="32" spans="1:21" ht="15" customHeight="1">
      <c r="J32" s="31"/>
      <c r="K32"/>
      <c r="L32"/>
      <c r="M32"/>
      <c r="N32"/>
      <c r="O32"/>
      <c r="P32"/>
      <c r="Q32"/>
      <c r="R32"/>
      <c r="S32"/>
      <c r="T32"/>
      <c r="U32"/>
    </row>
    <row r="33" spans="2:21" ht="15" customHeight="1">
      <c r="J33" s="31"/>
      <c r="K33" s="48"/>
      <c r="L33" s="1"/>
      <c r="M33"/>
      <c r="N33"/>
      <c r="O33"/>
      <c r="P33"/>
      <c r="Q33"/>
      <c r="R33"/>
      <c r="S33"/>
      <c r="T33"/>
      <c r="U33"/>
    </row>
    <row r="34" spans="2:21" ht="15" customHeight="1">
      <c r="J34" s="31"/>
      <c r="K34"/>
      <c r="L34"/>
      <c r="M34"/>
      <c r="N34"/>
      <c r="O34"/>
      <c r="P34"/>
      <c r="Q34"/>
      <c r="R34"/>
      <c r="S34"/>
      <c r="T34"/>
      <c r="U34"/>
    </row>
    <row r="35" spans="2:21" ht="15" customHeight="1">
      <c r="J35" s="31"/>
      <c r="K35" s="48"/>
      <c r="L35"/>
      <c r="M35"/>
      <c r="N35"/>
      <c r="O35"/>
      <c r="P35"/>
      <c r="Q35"/>
      <c r="R35"/>
      <c r="S35"/>
      <c r="T35"/>
      <c r="U35"/>
    </row>
    <row r="36" spans="2:21" ht="15" customHeight="1">
      <c r="J36" s="31"/>
      <c r="K36"/>
      <c r="L36"/>
      <c r="M36"/>
      <c r="N36"/>
      <c r="O36"/>
      <c r="P36"/>
      <c r="Q36"/>
      <c r="R36"/>
      <c r="S36"/>
      <c r="T36"/>
      <c r="U36"/>
    </row>
    <row r="37" spans="2:21" ht="15" customHeight="1">
      <c r="J37" s="31"/>
      <c r="K37"/>
      <c r="L37"/>
      <c r="M37"/>
      <c r="N37"/>
      <c r="O37"/>
      <c r="P37"/>
      <c r="Q37"/>
      <c r="R37"/>
      <c r="S37"/>
      <c r="T37"/>
      <c r="U37"/>
    </row>
    <row r="38" spans="2:21" ht="15" customHeight="1">
      <c r="J38" s="31"/>
      <c r="K38"/>
      <c r="L38"/>
      <c r="M38"/>
      <c r="N38"/>
      <c r="O38"/>
      <c r="P38"/>
      <c r="Q38"/>
      <c r="R38"/>
      <c r="S38"/>
      <c r="T38"/>
      <c r="U38"/>
    </row>
    <row r="39" spans="2:21" ht="15" customHeight="1">
      <c r="J39" s="31"/>
      <c r="K39"/>
      <c r="L39"/>
      <c r="M39"/>
      <c r="N39"/>
      <c r="O39"/>
      <c r="P39"/>
      <c r="Q39"/>
      <c r="R39"/>
      <c r="S39"/>
      <c r="T39"/>
      <c r="U39"/>
    </row>
    <row r="40" spans="2:21" ht="15" customHeight="1">
      <c r="J40" s="31"/>
      <c r="K40"/>
      <c r="L40"/>
      <c r="M40"/>
      <c r="N40"/>
      <c r="O40"/>
      <c r="P40"/>
      <c r="Q40"/>
      <c r="R40"/>
      <c r="S40"/>
      <c r="T40"/>
      <c r="U40"/>
    </row>
    <row r="41" spans="2:21" ht="15" customHeight="1">
      <c r="J41" s="31"/>
      <c r="K41"/>
      <c r="L41"/>
      <c r="M41"/>
      <c r="N41"/>
      <c r="O41"/>
      <c r="P41"/>
      <c r="Q41"/>
      <c r="R41"/>
      <c r="S41"/>
      <c r="T41"/>
      <c r="U41"/>
    </row>
    <row r="42" spans="2:21" ht="15" customHeight="1">
      <c r="J42" s="31"/>
      <c r="K42"/>
      <c r="L42"/>
      <c r="M42"/>
      <c r="N42"/>
      <c r="O42"/>
      <c r="P42"/>
      <c r="Q42"/>
      <c r="R42"/>
      <c r="S42"/>
      <c r="T42"/>
      <c r="U42"/>
    </row>
    <row r="43" spans="2:21" ht="15" customHeight="1">
      <c r="J43" s="31"/>
      <c r="K43"/>
      <c r="L43"/>
      <c r="M43"/>
      <c r="N43"/>
      <c r="O43"/>
      <c r="P43"/>
      <c r="Q43"/>
      <c r="R43"/>
      <c r="S43"/>
      <c r="T43"/>
      <c r="U43"/>
    </row>
    <row r="44" spans="2:21" ht="15" customHeight="1">
      <c r="J44" s="31"/>
      <c r="K44"/>
      <c r="L44"/>
      <c r="M44"/>
      <c r="N44"/>
      <c r="O44"/>
      <c r="P44"/>
      <c r="Q44"/>
      <c r="R44"/>
      <c r="S44"/>
      <c r="T44"/>
      <c r="U44"/>
    </row>
    <row r="45" spans="2:21" ht="15" customHeight="1">
      <c r="J45" s="31"/>
      <c r="K45"/>
      <c r="L45"/>
      <c r="M45"/>
      <c r="N45"/>
      <c r="O45"/>
      <c r="P45"/>
      <c r="Q45"/>
      <c r="R45"/>
      <c r="S45"/>
      <c r="T45"/>
      <c r="U45"/>
    </row>
    <row r="46" spans="2:21" ht="15" customHeight="1">
      <c r="B46" s="31"/>
      <c r="C46" s="31"/>
      <c r="D46" s="31"/>
      <c r="E46" s="31"/>
      <c r="F46" s="31"/>
      <c r="G46" s="31"/>
      <c r="H46" s="31"/>
      <c r="I46" s="31"/>
      <c r="J46" s="31"/>
      <c r="K46"/>
      <c r="L46"/>
      <c r="M46"/>
      <c r="N46"/>
      <c r="O46"/>
      <c r="P46"/>
      <c r="Q46"/>
      <c r="R46"/>
      <c r="S46"/>
      <c r="T46"/>
      <c r="U46"/>
    </row>
    <row r="47" spans="2:21" ht="15" customHeight="1">
      <c r="B47" s="31"/>
      <c r="C47" s="31"/>
      <c r="D47" s="31"/>
      <c r="E47" s="31"/>
      <c r="F47" s="31"/>
      <c r="G47" s="31"/>
      <c r="H47" s="31"/>
      <c r="I47" s="31"/>
      <c r="J47" s="31"/>
      <c r="K47"/>
      <c r="L47"/>
      <c r="M47"/>
      <c r="N47"/>
      <c r="O47"/>
      <c r="P47"/>
      <c r="Q47"/>
      <c r="R47"/>
      <c r="S47"/>
      <c r="T47"/>
      <c r="U47"/>
    </row>
    <row r="48" spans="2:21" ht="15" customHeight="1">
      <c r="B48" s="31"/>
      <c r="C48" s="31"/>
      <c r="D48" s="31"/>
      <c r="E48" s="31"/>
      <c r="F48" s="31"/>
      <c r="G48" s="31"/>
      <c r="H48" s="31"/>
      <c r="I48" s="31"/>
      <c r="J48" s="31"/>
      <c r="K48"/>
      <c r="L48"/>
      <c r="M48"/>
      <c r="N48"/>
      <c r="O48"/>
      <c r="P48"/>
      <c r="Q48"/>
      <c r="R48"/>
      <c r="S48"/>
      <c r="T48"/>
      <c r="U48"/>
    </row>
    <row r="49" spans="2:21" ht="15" customHeight="1">
      <c r="B49" s="31"/>
      <c r="C49" s="31"/>
      <c r="D49" s="31"/>
      <c r="E49" s="31"/>
      <c r="F49" s="31"/>
      <c r="G49" s="31"/>
      <c r="H49" s="31"/>
      <c r="I49" s="31"/>
      <c r="J49" s="31"/>
      <c r="K49"/>
      <c r="L49"/>
      <c r="M49"/>
      <c r="N49"/>
      <c r="O49"/>
      <c r="P49"/>
      <c r="Q49"/>
      <c r="R49"/>
      <c r="S49"/>
      <c r="T49"/>
      <c r="U49"/>
    </row>
    <row r="50" spans="2:21" ht="15" customHeight="1">
      <c r="B50" s="31"/>
      <c r="C50" s="31"/>
      <c r="D50" s="31"/>
      <c r="E50" s="31"/>
      <c r="F50" s="31"/>
      <c r="G50" s="31"/>
      <c r="H50" s="31"/>
      <c r="I50" s="31"/>
      <c r="J50" s="31"/>
      <c r="K50"/>
      <c r="L50"/>
      <c r="M50"/>
      <c r="N50"/>
      <c r="O50"/>
      <c r="P50"/>
      <c r="Q50"/>
      <c r="R50"/>
      <c r="S50"/>
      <c r="T50"/>
      <c r="U50"/>
    </row>
    <row r="51" spans="2:21" ht="15" customHeight="1">
      <c r="B51" s="31"/>
      <c r="C51" s="31"/>
      <c r="D51" s="31"/>
      <c r="E51" s="31"/>
      <c r="F51" s="31"/>
      <c r="G51" s="31"/>
      <c r="H51" s="31"/>
      <c r="I51" s="31"/>
      <c r="J51" s="31"/>
    </row>
    <row r="52" spans="2:21" ht="15" customHeight="1">
      <c r="B52" s="31"/>
      <c r="C52" s="31"/>
      <c r="D52" s="31"/>
      <c r="E52" s="31"/>
      <c r="F52" s="31"/>
      <c r="G52" s="31"/>
      <c r="H52" s="31"/>
      <c r="I52" s="31"/>
      <c r="J52" s="31"/>
    </row>
    <row r="53" spans="2:21" ht="15" customHeight="1">
      <c r="B53" s="31"/>
      <c r="C53" s="31"/>
      <c r="D53" s="31"/>
      <c r="E53" s="31"/>
      <c r="F53" s="31"/>
      <c r="G53" s="31"/>
      <c r="H53" s="31"/>
      <c r="I53" s="31"/>
      <c r="J53" s="31"/>
    </row>
    <row r="54" spans="2:21" ht="15" customHeight="1">
      <c r="B54" s="31"/>
      <c r="C54" s="31"/>
      <c r="D54" s="31"/>
      <c r="E54" s="31"/>
      <c r="F54" s="31"/>
      <c r="G54" s="31"/>
      <c r="H54" s="31"/>
      <c r="I54" s="31"/>
      <c r="J54" s="31"/>
    </row>
    <row r="55" spans="2:21" ht="15" customHeight="1">
      <c r="B55" s="31"/>
      <c r="C55" s="31"/>
      <c r="D55" s="31"/>
      <c r="E55" s="31"/>
      <c r="F55" s="31"/>
      <c r="G55" s="31"/>
      <c r="H55" s="31"/>
      <c r="I55" s="31"/>
      <c r="J55" s="31"/>
    </row>
    <row r="56" spans="2:21" ht="15" customHeight="1">
      <c r="B56" s="31"/>
      <c r="C56" s="31"/>
      <c r="D56" s="31"/>
      <c r="E56" s="31"/>
      <c r="F56" s="31"/>
      <c r="G56" s="31"/>
      <c r="H56" s="31"/>
      <c r="I56" s="31"/>
      <c r="J56" s="31"/>
    </row>
    <row r="57" spans="2:21" ht="15" customHeight="1">
      <c r="B57" s="31"/>
      <c r="C57" s="31"/>
      <c r="D57" s="31"/>
      <c r="E57" s="31"/>
      <c r="F57" s="31"/>
      <c r="G57" s="31"/>
      <c r="H57" s="31"/>
      <c r="I57" s="31"/>
      <c r="J57" s="31"/>
    </row>
    <row r="58" spans="2:21" ht="15" customHeight="1">
      <c r="B58" s="31"/>
      <c r="C58" s="31"/>
      <c r="D58" s="31"/>
      <c r="E58" s="31"/>
      <c r="F58" s="31"/>
      <c r="G58" s="31"/>
      <c r="H58" s="31"/>
      <c r="I58" s="31"/>
      <c r="J58" s="31"/>
    </row>
    <row r="59" spans="2:21" ht="15" customHeight="1">
      <c r="B59" s="31"/>
      <c r="C59" s="31"/>
      <c r="D59" s="31"/>
      <c r="E59" s="31"/>
      <c r="F59" s="31"/>
      <c r="G59" s="31"/>
      <c r="H59" s="31"/>
      <c r="I59" s="31"/>
      <c r="J59" s="31"/>
    </row>
    <row r="60" spans="2:21" ht="15" customHeight="1">
      <c r="B60" s="31"/>
      <c r="C60" s="31"/>
      <c r="D60" s="31"/>
      <c r="E60" s="31"/>
      <c r="F60" s="31"/>
      <c r="G60" s="31"/>
      <c r="H60" s="31"/>
      <c r="I60" s="31"/>
      <c r="J60" s="31"/>
    </row>
    <row r="61" spans="2:21" ht="15" customHeight="1">
      <c r="B61" s="31"/>
      <c r="C61" s="31"/>
      <c r="D61" s="31"/>
      <c r="E61" s="31"/>
      <c r="F61" s="31"/>
      <c r="G61" s="31"/>
      <c r="H61" s="31"/>
      <c r="I61" s="31"/>
      <c r="J61" s="31"/>
    </row>
    <row r="62" spans="2:21" ht="15" customHeight="1">
      <c r="B62" s="31"/>
      <c r="C62" s="31"/>
      <c r="D62" s="31"/>
      <c r="E62" s="31"/>
      <c r="F62" s="31"/>
      <c r="G62" s="31"/>
      <c r="H62" s="31"/>
      <c r="I62" s="31"/>
      <c r="J62" s="31"/>
    </row>
    <row r="63" spans="2:21" ht="15" customHeight="1">
      <c r="B63" s="31"/>
      <c r="C63" s="31"/>
      <c r="D63" s="31"/>
      <c r="E63" s="31"/>
      <c r="F63" s="31"/>
      <c r="G63" s="31"/>
      <c r="H63" s="31"/>
      <c r="I63" s="31"/>
      <c r="J63" s="31"/>
    </row>
    <row r="64" spans="2:21" ht="15" customHeight="1">
      <c r="B64" s="31"/>
      <c r="C64" s="31"/>
      <c r="D64" s="31"/>
      <c r="E64" s="31"/>
      <c r="F64" s="31"/>
      <c r="G64" s="31"/>
      <c r="H64" s="31"/>
      <c r="I64" s="31"/>
      <c r="J64" s="31"/>
    </row>
    <row r="65" spans="2:10" ht="15" customHeight="1">
      <c r="B65" s="31"/>
      <c r="C65" s="31"/>
      <c r="D65" s="31"/>
      <c r="E65" s="31"/>
      <c r="F65" s="31"/>
      <c r="G65" s="31"/>
      <c r="H65" s="31"/>
      <c r="I65" s="31"/>
      <c r="J65" s="31"/>
    </row>
    <row r="66" spans="2:10" ht="15" customHeight="1">
      <c r="B66" s="31"/>
      <c r="C66" s="31"/>
      <c r="D66" s="31"/>
      <c r="E66" s="31"/>
      <c r="F66" s="31"/>
      <c r="G66" s="31"/>
      <c r="H66" s="31"/>
      <c r="I66" s="31"/>
      <c r="J66" s="31"/>
    </row>
    <row r="67" spans="2:10" ht="15" customHeight="1">
      <c r="B67" s="31"/>
      <c r="C67" s="31"/>
      <c r="D67" s="31"/>
      <c r="E67" s="31"/>
      <c r="F67" s="31"/>
      <c r="G67" s="31"/>
      <c r="H67" s="31"/>
      <c r="I67" s="31"/>
      <c r="J67" s="31"/>
    </row>
    <row r="68" spans="2:10" ht="15" customHeight="1">
      <c r="B68" s="31"/>
      <c r="C68" s="31"/>
      <c r="D68" s="31"/>
      <c r="E68" s="31"/>
      <c r="F68" s="31"/>
      <c r="G68" s="31"/>
      <c r="H68" s="31"/>
      <c r="I68" s="31"/>
      <c r="J68" s="31"/>
    </row>
    <row r="69" spans="2:10" ht="15" customHeight="1">
      <c r="B69" s="31"/>
      <c r="C69" s="31"/>
      <c r="D69" s="31"/>
      <c r="E69" s="31"/>
      <c r="F69" s="31"/>
      <c r="G69" s="31"/>
      <c r="H69" s="31"/>
      <c r="I69" s="31"/>
      <c r="J69" s="31"/>
    </row>
    <row r="70" spans="2:10" ht="15" customHeight="1">
      <c r="B70" s="31"/>
      <c r="C70" s="31"/>
      <c r="D70" s="31"/>
      <c r="E70" s="31"/>
      <c r="F70" s="31"/>
      <c r="G70" s="31"/>
      <c r="H70" s="31"/>
      <c r="I70" s="31"/>
      <c r="J70" s="31"/>
    </row>
    <row r="71" spans="2:10" ht="15" customHeight="1">
      <c r="B71" s="31"/>
      <c r="C71" s="31"/>
      <c r="D71" s="31"/>
      <c r="E71" s="31"/>
      <c r="F71" s="31"/>
      <c r="G71" s="31"/>
      <c r="H71" s="31"/>
      <c r="I71" s="31"/>
      <c r="J71" s="31"/>
    </row>
    <row r="72" spans="2:10" ht="15" customHeight="1">
      <c r="B72" s="31"/>
      <c r="C72" s="31"/>
      <c r="D72" s="31"/>
      <c r="E72" s="31"/>
      <c r="F72" s="31"/>
      <c r="G72" s="31"/>
      <c r="H72" s="31"/>
      <c r="I72" s="31"/>
      <c r="J72" s="31"/>
    </row>
    <row r="73" spans="2:10" ht="15" customHeight="1">
      <c r="B73" s="31"/>
      <c r="C73" s="31"/>
      <c r="D73" s="31"/>
      <c r="E73" s="31"/>
      <c r="F73" s="31"/>
      <c r="G73" s="31"/>
      <c r="H73" s="31"/>
      <c r="I73" s="31"/>
      <c r="J73" s="31"/>
    </row>
    <row r="74" spans="2:10" ht="15" customHeight="1">
      <c r="B74" s="31"/>
      <c r="C74" s="31"/>
      <c r="D74" s="31"/>
      <c r="E74" s="31"/>
      <c r="F74" s="31"/>
      <c r="G74" s="31"/>
      <c r="H74" s="31"/>
      <c r="I74" s="31"/>
      <c r="J74" s="31"/>
    </row>
    <row r="75" spans="2:10" ht="15" customHeight="1">
      <c r="B75" s="31"/>
      <c r="C75" s="31"/>
      <c r="D75" s="31"/>
      <c r="E75" s="31"/>
      <c r="F75" s="31"/>
      <c r="G75" s="31"/>
      <c r="H75" s="31"/>
      <c r="I75" s="31"/>
      <c r="J75" s="31"/>
    </row>
    <row r="76" spans="2:10" ht="15" customHeight="1">
      <c r="B76" s="31"/>
      <c r="C76" s="31"/>
      <c r="D76" s="31"/>
      <c r="E76" s="31"/>
      <c r="F76" s="31"/>
      <c r="G76" s="31"/>
      <c r="H76" s="31"/>
      <c r="I76" s="31"/>
      <c r="J76" s="31"/>
    </row>
    <row r="77" spans="2:10" ht="15" customHeight="1">
      <c r="B77" s="31"/>
      <c r="C77" s="31"/>
      <c r="D77" s="31"/>
      <c r="E77" s="31"/>
      <c r="F77" s="31"/>
      <c r="G77" s="31"/>
      <c r="H77" s="31"/>
      <c r="I77" s="31"/>
      <c r="J77" s="31"/>
    </row>
    <row r="78" spans="2:10" ht="15" customHeight="1">
      <c r="B78" s="31"/>
      <c r="C78" s="31"/>
      <c r="D78" s="31"/>
      <c r="E78" s="31"/>
      <c r="F78" s="31"/>
      <c r="G78" s="31"/>
      <c r="H78" s="31"/>
      <c r="I78" s="31"/>
      <c r="J78" s="31"/>
    </row>
    <row r="79" spans="2:10" ht="15" customHeight="1">
      <c r="B79" s="31"/>
      <c r="C79" s="31"/>
      <c r="D79" s="31"/>
      <c r="E79" s="31"/>
      <c r="F79" s="31"/>
      <c r="G79" s="31"/>
      <c r="H79" s="31"/>
      <c r="I79" s="31"/>
      <c r="J79" s="31"/>
    </row>
    <row r="80" spans="2:10" ht="15" customHeight="1">
      <c r="B80" s="31"/>
      <c r="C80" s="31"/>
      <c r="D80" s="31"/>
      <c r="E80" s="31"/>
      <c r="F80" s="31"/>
      <c r="G80" s="31"/>
      <c r="H80" s="31"/>
      <c r="I80" s="31"/>
      <c r="J80" s="31"/>
    </row>
    <row r="81" spans="2:10" ht="15" customHeight="1">
      <c r="B81" s="31"/>
      <c r="C81" s="31"/>
      <c r="D81" s="31"/>
      <c r="E81" s="31"/>
      <c r="F81" s="31"/>
      <c r="G81" s="31"/>
      <c r="H81" s="31"/>
      <c r="I81" s="31"/>
      <c r="J81" s="31"/>
    </row>
    <row r="82" spans="2:10" ht="15" customHeight="1">
      <c r="B82" s="31"/>
      <c r="C82" s="31"/>
      <c r="D82" s="31"/>
      <c r="E82" s="31"/>
      <c r="F82" s="31"/>
      <c r="G82" s="31"/>
      <c r="H82" s="31"/>
      <c r="I82" s="31"/>
      <c r="J82" s="31"/>
    </row>
    <row r="83" spans="2:10" ht="15" customHeight="1">
      <c r="B83" s="31"/>
      <c r="C83" s="31"/>
      <c r="D83" s="31"/>
      <c r="E83" s="31"/>
      <c r="F83" s="31"/>
      <c r="G83" s="31"/>
      <c r="H83" s="31"/>
      <c r="I83" s="31"/>
      <c r="J83" s="31"/>
    </row>
    <row r="84" spans="2:10" ht="15" customHeight="1">
      <c r="B84" s="31"/>
      <c r="C84" s="31"/>
      <c r="D84" s="31"/>
      <c r="E84" s="31"/>
      <c r="F84" s="31"/>
      <c r="G84" s="31"/>
      <c r="H84" s="31"/>
      <c r="I84" s="31"/>
      <c r="J84" s="31"/>
    </row>
    <row r="85" spans="2:10" ht="15" customHeight="1">
      <c r="B85" s="31"/>
      <c r="C85" s="31"/>
      <c r="D85" s="31"/>
      <c r="E85" s="31"/>
      <c r="F85" s="31"/>
      <c r="G85" s="31"/>
      <c r="H85" s="31"/>
      <c r="I85" s="31"/>
      <c r="J85" s="31"/>
    </row>
    <row r="86" spans="2:10" ht="15" customHeight="1">
      <c r="B86" s="31"/>
      <c r="C86" s="31"/>
      <c r="D86" s="31"/>
      <c r="E86" s="31"/>
      <c r="F86" s="31"/>
      <c r="G86" s="31"/>
      <c r="H86" s="31"/>
      <c r="I86" s="31"/>
      <c r="J86" s="31"/>
    </row>
    <row r="87" spans="2:10" ht="15" customHeight="1">
      <c r="B87" s="31"/>
      <c r="C87" s="31"/>
      <c r="D87" s="31"/>
      <c r="E87" s="31"/>
      <c r="F87" s="31"/>
      <c r="G87" s="31"/>
      <c r="H87" s="31"/>
      <c r="I87" s="31"/>
      <c r="J87" s="31"/>
    </row>
    <row r="88" spans="2:10" ht="15" customHeight="1">
      <c r="B88" s="31"/>
      <c r="C88" s="31"/>
      <c r="D88" s="31"/>
      <c r="E88" s="31"/>
      <c r="F88" s="31"/>
      <c r="G88" s="31"/>
      <c r="H88" s="31"/>
      <c r="I88" s="31"/>
      <c r="J88" s="31"/>
    </row>
    <row r="89" spans="2:10" ht="15" customHeight="1">
      <c r="B89" s="31"/>
      <c r="C89" s="31"/>
      <c r="D89" s="31"/>
      <c r="E89" s="31"/>
      <c r="F89" s="31"/>
      <c r="G89" s="31"/>
      <c r="H89" s="31"/>
      <c r="I89" s="31"/>
      <c r="J89" s="31"/>
    </row>
    <row r="90" spans="2:10" ht="15" customHeight="1">
      <c r="B90" s="31"/>
      <c r="C90" s="31"/>
      <c r="D90" s="31"/>
      <c r="E90" s="31"/>
      <c r="F90" s="31"/>
      <c r="G90" s="31"/>
      <c r="H90" s="31"/>
      <c r="I90" s="31"/>
      <c r="J90" s="31"/>
    </row>
    <row r="91" spans="2:10" ht="15" customHeight="1">
      <c r="B91" s="31"/>
      <c r="C91" s="31"/>
      <c r="D91" s="31"/>
      <c r="E91" s="31"/>
      <c r="F91" s="31"/>
      <c r="G91" s="31"/>
      <c r="H91" s="31"/>
      <c r="I91" s="31"/>
      <c r="J91" s="31"/>
    </row>
    <row r="92" spans="2:10" ht="15" customHeight="1">
      <c r="B92" s="31"/>
      <c r="C92" s="31"/>
      <c r="D92" s="31"/>
      <c r="E92" s="31"/>
      <c r="F92" s="31"/>
      <c r="G92" s="31"/>
      <c r="H92" s="31"/>
      <c r="I92" s="31"/>
      <c r="J92" s="31"/>
    </row>
    <row r="93" spans="2:10" ht="15" customHeight="1">
      <c r="B93" s="31"/>
      <c r="C93" s="31"/>
      <c r="D93" s="31"/>
      <c r="E93" s="31"/>
      <c r="F93" s="31"/>
      <c r="G93" s="31"/>
      <c r="H93" s="31"/>
      <c r="I93" s="31"/>
      <c r="J93" s="31"/>
    </row>
    <row r="94" spans="2:10" ht="15" customHeight="1">
      <c r="B94" s="31"/>
      <c r="C94" s="31"/>
      <c r="D94" s="31"/>
      <c r="E94" s="31"/>
      <c r="F94" s="31"/>
      <c r="G94" s="31"/>
      <c r="H94" s="31"/>
      <c r="I94" s="31"/>
      <c r="J94" s="31"/>
    </row>
    <row r="95" spans="2:10" ht="15" customHeight="1">
      <c r="B95" s="31"/>
      <c r="C95" s="31"/>
      <c r="D95" s="31"/>
      <c r="E95" s="31"/>
      <c r="F95" s="31"/>
      <c r="G95" s="31"/>
      <c r="H95" s="31"/>
      <c r="I95" s="31"/>
      <c r="J95" s="31"/>
    </row>
    <row r="96" spans="2:10" ht="15" customHeight="1">
      <c r="B96" s="31"/>
      <c r="C96" s="31"/>
      <c r="D96" s="31"/>
      <c r="E96" s="31"/>
      <c r="F96" s="31"/>
      <c r="G96" s="31"/>
      <c r="H96" s="31"/>
      <c r="I96" s="31"/>
      <c r="J96" s="31"/>
    </row>
    <row r="97" spans="2:10" ht="15" customHeight="1">
      <c r="B97" s="31"/>
      <c r="C97" s="31"/>
      <c r="D97" s="31"/>
      <c r="E97" s="31"/>
      <c r="F97" s="31"/>
      <c r="G97" s="31"/>
      <c r="H97" s="31"/>
      <c r="I97" s="31"/>
      <c r="J97" s="31"/>
    </row>
    <row r="98" spans="2:10" ht="15" customHeight="1">
      <c r="B98" s="31"/>
      <c r="C98" s="31"/>
      <c r="D98" s="31"/>
      <c r="E98" s="31"/>
      <c r="F98" s="31"/>
      <c r="G98" s="31"/>
      <c r="H98" s="31"/>
      <c r="I98" s="31"/>
      <c r="J98" s="31"/>
    </row>
    <row r="99" spans="2:10" ht="15" customHeight="1">
      <c r="B99" s="31"/>
      <c r="C99" s="31"/>
      <c r="D99" s="31"/>
      <c r="E99" s="31"/>
      <c r="F99" s="31"/>
      <c r="G99" s="31"/>
      <c r="H99" s="31"/>
      <c r="I99" s="31"/>
      <c r="J99" s="31"/>
    </row>
    <row r="100" spans="2:10" ht="15" customHeight="1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2:10" ht="15" customHeight="1">
      <c r="B101" s="31"/>
      <c r="C101" s="31"/>
      <c r="D101" s="31"/>
      <c r="E101" s="31"/>
      <c r="F101" s="31"/>
      <c r="G101" s="31"/>
      <c r="H101" s="31"/>
      <c r="I101" s="31"/>
      <c r="J101" s="31"/>
    </row>
  </sheetData>
  <sortState ref="K46:Q179">
    <sortCondition ref="K46:K179"/>
  </sortState>
  <mergeCells count="1">
    <mergeCell ref="H1:I1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N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4" width="11.140625" style="21" customWidth="1"/>
    <col min="5" max="5" width="4.7109375" style="21" customWidth="1"/>
    <col min="6" max="7" width="11.140625" style="21" customWidth="1"/>
    <col min="8" max="8" width="4.7109375" style="21" customWidth="1"/>
    <col min="9" max="13" width="11.140625" style="21" customWidth="1"/>
    <col min="14" max="16" width="9.140625" style="21"/>
    <col min="17" max="17" width="10.7109375" style="21" customWidth="1"/>
    <col min="18" max="21" width="9.140625" style="21"/>
    <col min="22" max="22" width="10.7109375" style="21" customWidth="1"/>
    <col min="23" max="16384" width="9.140625" style="21"/>
  </cols>
  <sheetData>
    <row r="1" spans="1:40">
      <c r="A1" s="7">
        <v>12</v>
      </c>
      <c r="B1" s="27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854" t="s">
        <v>24</v>
      </c>
      <c r="M1" s="855"/>
      <c r="O1" s="1" t="s">
        <v>33</v>
      </c>
      <c r="P1" s="52" t="str">
        <f>VLOOKUP(A1,'Point Grid'!$L$8:$T$54,9,FALSE)</f>
        <v>Pricing - Chap 8: Indication</v>
      </c>
      <c r="Q1"/>
      <c r="R1"/>
      <c r="S1"/>
      <c r="T1"/>
      <c r="U1"/>
      <c r="V1"/>
      <c r="W1"/>
      <c r="X1"/>
      <c r="Y1"/>
    </row>
    <row r="2" spans="1:40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  <c r="O2" s="1"/>
      <c r="P2"/>
      <c r="Q2"/>
      <c r="R2"/>
      <c r="S2"/>
      <c r="T2"/>
      <c r="U2"/>
      <c r="V2"/>
      <c r="W2"/>
      <c r="X2"/>
      <c r="Y2"/>
    </row>
    <row r="3" spans="1:40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31"/>
      <c r="O3" s="265" t="s">
        <v>228</v>
      </c>
      <c r="P3" s="37" t="s">
        <v>229</v>
      </c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50" t="s">
        <v>230</v>
      </c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</row>
    <row r="4" spans="1:40">
      <c r="A4" s="9">
        <f>INDEX('Point Grid'!B:B,MATCH(A1,'Point Grid'!A:A,0))</f>
        <v>3.25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31"/>
      <c r="O4" s="37"/>
      <c r="P4" s="37" t="s">
        <v>231</v>
      </c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50" t="s">
        <v>230</v>
      </c>
      <c r="AC4" s="1" t="s">
        <v>232</v>
      </c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</row>
    <row r="5" spans="1:40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N5" s="31"/>
      <c r="O5" s="37"/>
      <c r="P5" s="266" t="s">
        <v>233</v>
      </c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50" t="s">
        <v>230</v>
      </c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</row>
    <row r="6" spans="1:40">
      <c r="A6" s="25" t="s">
        <v>2</v>
      </c>
      <c r="B6" s="17" t="s">
        <v>196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  <c r="N6" s="31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192" t="s">
        <v>230</v>
      </c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</row>
    <row r="7" spans="1:40" ht="15.75" thickBot="1">
      <c r="A7" s="9">
        <f>INDEX('Point Grid'!$C$8:$I$54,MATCH($A$1,'Point Grid'!$A$8:$A$54,0),MATCH(A6,'Point Grid'!$C$7:$I$7,0))</f>
        <v>2</v>
      </c>
      <c r="B7" s="17" t="s">
        <v>197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31"/>
      <c r="O7" s="190" t="s">
        <v>234</v>
      </c>
      <c r="P7" s="37" t="s">
        <v>235</v>
      </c>
      <c r="Q7" s="37"/>
      <c r="R7" s="37"/>
      <c r="S7" s="37"/>
      <c r="T7" s="267">
        <f>B25</f>
        <v>2028</v>
      </c>
      <c r="U7" s="37"/>
      <c r="V7" s="37"/>
      <c r="W7" s="37"/>
      <c r="X7" s="37"/>
      <c r="Y7" s="37"/>
      <c r="Z7" s="37"/>
      <c r="AA7" s="37"/>
      <c r="AB7" s="192" t="s">
        <v>230</v>
      </c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</row>
    <row r="8" spans="1:40" ht="15.75" thickBot="1">
      <c r="A8" s="5"/>
      <c r="B8" s="17"/>
      <c r="C8" s="28"/>
      <c r="D8" s="28"/>
      <c r="E8" s="28"/>
      <c r="F8" s="28"/>
      <c r="G8" s="28"/>
      <c r="H8" s="28"/>
      <c r="I8" s="28"/>
      <c r="J8" s="28"/>
      <c r="K8" s="28"/>
      <c r="L8" s="28"/>
      <c r="M8" s="18"/>
      <c r="N8" s="31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192" t="s">
        <v>230</v>
      </c>
      <c r="AC8" s="190" t="s">
        <v>236</v>
      </c>
      <c r="AD8" s="1" t="s">
        <v>237</v>
      </c>
      <c r="AE8" s="37"/>
      <c r="AF8" s="37"/>
      <c r="AG8" s="37"/>
      <c r="AH8" s="37"/>
      <c r="AI8" s="37"/>
      <c r="AJ8" s="37"/>
      <c r="AK8" s="37"/>
      <c r="AL8" s="268" t="s">
        <v>238</v>
      </c>
      <c r="AM8" s="268" t="s">
        <v>239</v>
      </c>
      <c r="AN8" s="268" t="s">
        <v>240</v>
      </c>
    </row>
    <row r="9" spans="1:40">
      <c r="A9" s="25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  <c r="N9" s="31"/>
      <c r="O9" s="158"/>
      <c r="P9" s="158" t="s">
        <v>241</v>
      </c>
      <c r="Q9" s="192" t="s">
        <v>34</v>
      </c>
      <c r="R9" s="158" t="str">
        <f>"(mid-point of AY " &amp;T7&amp; " historical period)"</f>
        <v>(mid-point of AY 2028 historical period)</v>
      </c>
      <c r="S9" s="158"/>
      <c r="T9" s="158"/>
      <c r="U9" s="158"/>
      <c r="V9" s="158"/>
      <c r="W9" s="192" t="s">
        <v>34</v>
      </c>
      <c r="X9" s="267">
        <f>B25</f>
        <v>2028</v>
      </c>
      <c r="Y9" s="194" t="s">
        <v>242</v>
      </c>
      <c r="Z9" s="194" t="s">
        <v>243</v>
      </c>
      <c r="AA9" s="158"/>
      <c r="AB9" s="192" t="s">
        <v>230</v>
      </c>
      <c r="AC9" s="158"/>
      <c r="AD9" s="192" t="s">
        <v>244</v>
      </c>
      <c r="AE9" s="192" t="s">
        <v>34</v>
      </c>
      <c r="AF9" s="158" t="s">
        <v>245</v>
      </c>
      <c r="AG9" s="158"/>
      <c r="AH9" s="158"/>
      <c r="AI9" s="158"/>
      <c r="AJ9" s="158"/>
      <c r="AK9" s="192" t="s">
        <v>34</v>
      </c>
      <c r="AL9" s="269">
        <f>X9+INT((Y9-0.5*D36)/12)</f>
        <v>2028</v>
      </c>
      <c r="AM9" s="192" t="str">
        <f>RIGHT("0"&amp;MOD(Y9-0.5*D36,12),2)</f>
        <v>01</v>
      </c>
      <c r="AN9" s="192" t="str">
        <f>Z9</f>
        <v>01</v>
      </c>
    </row>
    <row r="10" spans="1:40">
      <c r="A10" s="25" t="s">
        <v>3</v>
      </c>
      <c r="B10" s="17" t="s">
        <v>199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  <c r="O10" s="158"/>
      <c r="P10" s="158" t="s">
        <v>246</v>
      </c>
      <c r="Q10" s="192" t="s">
        <v>34</v>
      </c>
      <c r="R10" s="158" t="s">
        <v>247</v>
      </c>
      <c r="S10" s="158"/>
      <c r="T10" s="158"/>
      <c r="U10" s="158"/>
      <c r="V10" s="158"/>
      <c r="W10" s="192" t="s">
        <v>34</v>
      </c>
      <c r="X10" s="269">
        <f>AL10+INT((AM10+0.5*D36)/12)</f>
        <v>2031</v>
      </c>
      <c r="Y10" s="194" t="str">
        <f>RIGHT("0"&amp;MOD(AM10+0.5*D36,12),2)</f>
        <v>01</v>
      </c>
      <c r="Z10" s="194" t="str">
        <f>AN10</f>
        <v>01</v>
      </c>
      <c r="AA10" s="158"/>
      <c r="AB10" s="192" t="s">
        <v>230</v>
      </c>
      <c r="AC10" s="158"/>
      <c r="AD10" s="192" t="s">
        <v>248</v>
      </c>
      <c r="AE10" s="192" t="s">
        <v>34</v>
      </c>
      <c r="AF10" s="158" t="s">
        <v>249</v>
      </c>
      <c r="AG10" s="158"/>
      <c r="AH10" s="158"/>
      <c r="AI10" s="158"/>
      <c r="AJ10" s="158"/>
      <c r="AK10" s="192" t="s">
        <v>34</v>
      </c>
      <c r="AL10" s="269">
        <f>D34+INT((E34+D35/2)/12)</f>
        <v>2030</v>
      </c>
      <c r="AM10" s="192" t="str">
        <f>RIGHT("0"&amp;MOD(E34+D35/2,12),2)</f>
        <v>07</v>
      </c>
      <c r="AN10" s="192" t="str">
        <f>RIGHT("0"&amp;F34,2)</f>
        <v>01</v>
      </c>
    </row>
    <row r="11" spans="1:40" ht="15.75" thickBot="1">
      <c r="A11" s="9">
        <f>INDEX('Point Grid'!$C$8:$I$54,MATCH($A$1,'Point Grid'!$A$8:$A$54,0),MATCH(A10,'Point Grid'!$C$7:$I$7,0))</f>
        <v>0.5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92" t="s">
        <v>230</v>
      </c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</row>
    <row r="12" spans="1:40" ht="15.75" thickBot="1">
      <c r="A12" s="5"/>
      <c r="B12" s="1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18"/>
      <c r="O12" s="158"/>
      <c r="P12" s="213" t="s">
        <v>250</v>
      </c>
      <c r="Q12" s="192" t="s">
        <v>34</v>
      </c>
      <c r="R12" s="192" t="s">
        <v>246</v>
      </c>
      <c r="S12" s="194" t="s">
        <v>189</v>
      </c>
      <c r="T12" s="192" t="s">
        <v>241</v>
      </c>
      <c r="U12" s="158"/>
      <c r="V12" s="157"/>
      <c r="W12" s="158"/>
      <c r="X12" s="158"/>
      <c r="Y12" s="158"/>
      <c r="Z12" s="158"/>
      <c r="AA12" s="158"/>
      <c r="AB12" s="192" t="s">
        <v>230</v>
      </c>
      <c r="AC12" s="122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</row>
    <row r="13" spans="1:40">
      <c r="A13" s="25"/>
      <c r="B13" s="1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18"/>
      <c r="O13" s="228"/>
      <c r="P13" s="228"/>
      <c r="Q13" s="192" t="s">
        <v>34</v>
      </c>
      <c r="R13" s="190">
        <f>ROUND(((X10*12)+Y10-(X9*12+Y9))/12+IF(Z9=Z10,0,1/24),3)</f>
        <v>2.5</v>
      </c>
      <c r="S13" s="270" t="s">
        <v>251</v>
      </c>
      <c r="T13" s="266"/>
      <c r="U13" s="158"/>
      <c r="V13" s="158"/>
      <c r="W13" s="158"/>
      <c r="X13" s="158"/>
      <c r="Y13" s="158"/>
      <c r="Z13" s="158"/>
      <c r="AA13" s="158"/>
      <c r="AB13" s="192" t="s">
        <v>230</v>
      </c>
      <c r="AC13" s="122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</row>
    <row r="14" spans="1:40">
      <c r="A14" s="25" t="s">
        <v>4</v>
      </c>
      <c r="B14" s="17" t="s">
        <v>198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92" t="s">
        <v>230</v>
      </c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</row>
    <row r="15" spans="1:40" ht="15.75" thickBot="1">
      <c r="A15" s="9">
        <f>INDEX('Point Grid'!$C$8:$I$54,MATCH($A$1,'Point Grid'!$A$8:$A$54,0),MATCH(A14,'Point Grid'!$C$7:$I$7,0))</f>
        <v>0.75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8"/>
      <c r="O15" s="158"/>
      <c r="P15" s="228" t="s">
        <v>252</v>
      </c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92" t="s">
        <v>230</v>
      </c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</row>
    <row r="16" spans="1:40" ht="15.75" thickBot="1">
      <c r="A16" s="5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O16" s="37"/>
      <c r="P16" s="37"/>
      <c r="Q16" s="37"/>
      <c r="R16" s="37"/>
      <c r="S16" s="37"/>
      <c r="T16" s="37"/>
      <c r="U16" s="37"/>
      <c r="V16" s="37"/>
      <c r="W16" s="37"/>
      <c r="X16" s="158"/>
      <c r="Y16" s="158"/>
      <c r="Z16" s="158"/>
      <c r="AA16" s="158"/>
      <c r="AB16" s="192" t="s">
        <v>230</v>
      </c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</row>
    <row r="17" spans="1:40">
      <c r="A17" s="22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8"/>
      <c r="O17" s="37"/>
      <c r="P17" s="37"/>
      <c r="Q17" s="37"/>
      <c r="R17" s="37"/>
      <c r="S17" s="37"/>
      <c r="T17" s="37"/>
      <c r="U17" s="37"/>
      <c r="V17" s="37"/>
      <c r="W17" s="37"/>
      <c r="X17" s="158"/>
      <c r="Y17" s="158"/>
      <c r="Z17" s="158"/>
      <c r="AA17" s="158"/>
      <c r="AB17" s="192" t="s">
        <v>230</v>
      </c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</row>
    <row r="18" spans="1:40" ht="15" customHeight="1">
      <c r="A18" s="22"/>
      <c r="B18" s="261" t="s">
        <v>200</v>
      </c>
      <c r="C18" s="262"/>
      <c r="D18" s="263">
        <v>2028</v>
      </c>
      <c r="E18" s="230"/>
      <c r="F18" s="229" t="s">
        <v>201</v>
      </c>
      <c r="G18" s="178"/>
      <c r="H18" s="178"/>
      <c r="I18" s="229" t="s">
        <v>202</v>
      </c>
      <c r="J18" s="178"/>
      <c r="K18" s="178"/>
      <c r="L18" s="17"/>
      <c r="M18" s="18"/>
      <c r="O18" s="190" t="s">
        <v>253</v>
      </c>
      <c r="P18" s="37" t="s">
        <v>254</v>
      </c>
      <c r="Q18" s="37"/>
      <c r="R18" s="37"/>
      <c r="S18" s="37"/>
      <c r="T18" s="37"/>
      <c r="U18" s="37"/>
      <c r="V18" s="37"/>
      <c r="W18" s="37"/>
      <c r="X18" s="158"/>
      <c r="Y18" s="158"/>
      <c r="Z18" s="158"/>
      <c r="AA18" s="158"/>
      <c r="AB18" s="192" t="s">
        <v>230</v>
      </c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</row>
    <row r="19" spans="1:40" ht="15" customHeight="1">
      <c r="A19" s="22"/>
      <c r="B19" s="231"/>
      <c r="C19" s="231"/>
      <c r="D19" s="231"/>
      <c r="E19" s="231"/>
      <c r="F19" s="231"/>
      <c r="G19" s="231"/>
      <c r="H19" s="231"/>
      <c r="I19" s="231"/>
      <c r="J19" s="231"/>
      <c r="K19" s="178"/>
      <c r="L19" s="17"/>
      <c r="M19" s="1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92" t="s">
        <v>230</v>
      </c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</row>
    <row r="20" spans="1:40" ht="15" customHeight="1">
      <c r="A20" s="22"/>
      <c r="B20" s="232"/>
      <c r="C20" s="233" t="s">
        <v>128</v>
      </c>
      <c r="D20" s="234" t="s">
        <v>203</v>
      </c>
      <c r="E20" s="178"/>
      <c r="F20" s="229"/>
      <c r="G20" s="178"/>
      <c r="H20" s="230"/>
      <c r="I20" s="178"/>
      <c r="J20" s="178"/>
      <c r="K20" s="178"/>
      <c r="L20" s="17"/>
      <c r="M20" s="18"/>
      <c r="O20" s="158"/>
      <c r="P20" s="219"/>
      <c r="Q20" s="220"/>
      <c r="R20" s="165"/>
      <c r="S20" s="164"/>
      <c r="T20" s="164"/>
      <c r="U20" s="165"/>
      <c r="V20" s="219" t="s">
        <v>255</v>
      </c>
      <c r="W20" s="158"/>
      <c r="X20" s="158"/>
      <c r="Y20" s="158"/>
      <c r="Z20" s="158"/>
      <c r="AA20" s="158"/>
      <c r="AB20" s="192" t="s">
        <v>230</v>
      </c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</row>
    <row r="21" spans="1:40" ht="15" customHeight="1">
      <c r="A21" s="22"/>
      <c r="B21" s="235" t="s">
        <v>204</v>
      </c>
      <c r="C21" s="236" t="s">
        <v>205</v>
      </c>
      <c r="D21" s="237" t="s">
        <v>206</v>
      </c>
      <c r="E21" s="178"/>
      <c r="F21" s="238" t="s">
        <v>207</v>
      </c>
      <c r="G21" s="239">
        <v>2.4</v>
      </c>
      <c r="H21" s="230"/>
      <c r="I21" s="174" t="s">
        <v>208</v>
      </c>
      <c r="J21" s="176"/>
      <c r="K21" s="185">
        <v>0.1</v>
      </c>
      <c r="L21" s="17"/>
      <c r="M21" s="18"/>
      <c r="O21" s="158"/>
      <c r="P21" s="141"/>
      <c r="Q21" s="271" t="s">
        <v>128</v>
      </c>
      <c r="R21" s="168"/>
      <c r="S21" s="167"/>
      <c r="T21" s="167"/>
      <c r="U21" s="168"/>
      <c r="V21" s="141" t="s">
        <v>256</v>
      </c>
      <c r="W21" s="158"/>
      <c r="X21" s="158"/>
      <c r="Y21" s="158"/>
      <c r="Z21" s="158"/>
      <c r="AA21" s="158"/>
      <c r="AB21" s="192" t="s">
        <v>230</v>
      </c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</row>
    <row r="22" spans="1:40" ht="15" customHeight="1">
      <c r="A22" s="22"/>
      <c r="B22" s="240">
        <v>2025</v>
      </c>
      <c r="C22" s="180">
        <v>5204000</v>
      </c>
      <c r="D22" s="181">
        <v>16100</v>
      </c>
      <c r="E22" s="178"/>
      <c r="F22" s="241" t="s">
        <v>209</v>
      </c>
      <c r="G22" s="242">
        <v>1.48</v>
      </c>
      <c r="H22" s="230"/>
      <c r="I22" s="179" t="s">
        <v>210</v>
      </c>
      <c r="J22" s="181"/>
      <c r="K22" s="208">
        <v>0.04</v>
      </c>
      <c r="L22" s="17"/>
      <c r="M22" s="18"/>
      <c r="O22" s="158"/>
      <c r="P22" s="146" t="s">
        <v>204</v>
      </c>
      <c r="Q22" s="221" t="s">
        <v>205</v>
      </c>
      <c r="R22" s="149" t="s">
        <v>257</v>
      </c>
      <c r="S22" s="172" t="s">
        <v>258</v>
      </c>
      <c r="T22" s="172"/>
      <c r="U22" s="173"/>
      <c r="V22" s="146" t="s">
        <v>205</v>
      </c>
      <c r="W22" s="158"/>
      <c r="X22" s="158"/>
      <c r="Y22" s="158"/>
      <c r="Z22" s="158"/>
      <c r="AA22" s="158"/>
      <c r="AB22" s="192" t="s">
        <v>230</v>
      </c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</row>
    <row r="23" spans="1:40" ht="15" customHeight="1">
      <c r="A23" s="22"/>
      <c r="B23" s="240">
        <v>2026</v>
      </c>
      <c r="C23" s="180">
        <v>5412000</v>
      </c>
      <c r="D23" s="181">
        <v>17100</v>
      </c>
      <c r="E23" s="178"/>
      <c r="F23" s="241" t="s">
        <v>211</v>
      </c>
      <c r="G23" s="242">
        <v>1.1299999999999999</v>
      </c>
      <c r="H23" s="230"/>
      <c r="I23" s="179" t="s">
        <v>225</v>
      </c>
      <c r="J23" s="181"/>
      <c r="K23" s="208">
        <v>0.1</v>
      </c>
      <c r="L23" s="17"/>
      <c r="M23" s="18"/>
      <c r="O23" s="158"/>
      <c r="P23" s="222">
        <v>1992</v>
      </c>
      <c r="Q23" s="272">
        <f>C22</f>
        <v>5204000</v>
      </c>
      <c r="R23" s="273">
        <f>VLOOKUP((D18-B22+1) * 12 &amp; "-Ult", F21:G25,2,FALSE)</f>
        <v>1.02</v>
      </c>
      <c r="S23" s="167" t="str">
        <f>"( " &amp; 1+D29 &amp; " x " &amp; 1+D30 &amp; " ) ^ " &amp; (P26-P23+R13)</f>
        <v>( 1.04 x 0.99 ) ^ 5.5</v>
      </c>
      <c r="T23" s="167"/>
      <c r="U23" s="168"/>
      <c r="V23" s="274">
        <f>Q23*R23*((1+D29)*(1+D30)) ^ (P26-P23+R13)</f>
        <v>6231812.7594237793</v>
      </c>
      <c r="W23" s="158"/>
      <c r="X23" s="158"/>
      <c r="Y23" s="158"/>
      <c r="Z23" s="158"/>
      <c r="AA23" s="158"/>
      <c r="AB23" s="192" t="s">
        <v>230</v>
      </c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</row>
    <row r="24" spans="1:40" ht="15" customHeight="1">
      <c r="A24" s="22"/>
      <c r="B24" s="240">
        <v>2027</v>
      </c>
      <c r="C24" s="180">
        <v>5683000</v>
      </c>
      <c r="D24" s="181">
        <v>18500</v>
      </c>
      <c r="E24" s="178"/>
      <c r="F24" s="241" t="s">
        <v>212</v>
      </c>
      <c r="G24" s="242">
        <v>1.02</v>
      </c>
      <c r="H24" s="230"/>
      <c r="I24" s="179" t="s">
        <v>213</v>
      </c>
      <c r="J24" s="181"/>
      <c r="K24" s="243">
        <v>35</v>
      </c>
      <c r="L24" s="17"/>
      <c r="M24" s="18"/>
      <c r="O24" s="158"/>
      <c r="P24" s="222">
        <f>P23+1</f>
        <v>1993</v>
      </c>
      <c r="Q24" s="272">
        <f>C23</f>
        <v>5412000</v>
      </c>
      <c r="R24" s="273">
        <f>VLOOKUP((D18-B23+1) * 12 &amp; "-Ult", F21:G25,2,FALSE)</f>
        <v>1.1299999999999999</v>
      </c>
      <c r="S24" s="167" t="str">
        <f>"( " &amp; 1+D29 &amp; " x " &amp; 1+D30 &amp; " ) ^ " &amp; (P26-P24+R13)</f>
        <v>( 1.04 x 0.99 ) ^ 4.5</v>
      </c>
      <c r="T24" s="167"/>
      <c r="U24" s="168"/>
      <c r="V24" s="274">
        <f>Q24*R24*((1+D29)*(1+D30)) ^ (P26-P24+R13)</f>
        <v>6973400.9077236392</v>
      </c>
      <c r="W24" s="158"/>
      <c r="X24" s="158"/>
      <c r="Y24" s="158"/>
      <c r="Z24" s="158"/>
      <c r="AA24" s="158"/>
      <c r="AB24" s="192" t="s">
        <v>230</v>
      </c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</row>
    <row r="25" spans="1:40" ht="15" customHeight="1">
      <c r="A25" s="22"/>
      <c r="B25" s="244">
        <v>2028</v>
      </c>
      <c r="C25" s="187">
        <v>6024000</v>
      </c>
      <c r="D25" s="188">
        <v>20000</v>
      </c>
      <c r="E25" s="178"/>
      <c r="F25" s="245" t="s">
        <v>214</v>
      </c>
      <c r="G25" s="246">
        <v>1</v>
      </c>
      <c r="H25" s="230"/>
      <c r="I25" s="247" t="s">
        <v>215</v>
      </c>
      <c r="J25" s="248"/>
      <c r="K25" s="249">
        <v>0.04</v>
      </c>
      <c r="L25" s="17"/>
      <c r="M25" s="18"/>
      <c r="O25" s="158"/>
      <c r="P25" s="222">
        <f>P24+1</f>
        <v>1994</v>
      </c>
      <c r="Q25" s="272">
        <f>C24</f>
        <v>5683000</v>
      </c>
      <c r="R25" s="273">
        <f>VLOOKUP((D18-B24+1) * 12 &amp; "-Ult", F21:G25,2,FALSE)</f>
        <v>1.48</v>
      </c>
      <c r="S25" s="167" t="str">
        <f>"( " &amp; 1+D29 &amp; " x " &amp; 1+D30 &amp; " ) ^ " &amp; (P26-P25+R13)</f>
        <v>( 1.04 x 0.99 ) ^ 3.5</v>
      </c>
      <c r="T25" s="167"/>
      <c r="U25" s="168"/>
      <c r="V25" s="274">
        <f>Q25*R25*((1+D29)*(1+D30)) ^ (P26-P25+R13)</f>
        <v>9314922.3745784219</v>
      </c>
      <c r="W25" s="158"/>
      <c r="X25" s="158"/>
      <c r="Y25" s="158"/>
      <c r="Z25" s="158"/>
      <c r="AA25" s="158"/>
      <c r="AB25" s="192" t="s">
        <v>230</v>
      </c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</row>
    <row r="26" spans="1:40" ht="15" customHeight="1">
      <c r="A26" s="22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"/>
      <c r="M26" s="18"/>
      <c r="O26" s="158"/>
      <c r="P26" s="224">
        <f>P25+1</f>
        <v>1995</v>
      </c>
      <c r="Q26" s="275">
        <f>C25</f>
        <v>6024000</v>
      </c>
      <c r="R26" s="276">
        <f>VLOOKUP((D18-B25+1) * 12 &amp; "-Ult", F21:G25,2,FALSE)</f>
        <v>2.4</v>
      </c>
      <c r="S26" s="172" t="str">
        <f>"( " &amp; 1+D29 &amp; " x " &amp; 1+D30 &amp; " ) ^ " &amp; (P26-P26+R13)</f>
        <v>( 1.04 x 0.99 ) ^ 2.5</v>
      </c>
      <c r="T26" s="172"/>
      <c r="U26" s="173"/>
      <c r="V26" s="277">
        <f>Q26*R26*((1+D29)*(1+D30)) ^ (P26-P26+R13)</f>
        <v>15551330.086879121</v>
      </c>
      <c r="W26" s="158"/>
      <c r="X26" s="158"/>
      <c r="Y26" s="158"/>
      <c r="Z26" s="158"/>
      <c r="AA26" s="158"/>
      <c r="AB26" s="192" t="s">
        <v>230</v>
      </c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</row>
    <row r="27" spans="1:40" ht="15" customHeight="1">
      <c r="A27" s="22"/>
      <c r="B27" s="250" t="s">
        <v>216</v>
      </c>
      <c r="C27" s="230"/>
      <c r="D27" s="230"/>
      <c r="E27" s="178"/>
      <c r="F27" s="229"/>
      <c r="G27" s="178"/>
      <c r="H27" s="178"/>
      <c r="I27" s="178" t="s">
        <v>226</v>
      </c>
      <c r="J27" s="178"/>
      <c r="K27" s="178"/>
      <c r="L27" s="17"/>
      <c r="M27" s="18"/>
      <c r="O27" s="158"/>
      <c r="P27" s="158"/>
      <c r="Q27" s="158"/>
      <c r="R27" s="158"/>
      <c r="S27" s="158"/>
      <c r="T27" s="158"/>
      <c r="U27" s="158"/>
      <c r="V27" s="200" t="s">
        <v>259</v>
      </c>
      <c r="W27" s="158"/>
      <c r="X27" s="158"/>
      <c r="Y27" s="158"/>
      <c r="Z27" s="158"/>
      <c r="AA27" s="158"/>
      <c r="AB27" s="192" t="s">
        <v>230</v>
      </c>
      <c r="AC27" s="122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</row>
    <row r="28" spans="1:40" ht="15" customHeight="1">
      <c r="A28" s="22"/>
      <c r="B28" s="230"/>
      <c r="C28" s="230"/>
      <c r="D28" s="230"/>
      <c r="E28" s="178"/>
      <c r="F28" s="178"/>
      <c r="G28" s="178"/>
      <c r="H28" s="178"/>
      <c r="I28" s="251" t="s">
        <v>218</v>
      </c>
      <c r="J28" s="178"/>
      <c r="K28" s="178"/>
      <c r="L28" s="17"/>
      <c r="M28" s="1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92" t="s">
        <v>230</v>
      </c>
      <c r="AC28" s="158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</row>
    <row r="29" spans="1:40" ht="15" customHeight="1">
      <c r="A29" s="22"/>
      <c r="B29" s="174" t="s">
        <v>219</v>
      </c>
      <c r="C29" s="176"/>
      <c r="D29" s="252">
        <v>0.04</v>
      </c>
      <c r="E29" s="178"/>
      <c r="F29" s="178"/>
      <c r="G29" s="178"/>
      <c r="H29" s="178"/>
      <c r="I29" s="178"/>
      <c r="J29" s="178"/>
      <c r="K29" s="230"/>
      <c r="L29" s="17"/>
      <c r="M29" s="18"/>
      <c r="O29" s="278" t="s">
        <v>260</v>
      </c>
      <c r="P29" s="37" t="s">
        <v>261</v>
      </c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158"/>
      <c r="AB29" s="192" t="s">
        <v>230</v>
      </c>
      <c r="AC29" s="158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</row>
    <row r="30" spans="1:40" ht="15" customHeight="1">
      <c r="A30" s="22"/>
      <c r="B30" s="186" t="s">
        <v>220</v>
      </c>
      <c r="C30" s="188"/>
      <c r="D30" s="253">
        <v>-0.01</v>
      </c>
      <c r="E30" s="178"/>
      <c r="F30" s="178"/>
      <c r="G30" s="178"/>
      <c r="H30" s="178"/>
      <c r="I30" s="178"/>
      <c r="J30" s="178"/>
      <c r="K30" s="230"/>
      <c r="L30" s="17"/>
      <c r="M30" s="18"/>
      <c r="O30" s="158"/>
      <c r="P30" s="37" t="s">
        <v>262</v>
      </c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158"/>
      <c r="AB30" s="192" t="s">
        <v>230</v>
      </c>
      <c r="AC30" s="158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</row>
    <row r="31" spans="1:40" ht="15" customHeight="1">
      <c r="A31" s="22"/>
      <c r="B31" s="230"/>
      <c r="C31" s="230"/>
      <c r="D31" s="230"/>
      <c r="E31" s="230"/>
      <c r="F31" s="178"/>
      <c r="G31" s="178"/>
      <c r="H31" s="178"/>
      <c r="I31" s="178"/>
      <c r="J31" s="178"/>
      <c r="K31" s="230"/>
      <c r="L31" s="17"/>
      <c r="M31" s="18"/>
      <c r="O31" s="158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158"/>
      <c r="AB31" s="192" t="s">
        <v>230</v>
      </c>
      <c r="AC31" s="158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</row>
    <row r="32" spans="1:40" ht="15" customHeight="1">
      <c r="A32" s="22"/>
      <c r="B32" s="229" t="s">
        <v>217</v>
      </c>
      <c r="C32" s="178"/>
      <c r="D32" s="178"/>
      <c r="E32" s="178"/>
      <c r="F32" s="178"/>
      <c r="G32" s="178"/>
      <c r="H32" s="178"/>
      <c r="I32" s="178"/>
      <c r="J32" s="178"/>
      <c r="K32" s="178"/>
      <c r="L32" s="17"/>
      <c r="M32" s="18"/>
      <c r="O32" s="158"/>
      <c r="P32" s="158" t="s">
        <v>263</v>
      </c>
      <c r="Q32" s="158"/>
      <c r="R32" s="158"/>
      <c r="S32" s="158"/>
      <c r="T32" s="158"/>
      <c r="U32" s="158"/>
      <c r="V32" s="158"/>
      <c r="W32" s="194"/>
      <c r="X32" s="158"/>
      <c r="Y32" s="158"/>
      <c r="Z32" s="158"/>
      <c r="AA32" s="158"/>
      <c r="AB32" s="192" t="s">
        <v>230</v>
      </c>
      <c r="AC32" s="158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</row>
    <row r="33" spans="1:40" ht="15" customHeight="1">
      <c r="A33" s="22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"/>
      <c r="M33" s="18"/>
      <c r="O33" s="158"/>
      <c r="P33" s="192" t="s">
        <v>34</v>
      </c>
      <c r="Q33" s="158" t="s">
        <v>264</v>
      </c>
      <c r="R33" s="158"/>
      <c r="S33" s="158"/>
      <c r="T33" s="194" t="s">
        <v>36</v>
      </c>
      <c r="U33" s="158" t="s">
        <v>265</v>
      </c>
      <c r="V33" s="158"/>
      <c r="W33" s="158"/>
      <c r="X33" s="158"/>
      <c r="Y33" s="158"/>
      <c r="Z33" s="158"/>
      <c r="AA33" s="158"/>
      <c r="AB33" s="192" t="s">
        <v>230</v>
      </c>
      <c r="AC33" s="158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</row>
    <row r="34" spans="1:40" ht="15" customHeight="1">
      <c r="A34" s="22"/>
      <c r="B34" s="247" t="s">
        <v>221</v>
      </c>
      <c r="C34" s="248"/>
      <c r="D34" s="254">
        <v>2029</v>
      </c>
      <c r="E34" s="255">
        <v>10</v>
      </c>
      <c r="F34" s="256">
        <v>1</v>
      </c>
      <c r="G34" s="288" t="s">
        <v>227</v>
      </c>
      <c r="H34" s="181"/>
      <c r="I34" s="178"/>
      <c r="J34" s="178"/>
      <c r="K34" s="178"/>
      <c r="L34" s="17"/>
      <c r="M34" s="18"/>
      <c r="O34" s="158"/>
      <c r="P34" s="192" t="s">
        <v>34</v>
      </c>
      <c r="Q34" s="191">
        <f>SUM(V23:V26)</f>
        <v>38071466.128604963</v>
      </c>
      <c r="R34" s="158"/>
      <c r="S34" s="158"/>
      <c r="T34" s="194" t="s">
        <v>36</v>
      </c>
      <c r="U34" s="191">
        <f>SUM(D22:D25)</f>
        <v>71700</v>
      </c>
      <c r="V34" s="49"/>
      <c r="W34" s="158"/>
      <c r="X34" s="158"/>
      <c r="Y34" s="158"/>
      <c r="Z34" s="158"/>
      <c r="AA34" s="158"/>
      <c r="AB34" s="192" t="s">
        <v>230</v>
      </c>
      <c r="AC34" s="158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</row>
    <row r="35" spans="1:40" ht="15" customHeight="1">
      <c r="A35" s="22"/>
      <c r="B35" s="179" t="s">
        <v>222</v>
      </c>
      <c r="C35" s="181"/>
      <c r="D35" s="257">
        <v>18</v>
      </c>
      <c r="E35" s="180" t="s">
        <v>223</v>
      </c>
      <c r="F35" s="258"/>
      <c r="G35" s="264"/>
      <c r="H35" s="180"/>
      <c r="I35" s="178"/>
      <c r="J35" s="178"/>
      <c r="K35" s="178"/>
      <c r="L35" s="17"/>
      <c r="M35" s="18"/>
      <c r="O35" s="158"/>
      <c r="P35" s="192" t="s">
        <v>34</v>
      </c>
      <c r="Q35" s="279">
        <f>Q34/U34</f>
        <v>530.9827911939326</v>
      </c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92" t="s">
        <v>230</v>
      </c>
      <c r="AC35" s="158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</row>
    <row r="36" spans="1:40" ht="15" customHeight="1">
      <c r="A36" s="22"/>
      <c r="B36" s="186" t="s">
        <v>224</v>
      </c>
      <c r="C36" s="188"/>
      <c r="D36" s="259">
        <v>12</v>
      </c>
      <c r="E36" s="187" t="s">
        <v>223</v>
      </c>
      <c r="F36" s="260"/>
      <c r="G36" s="264"/>
      <c r="H36" s="180"/>
      <c r="I36" s="178"/>
      <c r="J36" s="178"/>
      <c r="K36" s="178"/>
      <c r="L36" s="17"/>
      <c r="M36" s="18"/>
      <c r="O36" s="158"/>
      <c r="P36" s="158"/>
      <c r="Q36" s="200" t="s">
        <v>266</v>
      </c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92" t="s">
        <v>230</v>
      </c>
      <c r="AC36" s="158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</row>
    <row r="37" spans="1:40" ht="15" customHeight="1" thickBot="1">
      <c r="A37" s="24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3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92" t="s">
        <v>230</v>
      </c>
      <c r="AC37" s="158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</row>
    <row r="38" spans="1:40" ht="15" customHeight="1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O38" s="280" t="s">
        <v>267</v>
      </c>
      <c r="P38" s="158" t="s">
        <v>268</v>
      </c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92" t="s">
        <v>230</v>
      </c>
      <c r="AC38" s="158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</row>
    <row r="39" spans="1:40" ht="15" customHeight="1"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92" t="s">
        <v>230</v>
      </c>
      <c r="AC39" s="158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</row>
    <row r="40" spans="1:40" ht="15" customHeight="1">
      <c r="O40" s="226"/>
      <c r="P40" s="281" t="s">
        <v>269</v>
      </c>
      <c r="Q40" s="160" t="s">
        <v>34</v>
      </c>
      <c r="R40" s="282" t="s">
        <v>270</v>
      </c>
      <c r="S40" s="282"/>
      <c r="T40" s="282"/>
      <c r="U40" s="282"/>
      <c r="V40" s="282"/>
      <c r="W40" s="283" t="s">
        <v>36</v>
      </c>
      <c r="X40" s="282" t="s">
        <v>271</v>
      </c>
      <c r="Y40" s="227"/>
      <c r="Z40" s="158"/>
      <c r="AA40" s="158"/>
      <c r="AB40" s="192" t="s">
        <v>230</v>
      </c>
      <c r="AC40" s="158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</row>
    <row r="41" spans="1:40" ht="15" customHeight="1"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92" t="s">
        <v>230</v>
      </c>
      <c r="AC41" s="158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</row>
    <row r="42" spans="1:40" ht="15" customHeight="1">
      <c r="O42" s="158"/>
      <c r="P42" s="158" t="s">
        <v>272</v>
      </c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92" t="s">
        <v>230</v>
      </c>
      <c r="AC42" s="158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</row>
    <row r="43" spans="1:40" ht="15" customHeight="1"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92" t="s">
        <v>230</v>
      </c>
      <c r="AC43" s="158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</row>
    <row r="44" spans="1:40" ht="15" customHeight="1">
      <c r="O44" s="158"/>
      <c r="P44" s="192" t="s">
        <v>273</v>
      </c>
      <c r="Q44" s="192" t="s">
        <v>34</v>
      </c>
      <c r="R44" s="158" t="s">
        <v>274</v>
      </c>
      <c r="S44" s="158"/>
      <c r="T44" s="158"/>
      <c r="U44" s="158"/>
      <c r="V44" s="158"/>
      <c r="W44" s="158"/>
      <c r="X44" s="158"/>
      <c r="Y44" s="158"/>
      <c r="Z44" s="158"/>
      <c r="AA44" s="158"/>
      <c r="AB44" s="192" t="s">
        <v>230</v>
      </c>
      <c r="AC44" s="158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</row>
    <row r="45" spans="1:40" ht="15" customHeight="1">
      <c r="O45" s="158"/>
      <c r="P45" s="158"/>
      <c r="Q45" s="192" t="s">
        <v>34</v>
      </c>
      <c r="R45" s="158" t="s">
        <v>281</v>
      </c>
      <c r="S45" s="192" t="s">
        <v>35</v>
      </c>
      <c r="T45" s="191" t="s">
        <v>210</v>
      </c>
      <c r="U45" s="192" t="s">
        <v>35</v>
      </c>
      <c r="V45" s="158" t="s">
        <v>275</v>
      </c>
      <c r="W45" s="158"/>
      <c r="X45" s="158"/>
      <c r="Y45" s="158"/>
      <c r="Z45" s="158"/>
      <c r="AA45" s="158"/>
      <c r="AB45" s="192" t="s">
        <v>230</v>
      </c>
      <c r="AC45" s="158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</row>
    <row r="46" spans="1:40" ht="15" customHeight="1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O46" s="158"/>
      <c r="P46" s="158"/>
      <c r="Q46" s="192" t="s">
        <v>34</v>
      </c>
      <c r="R46" s="284">
        <f>K21</f>
        <v>0.1</v>
      </c>
      <c r="S46" s="192" t="s">
        <v>35</v>
      </c>
      <c r="T46" s="284">
        <f>K22</f>
        <v>0.04</v>
      </c>
      <c r="U46" s="192" t="s">
        <v>35</v>
      </c>
      <c r="V46" s="284">
        <f>K23</f>
        <v>0.1</v>
      </c>
      <c r="W46" s="158"/>
      <c r="X46" s="158"/>
      <c r="Y46" s="158"/>
      <c r="Z46" s="158"/>
      <c r="AA46" s="158"/>
      <c r="AB46" s="192" t="s">
        <v>230</v>
      </c>
      <c r="AC46" s="158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</row>
    <row r="47" spans="1:40" ht="15" customHeight="1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O47" s="158"/>
      <c r="P47" s="158"/>
      <c r="Q47" s="192" t="s">
        <v>34</v>
      </c>
      <c r="R47" s="285">
        <f>R46+T46+V46</f>
        <v>0.24000000000000002</v>
      </c>
      <c r="S47" s="158"/>
      <c r="T47" s="158"/>
      <c r="U47" s="158"/>
      <c r="V47" s="158"/>
      <c r="W47" s="158"/>
      <c r="X47" s="158"/>
      <c r="Y47" s="158"/>
      <c r="Z47" s="158"/>
      <c r="AA47" s="158"/>
      <c r="AB47" s="192" t="s">
        <v>230</v>
      </c>
      <c r="AC47" s="158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</row>
    <row r="48" spans="1:40" ht="15" customHeight="1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92" t="s">
        <v>230</v>
      </c>
      <c r="AC48" s="158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</row>
    <row r="49" spans="2:40" ht="15" customHeight="1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O49" s="158"/>
      <c r="P49" s="192" t="s">
        <v>276</v>
      </c>
      <c r="Q49" s="192" t="s">
        <v>34</v>
      </c>
      <c r="R49" s="191" t="s">
        <v>277</v>
      </c>
      <c r="S49" s="158"/>
      <c r="T49" s="158"/>
      <c r="U49" s="158"/>
      <c r="V49" s="158"/>
      <c r="W49" s="158"/>
      <c r="X49" s="158"/>
      <c r="Y49" s="158"/>
      <c r="Z49" s="158"/>
      <c r="AA49" s="158"/>
      <c r="AB49" s="192" t="s">
        <v>230</v>
      </c>
      <c r="AC49" s="158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</row>
    <row r="50" spans="2:40" ht="15" customHeight="1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O50" s="158"/>
      <c r="P50" s="158"/>
      <c r="Q50" s="192" t="s">
        <v>34</v>
      </c>
      <c r="R50" s="285">
        <f>K25</f>
        <v>0.04</v>
      </c>
      <c r="S50" s="158"/>
      <c r="T50" s="158"/>
      <c r="U50" s="158"/>
      <c r="V50" s="158"/>
      <c r="W50" s="158"/>
      <c r="X50" s="158"/>
      <c r="Y50" s="158"/>
      <c r="Z50" s="158"/>
      <c r="AA50" s="158"/>
      <c r="AB50" s="192" t="s">
        <v>230</v>
      </c>
      <c r="AC50" s="158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</row>
    <row r="51" spans="2:40" ht="15" customHeight="1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O51" s="158"/>
      <c r="P51" s="158"/>
      <c r="Q51" s="213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92" t="s">
        <v>230</v>
      </c>
      <c r="AC51" s="158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</row>
    <row r="52" spans="2:40" ht="15" customHeight="1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O52" s="158"/>
      <c r="P52" s="213"/>
      <c r="Q52" s="213" t="s">
        <v>278</v>
      </c>
      <c r="R52" s="37"/>
      <c r="S52" s="37"/>
      <c r="T52" s="158"/>
      <c r="U52" s="158"/>
      <c r="V52" s="158"/>
      <c r="W52" s="158"/>
      <c r="X52" s="158"/>
      <c r="Y52" s="158"/>
      <c r="Z52" s="158"/>
      <c r="AA52" s="158"/>
      <c r="AB52" s="192" t="s">
        <v>230</v>
      </c>
      <c r="AC52" s="158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</row>
    <row r="53" spans="2:40" ht="15" customHeight="1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O53" s="158"/>
      <c r="P53" s="158"/>
      <c r="Q53" s="192" t="s">
        <v>34</v>
      </c>
      <c r="R53" s="286">
        <f>K24</f>
        <v>35</v>
      </c>
      <c r="S53" s="158"/>
      <c r="T53" s="158"/>
      <c r="U53" s="158"/>
      <c r="V53" s="158"/>
      <c r="W53" s="158"/>
      <c r="X53" s="158"/>
      <c r="Y53" s="158"/>
      <c r="Z53" s="158"/>
      <c r="AA53" s="158"/>
      <c r="AB53" s="192" t="s">
        <v>230</v>
      </c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</row>
    <row r="54" spans="2:40" ht="15" customHeight="1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92" t="s">
        <v>230</v>
      </c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</row>
    <row r="55" spans="2:40" ht="15" customHeight="1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O55" s="158"/>
      <c r="P55" s="158" t="s">
        <v>279</v>
      </c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92" t="s">
        <v>230</v>
      </c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</row>
    <row r="56" spans="2:40" ht="15" customHeight="1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92" t="s">
        <v>230</v>
      </c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</row>
    <row r="57" spans="2:40" ht="15" customHeight="1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O57" s="158"/>
      <c r="P57" s="213" t="s">
        <v>269</v>
      </c>
      <c r="Q57" s="192" t="s">
        <v>34</v>
      </c>
      <c r="R57" s="287">
        <f>(Q35+R53) / (1 - R47 - R50)</f>
        <v>786.0872099915731</v>
      </c>
      <c r="S57" s="158"/>
      <c r="T57" s="158"/>
      <c r="U57" s="158"/>
      <c r="V57" s="158"/>
      <c r="W57" s="158"/>
      <c r="X57" s="158"/>
      <c r="Y57" s="158"/>
      <c r="Z57" s="158"/>
      <c r="AA57" s="158"/>
      <c r="AB57" s="192" t="s">
        <v>230</v>
      </c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</row>
    <row r="58" spans="2:40" ht="15" customHeight="1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O58" s="158"/>
      <c r="P58" s="158"/>
      <c r="Q58" s="158"/>
      <c r="R58" s="200" t="s">
        <v>280</v>
      </c>
      <c r="S58" s="158"/>
      <c r="T58" s="158"/>
      <c r="U58" s="158"/>
      <c r="V58" s="158"/>
      <c r="W58" s="158"/>
      <c r="X58" s="158"/>
      <c r="Y58" s="158"/>
      <c r="Z58" s="158"/>
      <c r="AA58" s="158"/>
      <c r="AB58" s="192" t="s">
        <v>230</v>
      </c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</row>
    <row r="59" spans="2:40" ht="15" customHeight="1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spans="2:40" ht="15" customHeight="1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spans="2:40" ht="15" customHeight="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spans="2:40" ht="15" customHeight="1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spans="2:40" ht="15" customHeight="1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</row>
    <row r="64" spans="2:40" ht="15" customHeight="1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</row>
    <row r="65" spans="2:14" ht="15" customHeight="1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</row>
    <row r="66" spans="2:14" ht="15" customHeight="1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</row>
    <row r="67" spans="2:14" ht="15" customHeight="1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</row>
    <row r="68" spans="2:14" ht="15" customHeight="1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</row>
    <row r="69" spans="2:14" ht="15" customHeight="1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</row>
    <row r="70" spans="2:14" ht="15" customHeight="1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</row>
    <row r="71" spans="2:14" ht="15" customHeight="1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</row>
    <row r="72" spans="2:14" ht="15" customHeight="1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</row>
    <row r="73" spans="2:14" ht="15" customHeight="1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</row>
    <row r="74" spans="2:14" ht="15" customHeight="1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</row>
    <row r="75" spans="2:14" ht="15" customHeight="1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</row>
    <row r="76" spans="2:14" ht="15" customHeight="1"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</row>
    <row r="77" spans="2:14" ht="15" customHeight="1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</row>
    <row r="78" spans="2:14" ht="15" customHeight="1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</row>
    <row r="79" spans="2:14" ht="15" customHeight="1"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</row>
    <row r="80" spans="2:14" ht="15" customHeight="1"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</row>
    <row r="81" spans="2:14" ht="15" customHeight="1"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</row>
    <row r="82" spans="2:14" ht="15" customHeight="1"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</row>
    <row r="83" spans="2:14" ht="15" customHeight="1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</row>
    <row r="84" spans="2:14" ht="15" customHeight="1"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</row>
    <row r="85" spans="2:14" ht="15" customHeight="1"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</row>
    <row r="86" spans="2:14" ht="15" customHeight="1"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spans="2:14" ht="15" customHeight="1"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</row>
    <row r="88" spans="2:14" ht="15" customHeight="1"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</row>
    <row r="89" spans="2:14" ht="15" customHeight="1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</row>
    <row r="90" spans="2:14" ht="15" customHeight="1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</row>
    <row r="91" spans="2:14" ht="15" customHeight="1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</row>
    <row r="92" spans="2:14" ht="15" customHeight="1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</row>
    <row r="93" spans="2:14" ht="15" customHeight="1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</row>
    <row r="94" spans="2:14" ht="15" customHeight="1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</row>
    <row r="95" spans="2:14" ht="15" customHeight="1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</row>
    <row r="96" spans="2:14" ht="15" customHeight="1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</row>
    <row r="97" spans="2:14" ht="15" customHeight="1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</row>
    <row r="98" spans="2:14" ht="15" customHeight="1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</row>
    <row r="99" spans="2:14" ht="15" customHeight="1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</row>
    <row r="100" spans="2:14" ht="15" customHeight="1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</row>
    <row r="101" spans="2:14" ht="15" customHeight="1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</row>
  </sheetData>
  <mergeCells count="1">
    <mergeCell ref="L1:M1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U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>
      <c r="A1" s="7">
        <v>13</v>
      </c>
      <c r="B1" s="27" t="s">
        <v>12</v>
      </c>
      <c r="C1" s="20"/>
      <c r="D1" s="20"/>
      <c r="E1" s="20"/>
      <c r="F1" s="20"/>
      <c r="G1" s="20"/>
      <c r="H1" s="854" t="s">
        <v>24</v>
      </c>
      <c r="I1" s="855"/>
      <c r="K1" s="1" t="s">
        <v>33</v>
      </c>
      <c r="L1" s="52" t="str">
        <f>VLOOKUP(A1,'Point Grid'!$L$8:$T$54,9,FALSE)</f>
        <v>Pricing - Chap 9: Risk Classification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1"/>
      <c r="K3" s="48" t="s">
        <v>2</v>
      </c>
      <c r="L3" t="s">
        <v>284</v>
      </c>
      <c r="M3"/>
      <c r="N3"/>
      <c r="O3"/>
      <c r="P3"/>
      <c r="Q3"/>
      <c r="R3"/>
      <c r="S3"/>
      <c r="T3"/>
      <c r="U3"/>
    </row>
    <row r="4" spans="1:21">
      <c r="A4" s="9">
        <f>INDEX('Point Grid'!B:B,MATCH(A1,'Point Grid'!A:A,0))</f>
        <v>3.75</v>
      </c>
      <c r="B4" s="17"/>
      <c r="C4" s="17"/>
      <c r="D4" s="17"/>
      <c r="E4" s="17"/>
      <c r="F4" s="17"/>
      <c r="G4" s="17"/>
      <c r="H4" s="17"/>
      <c r="I4" s="18"/>
      <c r="J4" s="31"/>
      <c r="K4" s="48"/>
      <c r="L4"/>
      <c r="M4"/>
      <c r="N4"/>
      <c r="O4"/>
      <c r="P4"/>
      <c r="Q4"/>
      <c r="R4"/>
      <c r="S4"/>
      <c r="T4"/>
      <c r="U4"/>
    </row>
    <row r="5" spans="1:21">
      <c r="A5" s="16"/>
      <c r="B5" s="17"/>
      <c r="C5" s="17"/>
      <c r="D5" s="17"/>
      <c r="E5" s="17"/>
      <c r="F5" s="17"/>
      <c r="G5" s="17"/>
      <c r="H5" s="17"/>
      <c r="I5" s="18"/>
      <c r="J5" s="31"/>
      <c r="K5" s="48"/>
      <c r="L5" s="290" t="s">
        <v>295</v>
      </c>
      <c r="M5" s="37"/>
      <c r="N5" s="37"/>
      <c r="O5"/>
      <c r="P5"/>
      <c r="Q5"/>
      <c r="R5"/>
      <c r="S5"/>
      <c r="T5"/>
      <c r="U5"/>
    </row>
    <row r="6" spans="1:21">
      <c r="A6" s="25" t="s">
        <v>2</v>
      </c>
      <c r="B6" s="17" t="s">
        <v>282</v>
      </c>
      <c r="C6" s="17"/>
      <c r="D6" s="17"/>
      <c r="E6" s="17"/>
      <c r="F6" s="17"/>
      <c r="G6" s="17"/>
      <c r="H6" s="17"/>
      <c r="I6" s="18"/>
      <c r="J6" s="31"/>
      <c r="K6" s="48"/>
      <c r="L6" s="291" t="s">
        <v>285</v>
      </c>
      <c r="M6" s="37"/>
      <c r="N6" s="37"/>
      <c r="O6"/>
      <c r="P6"/>
      <c r="Q6"/>
      <c r="R6"/>
      <c r="S6"/>
      <c r="T6"/>
      <c r="U6"/>
    </row>
    <row r="7" spans="1:21" ht="15.75" thickBot="1">
      <c r="A7" s="9">
        <f>INDEX('Point Grid'!$C$8:$I$54,MATCH($A$1,'Point Grid'!$A$8:$A$54,0),MATCH(A6,'Point Grid'!$C$7:$I$7,0))</f>
        <v>1</v>
      </c>
      <c r="B7" s="17" t="s">
        <v>283</v>
      </c>
      <c r="C7" s="17"/>
      <c r="D7" s="17"/>
      <c r="E7" s="17"/>
      <c r="F7" s="17"/>
      <c r="G7" s="17"/>
      <c r="H7" s="17"/>
      <c r="I7" s="18"/>
      <c r="J7" s="31"/>
      <c r="K7" s="48"/>
      <c r="L7" s="291" t="s">
        <v>286</v>
      </c>
      <c r="M7" s="37"/>
      <c r="N7" s="37"/>
      <c r="O7"/>
      <c r="P7"/>
      <c r="Q7"/>
      <c r="R7"/>
      <c r="S7"/>
      <c r="T7"/>
      <c r="U7"/>
    </row>
    <row r="8" spans="1:21" ht="15.75" thickBot="1">
      <c r="A8" s="5"/>
      <c r="B8" s="17"/>
      <c r="C8" s="28"/>
      <c r="D8" s="28"/>
      <c r="E8" s="28"/>
      <c r="F8" s="28"/>
      <c r="G8" s="28"/>
      <c r="H8" s="28"/>
      <c r="I8" s="18"/>
      <c r="J8" s="31"/>
      <c r="K8"/>
      <c r="L8" s="291" t="s">
        <v>287</v>
      </c>
      <c r="M8" s="37"/>
      <c r="N8" s="37"/>
      <c r="O8"/>
      <c r="P8"/>
      <c r="Q8"/>
      <c r="R8"/>
      <c r="S8"/>
      <c r="T8"/>
      <c r="U8"/>
    </row>
    <row r="9" spans="1:21">
      <c r="A9" s="25"/>
      <c r="B9" s="17"/>
      <c r="C9" s="17"/>
      <c r="D9" s="17"/>
      <c r="E9" s="17"/>
      <c r="F9" s="17"/>
      <c r="G9" s="17"/>
      <c r="H9" s="17"/>
      <c r="I9" s="18"/>
      <c r="J9" s="31"/>
      <c r="K9" s="48"/>
      <c r="L9" s="290" t="s">
        <v>296</v>
      </c>
      <c r="M9" s="37"/>
      <c r="N9" s="37"/>
      <c r="O9"/>
      <c r="P9"/>
      <c r="Q9"/>
      <c r="R9"/>
      <c r="S9"/>
    </row>
    <row r="10" spans="1:21">
      <c r="A10" s="25" t="s">
        <v>3</v>
      </c>
      <c r="B10" s="17" t="s">
        <v>317</v>
      </c>
      <c r="C10" s="17"/>
      <c r="D10" s="17"/>
      <c r="E10" s="17"/>
      <c r="F10" s="17"/>
      <c r="G10" s="17"/>
      <c r="H10" s="17"/>
      <c r="I10" s="18"/>
      <c r="J10" s="31"/>
      <c r="K10"/>
      <c r="L10" s="291" t="s">
        <v>288</v>
      </c>
      <c r="M10" s="37"/>
      <c r="N10" s="37"/>
      <c r="O10"/>
      <c r="P10"/>
      <c r="Q10"/>
      <c r="R10"/>
      <c r="S10"/>
      <c r="T10"/>
      <c r="U10"/>
    </row>
    <row r="11" spans="1:21" ht="15.75" thickBot="1">
      <c r="A11" s="9">
        <f>INDEX('Point Grid'!$C$8:$I$54,MATCH($A$1,'Point Grid'!$A$8:$A$54,0),MATCH(A10,'Point Grid'!$C$7:$I$7,0))</f>
        <v>1.25</v>
      </c>
      <c r="B11" s="17" t="s">
        <v>318</v>
      </c>
      <c r="C11" s="17"/>
      <c r="D11" s="17"/>
      <c r="E11" s="17"/>
      <c r="F11" s="17"/>
      <c r="G11" s="17"/>
      <c r="H11" s="17"/>
      <c r="I11" s="18"/>
      <c r="J11" s="31"/>
      <c r="K11"/>
      <c r="L11" s="291" t="s">
        <v>289</v>
      </c>
      <c r="M11" s="37"/>
      <c r="N11" s="37"/>
      <c r="O11"/>
      <c r="P11"/>
      <c r="Q11"/>
      <c r="R11"/>
      <c r="S11"/>
      <c r="T11"/>
      <c r="U11"/>
    </row>
    <row r="12" spans="1:21" ht="15.75" thickBot="1">
      <c r="A12" s="5"/>
      <c r="B12" s="75" t="s">
        <v>319</v>
      </c>
      <c r="C12" s="75"/>
      <c r="D12" s="75"/>
      <c r="E12" s="28"/>
      <c r="F12" s="28"/>
      <c r="G12" s="28"/>
      <c r="H12" s="28"/>
      <c r="I12" s="18"/>
      <c r="J12" s="31"/>
      <c r="K12"/>
      <c r="L12" s="291" t="s">
        <v>290</v>
      </c>
      <c r="M12" s="37"/>
      <c r="N12" s="37"/>
      <c r="O12"/>
      <c r="P12"/>
      <c r="Q12"/>
      <c r="R12"/>
      <c r="S12"/>
      <c r="T12"/>
      <c r="U12"/>
    </row>
    <row r="13" spans="1:21">
      <c r="A13" s="25"/>
      <c r="B13" s="75"/>
      <c r="C13" s="292" t="s">
        <v>304</v>
      </c>
      <c r="D13" s="293"/>
      <c r="E13" s="28"/>
      <c r="F13" s="28"/>
      <c r="G13" s="28"/>
      <c r="H13" s="28"/>
      <c r="I13" s="18"/>
      <c r="J13" s="31"/>
      <c r="K13" s="48"/>
      <c r="L13" s="291" t="s">
        <v>291</v>
      </c>
      <c r="M13" s="37"/>
      <c r="N13" s="37"/>
      <c r="O13"/>
      <c r="P13"/>
      <c r="Q13"/>
      <c r="R13"/>
      <c r="S13"/>
      <c r="T13"/>
      <c r="U13"/>
    </row>
    <row r="14" spans="1:21">
      <c r="A14" s="22"/>
      <c r="B14" s="35">
        <v>1</v>
      </c>
      <c r="C14" s="28" t="s">
        <v>303</v>
      </c>
      <c r="D14" s="28"/>
      <c r="E14" s="28"/>
      <c r="F14" s="28"/>
      <c r="G14" s="28"/>
      <c r="H14" s="17"/>
      <c r="I14" s="18"/>
      <c r="J14" s="31"/>
      <c r="K14"/>
      <c r="L14" s="290" t="s">
        <v>297</v>
      </c>
      <c r="M14" s="37"/>
      <c r="N14" s="37"/>
      <c r="O14"/>
      <c r="P14"/>
      <c r="Q14"/>
      <c r="R14"/>
      <c r="S14"/>
      <c r="T14"/>
      <c r="U14"/>
    </row>
    <row r="15" spans="1:21">
      <c r="A15" s="22"/>
      <c r="B15" s="35">
        <v>2</v>
      </c>
      <c r="C15" s="28" t="s">
        <v>298</v>
      </c>
      <c r="D15" s="28"/>
      <c r="E15" s="28"/>
      <c r="F15" s="17"/>
      <c r="G15" s="17"/>
      <c r="H15" s="17"/>
      <c r="I15" s="18"/>
      <c r="J15" s="31"/>
      <c r="K15"/>
      <c r="L15" s="291" t="s">
        <v>292</v>
      </c>
      <c r="M15" s="37"/>
      <c r="N15" s="37"/>
      <c r="O15"/>
      <c r="P15"/>
      <c r="Q15"/>
      <c r="R15"/>
      <c r="S15"/>
      <c r="T15"/>
      <c r="U15"/>
    </row>
    <row r="16" spans="1:21">
      <c r="A16" s="22"/>
      <c r="B16" s="35">
        <v>3</v>
      </c>
      <c r="C16" s="17" t="s">
        <v>299</v>
      </c>
      <c r="D16" s="17"/>
      <c r="E16" s="17"/>
      <c r="F16" s="17"/>
      <c r="G16" s="17"/>
      <c r="H16" s="17"/>
      <c r="I16" s="18"/>
      <c r="J16" s="31"/>
      <c r="K16" s="48"/>
      <c r="L16" s="291" t="s">
        <v>293</v>
      </c>
      <c r="M16" s="37"/>
      <c r="N16" s="37"/>
      <c r="O16"/>
      <c r="P16"/>
      <c r="Q16"/>
      <c r="R16"/>
      <c r="S16"/>
      <c r="T16"/>
      <c r="U16"/>
    </row>
    <row r="17" spans="1:21">
      <c r="A17" s="22"/>
      <c r="B17" s="35">
        <v>4</v>
      </c>
      <c r="C17" s="17" t="s">
        <v>300</v>
      </c>
      <c r="D17" s="17"/>
      <c r="E17" s="17"/>
      <c r="F17" s="17"/>
      <c r="G17" s="17"/>
      <c r="H17" s="17"/>
      <c r="I17" s="18"/>
      <c r="J17" s="31"/>
      <c r="K17"/>
      <c r="L17" s="291" t="s">
        <v>294</v>
      </c>
      <c r="M17" s="37"/>
      <c r="N17" s="37"/>
      <c r="O17"/>
      <c r="P17"/>
      <c r="Q17"/>
      <c r="R17"/>
      <c r="S17"/>
      <c r="T17"/>
      <c r="U17"/>
    </row>
    <row r="18" spans="1:21" ht="15" customHeight="1">
      <c r="A18" s="22"/>
      <c r="B18" s="35">
        <v>5</v>
      </c>
      <c r="C18" s="17" t="s">
        <v>301</v>
      </c>
      <c r="D18" s="17"/>
      <c r="E18" s="17"/>
      <c r="F18" s="17"/>
      <c r="G18" s="17"/>
      <c r="H18" s="17"/>
      <c r="I18" s="18"/>
      <c r="J18" s="31"/>
      <c r="K18"/>
      <c r="L18"/>
      <c r="M18"/>
      <c r="N18"/>
      <c r="O18"/>
      <c r="P18"/>
      <c r="Q18"/>
      <c r="R18"/>
      <c r="S18"/>
      <c r="T18"/>
      <c r="U18"/>
    </row>
    <row r="19" spans="1:21" ht="15" customHeight="1">
      <c r="A19" s="22"/>
      <c r="B19" s="35">
        <v>6</v>
      </c>
      <c r="C19" s="17" t="s">
        <v>302</v>
      </c>
      <c r="D19" s="17"/>
      <c r="E19" s="17"/>
      <c r="F19" s="17"/>
      <c r="G19" s="17"/>
      <c r="H19" s="17"/>
      <c r="I19" s="18"/>
      <c r="J19" s="31"/>
      <c r="K19" s="48" t="s">
        <v>3</v>
      </c>
      <c r="L19" s="48" t="s">
        <v>320</v>
      </c>
      <c r="M19" s="52" t="s">
        <v>343</v>
      </c>
      <c r="N19"/>
      <c r="O19"/>
      <c r="P19"/>
      <c r="Q19"/>
      <c r="R19"/>
      <c r="S19"/>
      <c r="T19"/>
      <c r="U19"/>
    </row>
    <row r="20" spans="1:21" ht="15" customHeight="1">
      <c r="A20" s="22"/>
      <c r="B20" s="17"/>
      <c r="C20" s="17"/>
      <c r="D20" s="17"/>
      <c r="E20" s="17"/>
      <c r="F20" s="17"/>
      <c r="G20" s="17"/>
      <c r="H20" s="17"/>
      <c r="I20" s="18"/>
      <c r="J20" s="31"/>
      <c r="K20"/>
      <c r="L20" s="320" t="s">
        <v>322</v>
      </c>
      <c r="M20" s="52" t="s">
        <v>343</v>
      </c>
      <c r="N20"/>
      <c r="O20"/>
      <c r="P20"/>
      <c r="Q20"/>
      <c r="R20"/>
      <c r="S20"/>
      <c r="T20"/>
      <c r="U20"/>
    </row>
    <row r="21" spans="1:21" ht="15" customHeight="1">
      <c r="A21" s="22"/>
      <c r="B21" s="17"/>
      <c r="C21" s="294" t="s">
        <v>305</v>
      </c>
      <c r="D21" s="88"/>
      <c r="E21" s="88"/>
      <c r="F21" s="88"/>
      <c r="G21" s="88"/>
      <c r="H21" s="17"/>
      <c r="I21" s="18"/>
      <c r="J21" s="31"/>
      <c r="K21"/>
      <c r="L21" s="320" t="s">
        <v>323</v>
      </c>
      <c r="M21" s="52" t="s">
        <v>343</v>
      </c>
      <c r="N21"/>
      <c r="O21"/>
      <c r="P21"/>
      <c r="Q21"/>
      <c r="R21"/>
      <c r="S21"/>
      <c r="T21"/>
      <c r="U21"/>
    </row>
    <row r="22" spans="1:21" ht="15" customHeight="1">
      <c r="A22" s="22"/>
      <c r="B22" s="35" t="s">
        <v>306</v>
      </c>
      <c r="C22" s="75" t="s">
        <v>313</v>
      </c>
      <c r="D22" s="17"/>
      <c r="E22" s="17"/>
      <c r="F22" s="17"/>
      <c r="G22" s="17"/>
      <c r="H22" s="17"/>
      <c r="I22" s="18"/>
      <c r="J22" s="31"/>
      <c r="K22"/>
      <c r="L22" s="320" t="s">
        <v>325</v>
      </c>
      <c r="M22" s="52" t="s">
        <v>343</v>
      </c>
      <c r="N22"/>
      <c r="O22"/>
      <c r="P22"/>
      <c r="Q22"/>
      <c r="R22"/>
      <c r="S22"/>
      <c r="T22"/>
      <c r="U22"/>
    </row>
    <row r="23" spans="1:21" ht="15" customHeight="1">
      <c r="A23" s="22"/>
      <c r="B23" s="35" t="s">
        <v>307</v>
      </c>
      <c r="C23" s="75" t="s">
        <v>316</v>
      </c>
      <c r="D23" s="17"/>
      <c r="E23" s="17"/>
      <c r="F23" s="17"/>
      <c r="G23" s="17"/>
      <c r="H23" s="17"/>
      <c r="I23" s="18"/>
      <c r="J23" s="31"/>
      <c r="K23"/>
      <c r="L23" s="320" t="s">
        <v>324</v>
      </c>
      <c r="M23" s="52" t="s">
        <v>343</v>
      </c>
      <c r="N23"/>
      <c r="O23"/>
      <c r="P23"/>
      <c r="Q23"/>
      <c r="R23"/>
      <c r="S23"/>
      <c r="T23"/>
      <c r="U23"/>
    </row>
    <row r="24" spans="1:21" ht="15" customHeight="1">
      <c r="A24" s="22"/>
      <c r="B24" s="35" t="s">
        <v>308</v>
      </c>
      <c r="C24" s="17" t="s">
        <v>311</v>
      </c>
      <c r="D24" s="17"/>
      <c r="E24" s="17"/>
      <c r="F24" s="17"/>
      <c r="G24" s="17"/>
      <c r="H24" s="17"/>
      <c r="I24" s="18"/>
      <c r="J24" s="31"/>
      <c r="K24"/>
      <c r="L24" s="48" t="s">
        <v>321</v>
      </c>
      <c r="M24" s="266" t="s">
        <v>344</v>
      </c>
      <c r="N24"/>
      <c r="O24"/>
      <c r="P24"/>
      <c r="Q24"/>
      <c r="R24"/>
      <c r="S24"/>
      <c r="T24"/>
      <c r="U24"/>
    </row>
    <row r="25" spans="1:21" ht="15" customHeight="1">
      <c r="A25" s="22"/>
      <c r="B25" s="35" t="s">
        <v>309</v>
      </c>
      <c r="C25" s="17" t="s">
        <v>315</v>
      </c>
      <c r="D25" s="17"/>
      <c r="E25" s="17"/>
      <c r="F25" s="17"/>
      <c r="G25" s="17"/>
      <c r="H25" s="17"/>
      <c r="I25" s="18"/>
      <c r="J25" s="31"/>
      <c r="K25"/>
      <c r="L25"/>
      <c r="M25"/>
      <c r="N25"/>
      <c r="O25"/>
      <c r="P25"/>
      <c r="Q25"/>
      <c r="R25"/>
      <c r="S25"/>
      <c r="T25"/>
      <c r="U25"/>
    </row>
    <row r="26" spans="1:21" ht="15" customHeight="1">
      <c r="A26" s="22"/>
      <c r="B26" s="35" t="s">
        <v>310</v>
      </c>
      <c r="C26" s="17" t="s">
        <v>314</v>
      </c>
      <c r="D26" s="17"/>
      <c r="E26" s="17"/>
      <c r="F26" s="17"/>
      <c r="G26" s="17"/>
      <c r="H26" s="17"/>
      <c r="I26" s="18"/>
      <c r="J26" s="31"/>
      <c r="K26" s="48" t="s">
        <v>4</v>
      </c>
      <c r="L26" s="196" t="s">
        <v>169</v>
      </c>
      <c r="M26" s="37" t="s">
        <v>332</v>
      </c>
      <c r="N26" s="37"/>
      <c r="O26" s="37"/>
      <c r="P26" s="37"/>
      <c r="Q26" s="37"/>
      <c r="R26" s="37"/>
      <c r="S26" s="37"/>
    </row>
    <row r="27" spans="1:21" ht="15" customHeight="1">
      <c r="A27" s="22"/>
      <c r="B27" s="35" t="s">
        <v>27</v>
      </c>
      <c r="C27" s="17" t="s">
        <v>312</v>
      </c>
      <c r="D27" s="17"/>
      <c r="E27" s="17"/>
      <c r="F27" s="17"/>
      <c r="G27" s="17"/>
      <c r="H27" s="17"/>
      <c r="I27" s="18"/>
      <c r="J27" s="31"/>
      <c r="K27"/>
      <c r="L27" s="37"/>
      <c r="M27" s="37"/>
      <c r="N27" s="37"/>
      <c r="O27" s="37"/>
      <c r="P27" s="37"/>
      <c r="Q27" s="37"/>
      <c r="R27" s="37"/>
      <c r="S27" s="37"/>
    </row>
    <row r="28" spans="1:21" ht="15" customHeight="1">
      <c r="A28" s="22"/>
      <c r="B28" s="17"/>
      <c r="C28" s="17"/>
      <c r="D28" s="17"/>
      <c r="E28" s="17"/>
      <c r="F28" s="17"/>
      <c r="G28" s="17"/>
      <c r="H28" s="17"/>
      <c r="I28" s="18"/>
      <c r="J28" s="31"/>
      <c r="K28"/>
      <c r="L28" s="158"/>
      <c r="M28" s="194" t="s">
        <v>140</v>
      </c>
      <c r="N28" s="194" t="s">
        <v>141</v>
      </c>
      <c r="O28" s="194" t="s">
        <v>142</v>
      </c>
      <c r="P28" s="194" t="s">
        <v>143</v>
      </c>
      <c r="Q28" s="194" t="s">
        <v>144</v>
      </c>
      <c r="R28" s="194" t="s">
        <v>145</v>
      </c>
      <c r="S28" s="158"/>
    </row>
    <row r="29" spans="1:21" ht="15" customHeight="1">
      <c r="A29" s="25" t="s">
        <v>4</v>
      </c>
      <c r="B29" s="178" t="s">
        <v>326</v>
      </c>
      <c r="C29" s="178"/>
      <c r="D29" s="178"/>
      <c r="E29" s="178"/>
      <c r="F29" s="178"/>
      <c r="G29" s="178"/>
      <c r="H29" s="319">
        <v>1</v>
      </c>
      <c r="I29" s="18"/>
      <c r="K29"/>
      <c r="L29" s="158"/>
      <c r="M29" s="219" t="s">
        <v>327</v>
      </c>
      <c r="N29" s="295"/>
      <c r="O29" s="296"/>
      <c r="P29" s="299"/>
      <c r="Q29" s="295"/>
      <c r="R29" s="300" t="s">
        <v>333</v>
      </c>
      <c r="S29" s="158"/>
    </row>
    <row r="30" spans="1:21" ht="15" customHeight="1" thickBot="1">
      <c r="A30" s="9">
        <f>INDEX('Point Grid'!$C$8:$I$54,MATCH($A$1,'Point Grid'!$A$8:$A$54,0),MATCH(A29,'Point Grid'!$C$7:$I$7,0))</f>
        <v>1.5</v>
      </c>
      <c r="B30" s="178"/>
      <c r="C30" s="178"/>
      <c r="D30" s="178"/>
      <c r="E30" s="178"/>
      <c r="F30" s="178"/>
      <c r="G30" s="178"/>
      <c r="H30" s="178"/>
      <c r="I30" s="18"/>
      <c r="J30" s="158"/>
      <c r="K30"/>
      <c r="L30" s="158"/>
      <c r="M30" s="141" t="s">
        <v>328</v>
      </c>
      <c r="N30" s="142"/>
      <c r="O30" s="144" t="s">
        <v>121</v>
      </c>
      <c r="P30" s="301" t="s">
        <v>334</v>
      </c>
      <c r="Q30" s="142" t="s">
        <v>335</v>
      </c>
      <c r="R30" s="144" t="s">
        <v>335</v>
      </c>
      <c r="S30" s="158"/>
    </row>
    <row r="31" spans="1:21" ht="15" customHeight="1" thickBot="1">
      <c r="A31" s="5"/>
      <c r="B31" s="178"/>
      <c r="C31" s="232" t="s">
        <v>327</v>
      </c>
      <c r="D31" s="312"/>
      <c r="E31" s="313"/>
      <c r="F31" s="178"/>
      <c r="G31" s="178"/>
      <c r="H31" s="178"/>
      <c r="I31" s="18"/>
      <c r="J31" s="158"/>
      <c r="K31"/>
      <c r="L31" s="158"/>
      <c r="M31" s="146" t="s">
        <v>329</v>
      </c>
      <c r="N31" s="147" t="s">
        <v>330</v>
      </c>
      <c r="O31" s="149" t="s">
        <v>331</v>
      </c>
      <c r="P31" s="302" t="s">
        <v>336</v>
      </c>
      <c r="Q31" s="147" t="s">
        <v>337</v>
      </c>
      <c r="R31" s="149" t="s">
        <v>337</v>
      </c>
      <c r="S31" s="158"/>
    </row>
    <row r="32" spans="1:21" ht="15" customHeight="1">
      <c r="A32" s="22"/>
      <c r="B32" s="154"/>
      <c r="C32" s="314" t="s">
        <v>328</v>
      </c>
      <c r="D32" s="315"/>
      <c r="E32" s="316" t="s">
        <v>121</v>
      </c>
      <c r="F32" s="178"/>
      <c r="G32" s="178"/>
      <c r="H32" s="178"/>
      <c r="I32" s="18"/>
      <c r="J32" s="122"/>
      <c r="K32"/>
      <c r="L32" s="158"/>
      <c r="M32" s="141" t="s">
        <v>306</v>
      </c>
      <c r="N32" s="151">
        <f t="shared" ref="N32:O34" si="0">D34</f>
        <v>195</v>
      </c>
      <c r="O32" s="297">
        <f t="shared" si="0"/>
        <v>74100</v>
      </c>
      <c r="P32" s="301">
        <f>O32/N32</f>
        <v>380</v>
      </c>
      <c r="Q32" s="303">
        <f>P32/P35</f>
        <v>0.60342486421243213</v>
      </c>
      <c r="R32" s="304">
        <f>Q32/R39</f>
        <v>1</v>
      </c>
      <c r="S32" s="305" t="str">
        <f>IF(H29=1,"  &lt;==  base level","")</f>
        <v xml:space="preserve">  &lt;==  base level</v>
      </c>
    </row>
    <row r="33" spans="1:21" ht="15" customHeight="1">
      <c r="A33" s="22"/>
      <c r="B33" s="154"/>
      <c r="C33" s="235" t="s">
        <v>329</v>
      </c>
      <c r="D33" s="317" t="s">
        <v>330</v>
      </c>
      <c r="E33" s="318" t="s">
        <v>331</v>
      </c>
      <c r="F33" s="178"/>
      <c r="G33" s="178"/>
      <c r="H33" s="178"/>
      <c r="I33" s="18"/>
      <c r="J33" s="122"/>
      <c r="K33" s="48"/>
      <c r="L33" s="158"/>
      <c r="M33" s="141" t="s">
        <v>307</v>
      </c>
      <c r="N33" s="151">
        <f t="shared" si="0"/>
        <v>423</v>
      </c>
      <c r="O33" s="297">
        <f t="shared" si="0"/>
        <v>279180</v>
      </c>
      <c r="P33" s="301">
        <f>O33/N33</f>
        <v>660</v>
      </c>
      <c r="Q33" s="303">
        <f>P33/P35</f>
        <v>1.0480537115268558</v>
      </c>
      <c r="R33" s="304">
        <f>Q33/R39</f>
        <v>1.7368421052631577</v>
      </c>
      <c r="S33" s="305" t="str">
        <f>IF(H29=2,"  &lt;==  base level","")</f>
        <v/>
      </c>
    </row>
    <row r="34" spans="1:21" ht="15" customHeight="1">
      <c r="A34" s="22"/>
      <c r="B34" s="154"/>
      <c r="C34" s="314">
        <v>1</v>
      </c>
      <c r="D34" s="315">
        <v>195</v>
      </c>
      <c r="E34" s="316">
        <v>74100</v>
      </c>
      <c r="F34" s="178"/>
      <c r="G34" s="178"/>
      <c r="H34" s="178"/>
      <c r="I34" s="18"/>
      <c r="J34" s="122"/>
      <c r="K34"/>
      <c r="L34" s="158"/>
      <c r="M34" s="146" t="s">
        <v>308</v>
      </c>
      <c r="N34" s="153">
        <f t="shared" si="0"/>
        <v>224</v>
      </c>
      <c r="O34" s="298">
        <f t="shared" si="0"/>
        <v>176960</v>
      </c>
      <c r="P34" s="302">
        <f>O34/N34</f>
        <v>790</v>
      </c>
      <c r="Q34" s="306">
        <f>P34/P35</f>
        <v>1.2544885334942668</v>
      </c>
      <c r="R34" s="307">
        <f>Q34/R39</f>
        <v>2.0789473684210527</v>
      </c>
      <c r="S34" s="305" t="str">
        <f>IF(H29=3,"  &lt;==   base level","")</f>
        <v/>
      </c>
    </row>
    <row r="35" spans="1:21" ht="15" customHeight="1">
      <c r="A35" s="22"/>
      <c r="B35" s="154"/>
      <c r="C35" s="314">
        <v>2</v>
      </c>
      <c r="D35" s="315">
        <v>423</v>
      </c>
      <c r="E35" s="316">
        <v>279180</v>
      </c>
      <c r="F35" s="178"/>
      <c r="G35" s="178"/>
      <c r="H35" s="178"/>
      <c r="I35" s="18"/>
      <c r="J35" s="122"/>
      <c r="K35" s="48"/>
      <c r="L35" s="158"/>
      <c r="M35" s="159" t="s">
        <v>127</v>
      </c>
      <c r="N35" s="160">
        <f>SUM(N32:N34)</f>
        <v>842</v>
      </c>
      <c r="O35" s="161">
        <f>SUM(O32:O34)</f>
        <v>530240</v>
      </c>
      <c r="P35" s="160">
        <f>O35/N35</f>
        <v>629.73871733966746</v>
      </c>
      <c r="Q35" s="308">
        <f>P35/P35</f>
        <v>1</v>
      </c>
      <c r="R35" s="309">
        <f>Q35/R39</f>
        <v>1.6572071508938617</v>
      </c>
      <c r="S35" s="158"/>
    </row>
    <row r="36" spans="1:21" ht="15" customHeight="1">
      <c r="A36" s="22"/>
      <c r="B36" s="154"/>
      <c r="C36" s="235">
        <v>3</v>
      </c>
      <c r="D36" s="317">
        <v>224</v>
      </c>
      <c r="E36" s="318">
        <v>176960</v>
      </c>
      <c r="F36" s="178"/>
      <c r="G36" s="178"/>
      <c r="H36" s="178"/>
      <c r="I36" s="18"/>
      <c r="J36" s="122"/>
      <c r="K36"/>
      <c r="L36" s="158"/>
      <c r="M36" s="158"/>
      <c r="N36" s="158"/>
      <c r="O36" s="158"/>
      <c r="P36" s="158"/>
      <c r="Q36" s="158"/>
      <c r="R36" s="200" t="s">
        <v>338</v>
      </c>
      <c r="S36" s="158"/>
    </row>
    <row r="37" spans="1:21" ht="15" customHeight="1">
      <c r="A37" s="22"/>
      <c r="B37" s="154"/>
      <c r="C37" s="154"/>
      <c r="D37" s="154"/>
      <c r="E37" s="178"/>
      <c r="F37" s="178"/>
      <c r="G37" s="178"/>
      <c r="H37" s="178"/>
      <c r="I37" s="18"/>
      <c r="J37" s="122"/>
      <c r="K37"/>
      <c r="L37" s="158"/>
      <c r="M37" s="194" t="s">
        <v>143</v>
      </c>
      <c r="N37" s="157" t="s">
        <v>339</v>
      </c>
      <c r="O37" s="158"/>
      <c r="P37" s="158"/>
      <c r="Q37" s="158"/>
      <c r="R37" s="158"/>
      <c r="S37" s="158"/>
    </row>
    <row r="38" spans="1:21" ht="15" customHeight="1">
      <c r="A38" s="22"/>
      <c r="B38" s="17"/>
      <c r="C38" s="17"/>
      <c r="D38" s="17"/>
      <c r="E38" s="17"/>
      <c r="F38" s="17"/>
      <c r="G38" s="17"/>
      <c r="H38" s="17"/>
      <c r="I38" s="18"/>
      <c r="J38" s="31"/>
      <c r="K38"/>
      <c r="L38" s="158"/>
      <c r="M38" s="194" t="s">
        <v>144</v>
      </c>
      <c r="N38" s="157" t="s">
        <v>340</v>
      </c>
      <c r="O38" s="158"/>
      <c r="P38" s="158"/>
      <c r="Q38" s="158"/>
      <c r="R38" s="158"/>
      <c r="S38" s="158"/>
    </row>
    <row r="39" spans="1:21" ht="15" customHeight="1">
      <c r="A39" s="22"/>
      <c r="B39" s="17"/>
      <c r="C39" s="17"/>
      <c r="D39" s="17"/>
      <c r="E39" s="17"/>
      <c r="F39" s="17"/>
      <c r="G39" s="17"/>
      <c r="H39" s="17"/>
      <c r="I39" s="18"/>
      <c r="J39" s="31"/>
      <c r="K39"/>
      <c r="L39" s="158"/>
      <c r="M39" s="194" t="s">
        <v>145</v>
      </c>
      <c r="N39" s="157" t="s">
        <v>341</v>
      </c>
      <c r="O39" s="158"/>
      <c r="P39" s="158"/>
      <c r="Q39" s="213" t="s">
        <v>342</v>
      </c>
      <c r="R39" s="310">
        <f>INDEX(Q32:Q34,H29)</f>
        <v>0.60342486421243213</v>
      </c>
      <c r="S39" s="37"/>
    </row>
    <row r="40" spans="1:21" ht="15" customHeight="1">
      <c r="A40" s="22"/>
      <c r="B40" s="17"/>
      <c r="C40" s="17"/>
      <c r="D40" s="17"/>
      <c r="E40" s="17"/>
      <c r="F40" s="17"/>
      <c r="G40" s="17"/>
      <c r="H40" s="17"/>
      <c r="I40" s="18"/>
      <c r="J40" s="31"/>
      <c r="K40"/>
      <c r="L40"/>
      <c r="M40"/>
      <c r="N40"/>
      <c r="O40"/>
      <c r="P40"/>
      <c r="Q40"/>
      <c r="R40"/>
      <c r="S40"/>
    </row>
    <row r="41" spans="1:21" ht="15" customHeight="1">
      <c r="A41" s="22"/>
      <c r="B41" s="17"/>
      <c r="C41" s="17"/>
      <c r="D41" s="17"/>
      <c r="E41" s="17"/>
      <c r="F41" s="17"/>
      <c r="G41" s="17"/>
      <c r="H41" s="17"/>
      <c r="I41" s="18"/>
      <c r="J41" s="31"/>
      <c r="K41"/>
      <c r="L41"/>
      <c r="M41"/>
    </row>
    <row r="42" spans="1:21" ht="15" customHeight="1">
      <c r="A42" s="22"/>
      <c r="B42" s="17"/>
      <c r="C42" s="17"/>
      <c r="D42" s="17"/>
      <c r="E42" s="17"/>
      <c r="F42" s="17"/>
      <c r="G42" s="17"/>
      <c r="H42" s="17"/>
      <c r="I42" s="18"/>
      <c r="J42" s="31"/>
      <c r="K42"/>
      <c r="L42"/>
      <c r="M42"/>
      <c r="N42"/>
      <c r="O42"/>
      <c r="P42"/>
      <c r="Q42"/>
      <c r="R42"/>
      <c r="S42"/>
      <c r="T42"/>
      <c r="U42"/>
    </row>
    <row r="43" spans="1:21" ht="15" customHeight="1" thickBot="1">
      <c r="A43" s="24"/>
      <c r="B43" s="32"/>
      <c r="C43" s="32"/>
      <c r="D43" s="32"/>
      <c r="E43" s="32"/>
      <c r="F43" s="32"/>
      <c r="G43" s="32"/>
      <c r="H43" s="32"/>
      <c r="I43" s="33"/>
      <c r="J43" s="31"/>
      <c r="K43"/>
      <c r="L43"/>
      <c r="M43"/>
      <c r="N43"/>
      <c r="O43"/>
      <c r="P43"/>
      <c r="Q43"/>
      <c r="R43"/>
      <c r="S43"/>
      <c r="T43"/>
      <c r="U43"/>
    </row>
    <row r="44" spans="1:21" ht="15" customHeight="1">
      <c r="J44" s="31"/>
      <c r="K44"/>
      <c r="L44"/>
      <c r="M44"/>
      <c r="N44"/>
      <c r="O44"/>
      <c r="P44"/>
      <c r="Q44"/>
      <c r="R44"/>
      <c r="S44"/>
      <c r="T44"/>
      <c r="U44"/>
    </row>
    <row r="45" spans="1:21" ht="15" customHeight="1">
      <c r="J45" s="31"/>
      <c r="K45"/>
      <c r="L45"/>
      <c r="M45"/>
      <c r="N45"/>
      <c r="O45"/>
      <c r="P45"/>
      <c r="Q45"/>
      <c r="R45"/>
      <c r="S45"/>
      <c r="T45"/>
      <c r="U45"/>
    </row>
    <row r="46" spans="1:21" ht="15" customHeight="1">
      <c r="B46" s="31"/>
      <c r="C46" s="31"/>
      <c r="D46" s="31"/>
      <c r="E46" s="31"/>
      <c r="F46" s="31"/>
      <c r="G46" s="31"/>
      <c r="H46" s="31"/>
      <c r="I46" s="31"/>
      <c r="J46" s="31"/>
      <c r="K46"/>
      <c r="L46"/>
      <c r="M46"/>
      <c r="N46"/>
      <c r="O46"/>
      <c r="P46"/>
      <c r="Q46"/>
      <c r="R46"/>
      <c r="S46"/>
      <c r="T46"/>
      <c r="U46"/>
    </row>
    <row r="47" spans="1:21" ht="15" customHeight="1">
      <c r="B47" s="31"/>
      <c r="C47" s="31"/>
      <c r="D47" s="31"/>
      <c r="E47" s="31"/>
      <c r="F47" s="31"/>
      <c r="G47" s="31"/>
      <c r="H47" s="31"/>
      <c r="I47" s="31"/>
      <c r="J47" s="31"/>
      <c r="K47"/>
      <c r="L47"/>
      <c r="M47"/>
      <c r="N47"/>
      <c r="O47"/>
      <c r="P47"/>
      <c r="Q47"/>
      <c r="R47"/>
      <c r="S47"/>
      <c r="T47"/>
      <c r="U47"/>
    </row>
    <row r="48" spans="1:21" ht="15" customHeight="1">
      <c r="B48" s="31"/>
      <c r="C48" s="31"/>
      <c r="D48" s="31"/>
      <c r="E48" s="31"/>
      <c r="F48" s="31"/>
      <c r="G48" s="31"/>
      <c r="H48" s="31"/>
      <c r="I48" s="31"/>
      <c r="J48" s="31"/>
      <c r="K48"/>
      <c r="L48"/>
      <c r="M48"/>
      <c r="N48"/>
      <c r="O48"/>
      <c r="P48"/>
      <c r="Q48"/>
      <c r="R48"/>
      <c r="S48"/>
      <c r="T48"/>
      <c r="U48"/>
    </row>
    <row r="49" spans="2:21" ht="15" customHeight="1">
      <c r="B49" s="31"/>
      <c r="C49" s="31"/>
      <c r="D49" s="31"/>
      <c r="E49" s="31"/>
      <c r="F49" s="31"/>
      <c r="G49" s="31"/>
      <c r="H49" s="31"/>
      <c r="I49" s="31"/>
      <c r="J49" s="31"/>
      <c r="K49"/>
      <c r="L49"/>
      <c r="M49"/>
      <c r="N49"/>
      <c r="O49"/>
      <c r="P49"/>
      <c r="Q49"/>
      <c r="R49"/>
      <c r="S49"/>
      <c r="T49"/>
      <c r="U49"/>
    </row>
    <row r="50" spans="2:21" ht="15" customHeight="1">
      <c r="B50" s="31"/>
      <c r="C50" s="31"/>
      <c r="D50" s="31"/>
      <c r="E50" s="31"/>
      <c r="F50" s="31"/>
      <c r="G50" s="31"/>
      <c r="H50" s="31"/>
      <c r="I50" s="31"/>
      <c r="J50" s="31"/>
      <c r="K50"/>
      <c r="L50"/>
      <c r="M50"/>
      <c r="N50"/>
      <c r="O50"/>
      <c r="P50"/>
      <c r="Q50"/>
      <c r="R50"/>
      <c r="S50"/>
      <c r="T50"/>
      <c r="U50"/>
    </row>
    <row r="51" spans="2:21" ht="15" customHeight="1">
      <c r="B51" s="31"/>
      <c r="C51" s="31"/>
      <c r="D51" s="31"/>
      <c r="E51" s="31"/>
      <c r="F51" s="31"/>
      <c r="G51" s="31"/>
      <c r="H51" s="31"/>
      <c r="I51" s="31"/>
      <c r="J51" s="31"/>
    </row>
    <row r="52" spans="2:21" ht="15" customHeight="1">
      <c r="B52" s="31"/>
      <c r="C52" s="31"/>
      <c r="D52" s="31"/>
      <c r="E52" s="31"/>
      <c r="F52" s="31"/>
      <c r="G52" s="31"/>
      <c r="H52" s="31"/>
      <c r="I52" s="31"/>
      <c r="J52" s="31"/>
    </row>
    <row r="53" spans="2:21" ht="15" customHeight="1">
      <c r="B53" s="31"/>
      <c r="C53" s="31"/>
      <c r="D53" s="31"/>
      <c r="E53" s="31"/>
      <c r="F53" s="31"/>
      <c r="G53" s="31"/>
      <c r="H53" s="31"/>
      <c r="I53" s="31"/>
      <c r="J53" s="31"/>
    </row>
    <row r="54" spans="2:21" ht="15" customHeight="1">
      <c r="B54" s="31"/>
      <c r="C54" s="31"/>
      <c r="D54" s="31"/>
      <c r="E54" s="31"/>
      <c r="F54" s="31"/>
      <c r="G54" s="31"/>
      <c r="H54" s="31"/>
      <c r="I54" s="31"/>
      <c r="J54" s="31"/>
    </row>
    <row r="55" spans="2:21" ht="15" customHeight="1">
      <c r="B55" s="31"/>
      <c r="C55" s="31"/>
      <c r="D55" s="31"/>
      <c r="E55" s="31"/>
      <c r="F55" s="31"/>
      <c r="G55" s="31"/>
      <c r="H55" s="31"/>
      <c r="I55" s="31"/>
      <c r="J55" s="31"/>
    </row>
    <row r="56" spans="2:21" ht="15" customHeight="1">
      <c r="B56" s="31"/>
      <c r="C56" s="31"/>
      <c r="D56" s="31"/>
      <c r="E56" s="31"/>
      <c r="F56" s="31"/>
      <c r="G56" s="31"/>
      <c r="H56" s="31"/>
      <c r="I56" s="31"/>
      <c r="J56" s="31"/>
    </row>
    <row r="57" spans="2:21" ht="15" customHeight="1">
      <c r="B57" s="31"/>
      <c r="C57" s="31"/>
      <c r="D57" s="31"/>
      <c r="E57" s="31"/>
      <c r="F57" s="31"/>
      <c r="G57" s="31"/>
      <c r="H57" s="31"/>
      <c r="I57" s="31"/>
      <c r="J57" s="31"/>
    </row>
    <row r="58" spans="2:21" ht="15" customHeight="1">
      <c r="B58" s="31"/>
      <c r="C58" s="31"/>
      <c r="D58" s="31"/>
      <c r="E58" s="31"/>
      <c r="F58" s="31"/>
      <c r="G58" s="31"/>
      <c r="H58" s="31"/>
      <c r="I58" s="31"/>
      <c r="J58" s="31"/>
    </row>
    <row r="59" spans="2:21" ht="15" customHeight="1">
      <c r="B59" s="31"/>
      <c r="C59" s="31"/>
      <c r="D59" s="31"/>
      <c r="E59" s="31"/>
      <c r="F59" s="31"/>
      <c r="G59" s="31"/>
      <c r="H59" s="31"/>
      <c r="I59" s="31"/>
      <c r="J59" s="31"/>
    </row>
    <row r="60" spans="2:21" ht="15" customHeight="1">
      <c r="B60" s="31"/>
      <c r="C60" s="31"/>
      <c r="D60" s="31"/>
      <c r="E60" s="31"/>
      <c r="F60" s="31"/>
      <c r="G60" s="31"/>
      <c r="H60" s="31"/>
      <c r="I60" s="31"/>
      <c r="J60" s="31"/>
    </row>
    <row r="61" spans="2:21" ht="15" customHeight="1">
      <c r="B61" s="31"/>
      <c r="C61" s="31"/>
      <c r="D61" s="31"/>
      <c r="E61" s="31"/>
      <c r="F61" s="31"/>
      <c r="G61" s="31"/>
      <c r="H61" s="31"/>
      <c r="I61" s="31"/>
      <c r="J61" s="31"/>
    </row>
    <row r="62" spans="2:21" ht="15" customHeight="1">
      <c r="B62" s="31"/>
      <c r="C62" s="31"/>
      <c r="D62" s="31"/>
      <c r="E62" s="31"/>
      <c r="F62" s="31"/>
      <c r="G62" s="31"/>
      <c r="H62" s="31"/>
      <c r="I62" s="31"/>
      <c r="J62" s="31"/>
    </row>
    <row r="63" spans="2:21" ht="15" customHeight="1">
      <c r="B63" s="31"/>
      <c r="C63" s="31"/>
      <c r="D63" s="31"/>
      <c r="E63" s="31"/>
      <c r="F63" s="31"/>
      <c r="G63" s="31"/>
      <c r="H63" s="31"/>
      <c r="I63" s="31"/>
      <c r="J63" s="31"/>
    </row>
    <row r="64" spans="2:21" ht="15" customHeight="1">
      <c r="B64" s="31"/>
      <c r="C64" s="31"/>
      <c r="D64" s="31"/>
      <c r="E64" s="31"/>
      <c r="F64" s="31"/>
      <c r="G64" s="31"/>
      <c r="H64" s="31"/>
      <c r="I64" s="31"/>
      <c r="J64" s="31"/>
    </row>
    <row r="65" spans="2:10" ht="15" customHeight="1">
      <c r="B65" s="31"/>
      <c r="C65" s="31"/>
      <c r="D65" s="31"/>
      <c r="E65" s="31"/>
      <c r="F65" s="31"/>
      <c r="G65" s="31"/>
      <c r="H65" s="31"/>
      <c r="I65" s="31"/>
      <c r="J65" s="31"/>
    </row>
    <row r="66" spans="2:10" ht="15" customHeight="1">
      <c r="B66" s="31"/>
      <c r="C66" s="31"/>
      <c r="D66" s="31"/>
      <c r="E66" s="31"/>
      <c r="F66" s="31"/>
      <c r="G66" s="31"/>
      <c r="H66" s="31"/>
      <c r="I66" s="31"/>
      <c r="J66" s="31"/>
    </row>
    <row r="67" spans="2:10" ht="15" customHeight="1">
      <c r="B67" s="31"/>
      <c r="C67" s="31"/>
      <c r="D67" s="31"/>
      <c r="E67" s="31"/>
      <c r="F67" s="31"/>
      <c r="G67" s="31"/>
      <c r="H67" s="31"/>
      <c r="I67" s="31"/>
      <c r="J67" s="31"/>
    </row>
    <row r="68" spans="2:10" ht="15" customHeight="1">
      <c r="B68" s="31"/>
      <c r="C68" s="31"/>
      <c r="D68" s="31"/>
      <c r="E68" s="31"/>
      <c r="F68" s="31"/>
      <c r="G68" s="31"/>
      <c r="H68" s="31"/>
      <c r="I68" s="31"/>
      <c r="J68" s="31"/>
    </row>
    <row r="69" spans="2:10" ht="15" customHeight="1">
      <c r="B69" s="31"/>
      <c r="C69" s="31"/>
      <c r="D69" s="31"/>
      <c r="E69" s="31"/>
      <c r="F69" s="31"/>
      <c r="G69" s="31"/>
      <c r="H69" s="31"/>
      <c r="I69" s="31"/>
      <c r="J69" s="31"/>
    </row>
    <row r="70" spans="2:10" ht="15" customHeight="1">
      <c r="B70" s="31"/>
      <c r="C70" s="31"/>
      <c r="D70" s="31"/>
      <c r="E70" s="31"/>
      <c r="F70" s="31"/>
      <c r="G70" s="31"/>
      <c r="H70" s="31"/>
      <c r="I70" s="31"/>
      <c r="J70" s="31"/>
    </row>
    <row r="71" spans="2:10" ht="15" customHeight="1">
      <c r="B71" s="31"/>
      <c r="C71" s="31"/>
      <c r="D71" s="31"/>
      <c r="E71" s="31"/>
      <c r="F71" s="31"/>
      <c r="G71" s="31"/>
      <c r="H71" s="31"/>
      <c r="I71" s="31"/>
      <c r="J71" s="31"/>
    </row>
    <row r="72" spans="2:10" ht="15" customHeight="1">
      <c r="B72" s="31"/>
      <c r="C72" s="31"/>
      <c r="D72" s="31"/>
      <c r="E72" s="31"/>
      <c r="F72" s="31"/>
      <c r="G72" s="31"/>
      <c r="H72" s="31"/>
      <c r="I72" s="31"/>
      <c r="J72" s="31"/>
    </row>
    <row r="73" spans="2:10" ht="15" customHeight="1">
      <c r="B73" s="31"/>
      <c r="C73" s="31"/>
      <c r="D73" s="31"/>
      <c r="E73" s="31"/>
      <c r="F73" s="31"/>
      <c r="G73" s="31"/>
      <c r="H73" s="31"/>
      <c r="I73" s="31"/>
      <c r="J73" s="31"/>
    </row>
    <row r="74" spans="2:10" ht="15" customHeight="1">
      <c r="B74" s="31"/>
      <c r="C74" s="31"/>
      <c r="D74" s="31"/>
      <c r="E74" s="31"/>
      <c r="F74" s="31"/>
      <c r="G74" s="31"/>
      <c r="H74" s="31"/>
      <c r="I74" s="31"/>
      <c r="J74" s="31"/>
    </row>
    <row r="75" spans="2:10" ht="15" customHeight="1">
      <c r="B75" s="31"/>
      <c r="C75" s="31"/>
      <c r="D75" s="31"/>
      <c r="E75" s="31"/>
      <c r="F75" s="31"/>
      <c r="G75" s="31"/>
      <c r="H75" s="31"/>
      <c r="I75" s="31"/>
      <c r="J75" s="31"/>
    </row>
    <row r="76" spans="2:10" ht="15" customHeight="1">
      <c r="B76" s="31"/>
      <c r="C76" s="31"/>
      <c r="D76" s="31"/>
      <c r="E76" s="31"/>
      <c r="F76" s="31"/>
      <c r="G76" s="31"/>
      <c r="H76" s="31"/>
      <c r="I76" s="31"/>
      <c r="J76" s="31"/>
    </row>
    <row r="77" spans="2:10" ht="15" customHeight="1">
      <c r="B77" s="31"/>
      <c r="C77" s="31"/>
      <c r="D77" s="31"/>
      <c r="E77" s="31"/>
      <c r="F77" s="31"/>
      <c r="G77" s="31"/>
      <c r="H77" s="31"/>
      <c r="I77" s="31"/>
      <c r="J77" s="31"/>
    </row>
    <row r="78" spans="2:10" ht="15" customHeight="1">
      <c r="B78" s="31"/>
      <c r="C78" s="31"/>
      <c r="D78" s="31"/>
      <c r="E78" s="31"/>
      <c r="F78" s="31"/>
      <c r="G78" s="31"/>
      <c r="H78" s="31"/>
      <c r="I78" s="31"/>
      <c r="J78" s="31"/>
    </row>
    <row r="79" spans="2:10" ht="15" customHeight="1">
      <c r="B79" s="31"/>
      <c r="C79" s="31"/>
      <c r="D79" s="31"/>
      <c r="E79" s="31"/>
      <c r="F79" s="31"/>
      <c r="G79" s="31"/>
      <c r="H79" s="31"/>
      <c r="I79" s="31"/>
      <c r="J79" s="31"/>
    </row>
    <row r="80" spans="2:10" ht="15" customHeight="1">
      <c r="B80" s="31"/>
      <c r="C80" s="31"/>
      <c r="D80" s="31"/>
      <c r="E80" s="31"/>
      <c r="F80" s="31"/>
      <c r="G80" s="31"/>
      <c r="H80" s="31"/>
      <c r="I80" s="31"/>
      <c r="J80" s="31"/>
    </row>
    <row r="81" spans="2:10" ht="15" customHeight="1">
      <c r="B81" s="31"/>
      <c r="C81" s="31"/>
      <c r="D81" s="31"/>
      <c r="E81" s="31"/>
      <c r="F81" s="31"/>
      <c r="G81" s="31"/>
      <c r="H81" s="31"/>
      <c r="I81" s="31"/>
      <c r="J81" s="31"/>
    </row>
    <row r="82" spans="2:10" ht="15" customHeight="1">
      <c r="B82" s="31"/>
      <c r="C82" s="31"/>
      <c r="D82" s="31"/>
      <c r="E82" s="31"/>
      <c r="F82" s="31"/>
      <c r="G82" s="31"/>
      <c r="H82" s="31"/>
      <c r="I82" s="31"/>
      <c r="J82" s="31"/>
    </row>
    <row r="83" spans="2:10" ht="15" customHeight="1">
      <c r="B83" s="31"/>
      <c r="C83" s="31"/>
      <c r="D83" s="31"/>
      <c r="E83" s="31"/>
      <c r="F83" s="31"/>
      <c r="G83" s="31"/>
      <c r="H83" s="31"/>
      <c r="I83" s="31"/>
      <c r="J83" s="31"/>
    </row>
    <row r="84" spans="2:10" ht="15" customHeight="1">
      <c r="B84" s="31"/>
      <c r="C84" s="31"/>
      <c r="D84" s="31"/>
      <c r="E84" s="31"/>
      <c r="F84" s="31"/>
      <c r="G84" s="31"/>
      <c r="H84" s="31"/>
      <c r="I84" s="31"/>
      <c r="J84" s="31"/>
    </row>
    <row r="85" spans="2:10" ht="15" customHeight="1">
      <c r="B85" s="31"/>
      <c r="C85" s="31"/>
      <c r="D85" s="31"/>
      <c r="E85" s="31"/>
      <c r="F85" s="31"/>
      <c r="G85" s="31"/>
      <c r="H85" s="31"/>
      <c r="I85" s="31"/>
      <c r="J85" s="31"/>
    </row>
    <row r="86" spans="2:10" ht="15" customHeight="1">
      <c r="B86" s="31"/>
      <c r="C86" s="31"/>
      <c r="D86" s="31"/>
      <c r="E86" s="31"/>
      <c r="F86" s="31"/>
      <c r="G86" s="31"/>
      <c r="H86" s="31"/>
      <c r="I86" s="31"/>
      <c r="J86" s="31"/>
    </row>
    <row r="87" spans="2:10" ht="15" customHeight="1">
      <c r="B87" s="31"/>
      <c r="C87" s="31"/>
      <c r="D87" s="31"/>
      <c r="E87" s="31"/>
      <c r="F87" s="31"/>
      <c r="G87" s="31"/>
      <c r="H87" s="31"/>
      <c r="I87" s="31"/>
      <c r="J87" s="31"/>
    </row>
    <row r="88" spans="2:10" ht="15" customHeight="1">
      <c r="B88" s="31"/>
      <c r="C88" s="31"/>
      <c r="D88" s="31"/>
      <c r="E88" s="31"/>
      <c r="F88" s="31"/>
      <c r="G88" s="31"/>
      <c r="H88" s="31"/>
      <c r="I88" s="31"/>
      <c r="J88" s="31"/>
    </row>
    <row r="89" spans="2:10" ht="15" customHeight="1">
      <c r="B89" s="31"/>
      <c r="C89" s="31"/>
      <c r="D89" s="31"/>
      <c r="E89" s="31"/>
      <c r="F89" s="31"/>
      <c r="G89" s="31"/>
      <c r="H89" s="31"/>
      <c r="I89" s="31"/>
      <c r="J89" s="31"/>
    </row>
    <row r="90" spans="2:10" ht="15" customHeight="1">
      <c r="B90" s="31"/>
      <c r="C90" s="31"/>
      <c r="D90" s="31"/>
      <c r="E90" s="31"/>
      <c r="F90" s="31"/>
      <c r="G90" s="31"/>
      <c r="H90" s="31"/>
      <c r="I90" s="31"/>
      <c r="J90" s="31"/>
    </row>
    <row r="91" spans="2:10" ht="15" customHeight="1">
      <c r="B91" s="31"/>
      <c r="C91" s="31"/>
      <c r="D91" s="31"/>
      <c r="E91" s="31"/>
      <c r="F91" s="31"/>
      <c r="G91" s="31"/>
      <c r="H91" s="31"/>
      <c r="I91" s="31"/>
      <c r="J91" s="31"/>
    </row>
    <row r="92" spans="2:10" ht="15" customHeight="1">
      <c r="B92" s="31"/>
      <c r="C92" s="31"/>
      <c r="D92" s="31"/>
      <c r="E92" s="31"/>
      <c r="F92" s="31"/>
      <c r="G92" s="31"/>
      <c r="H92" s="31"/>
      <c r="I92" s="31"/>
      <c r="J92" s="31"/>
    </row>
    <row r="93" spans="2:10" ht="15" customHeight="1">
      <c r="B93" s="31"/>
      <c r="C93" s="31"/>
      <c r="D93" s="31"/>
      <c r="E93" s="31"/>
      <c r="F93" s="31"/>
      <c r="G93" s="31"/>
      <c r="H93" s="31"/>
      <c r="I93" s="31"/>
      <c r="J93" s="31"/>
    </row>
    <row r="94" spans="2:10" ht="15" customHeight="1">
      <c r="B94" s="31"/>
      <c r="C94" s="31"/>
      <c r="D94" s="31"/>
      <c r="E94" s="31"/>
      <c r="F94" s="31"/>
      <c r="G94" s="31"/>
      <c r="H94" s="31"/>
      <c r="I94" s="31"/>
      <c r="J94" s="31"/>
    </row>
    <row r="95" spans="2:10" ht="15" customHeight="1">
      <c r="B95" s="31"/>
      <c r="C95" s="31"/>
      <c r="D95" s="31"/>
      <c r="E95" s="31"/>
      <c r="F95" s="31"/>
      <c r="G95" s="31"/>
      <c r="H95" s="31"/>
      <c r="I95" s="31"/>
      <c r="J95" s="31"/>
    </row>
    <row r="96" spans="2:10" ht="15" customHeight="1">
      <c r="B96" s="31"/>
      <c r="C96" s="31"/>
      <c r="D96" s="31"/>
      <c r="E96" s="31"/>
      <c r="F96" s="31"/>
      <c r="G96" s="31"/>
      <c r="H96" s="31"/>
      <c r="I96" s="31"/>
      <c r="J96" s="31"/>
    </row>
    <row r="97" spans="2:10" ht="15" customHeight="1">
      <c r="B97" s="31"/>
      <c r="C97" s="31"/>
      <c r="D97" s="31"/>
      <c r="E97" s="31"/>
      <c r="F97" s="31"/>
      <c r="G97" s="31"/>
      <c r="H97" s="31"/>
      <c r="I97" s="31"/>
      <c r="J97" s="31"/>
    </row>
    <row r="98" spans="2:10" ht="15" customHeight="1">
      <c r="B98" s="31"/>
      <c r="C98" s="31"/>
      <c r="D98" s="31"/>
      <c r="E98" s="31"/>
      <c r="F98" s="31"/>
      <c r="G98" s="31"/>
      <c r="H98" s="31"/>
      <c r="I98" s="31"/>
      <c r="J98" s="31"/>
    </row>
    <row r="99" spans="2:10" ht="15" customHeight="1">
      <c r="B99" s="31"/>
      <c r="C99" s="31"/>
      <c r="D99" s="31"/>
      <c r="E99" s="31"/>
      <c r="F99" s="31"/>
      <c r="G99" s="31"/>
      <c r="H99" s="31"/>
      <c r="I99" s="31"/>
      <c r="J99" s="31"/>
    </row>
    <row r="100" spans="2:10" ht="15" customHeight="1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2:10" ht="15" customHeight="1">
      <c r="B101" s="31"/>
      <c r="C101" s="31"/>
      <c r="D101" s="31"/>
      <c r="E101" s="31"/>
      <c r="F101" s="31"/>
      <c r="G101" s="31"/>
      <c r="H101" s="31"/>
      <c r="I101" s="31"/>
      <c r="J101" s="31"/>
    </row>
  </sheetData>
  <mergeCells count="1">
    <mergeCell ref="H1:I1"/>
  </mergeCells>
  <conditionalFormatting sqref="B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Y152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13" width="11.140625" style="21" customWidth="1"/>
    <col min="14" max="16384" width="9.140625" style="21"/>
  </cols>
  <sheetData>
    <row r="1" spans="1:25">
      <c r="A1" s="7">
        <v>14</v>
      </c>
      <c r="B1" s="27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854" t="s">
        <v>24</v>
      </c>
      <c r="M1" s="855"/>
      <c r="O1" s="1" t="s">
        <v>33</v>
      </c>
      <c r="P1" s="52" t="str">
        <f>VLOOKUP(A1,'Point Grid'!$L$8:$T$54,9,FALSE)</f>
        <v>Pricing - Chap 10: Multivariate Analysis</v>
      </c>
      <c r="Q1"/>
      <c r="R1"/>
      <c r="S1"/>
      <c r="T1"/>
      <c r="U1"/>
      <c r="V1"/>
      <c r="W1"/>
      <c r="X1"/>
      <c r="Y1"/>
    </row>
    <row r="2" spans="1:25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  <c r="O2" s="1"/>
      <c r="P2"/>
      <c r="Q2"/>
      <c r="R2"/>
      <c r="S2"/>
      <c r="T2"/>
      <c r="U2"/>
      <c r="V2"/>
      <c r="W2"/>
      <c r="X2"/>
      <c r="Y2"/>
    </row>
    <row r="3" spans="1:25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31"/>
      <c r="O3" s="48" t="s">
        <v>2</v>
      </c>
      <c r="P3" s="1" t="s">
        <v>373</v>
      </c>
      <c r="Q3" s="37"/>
      <c r="R3" s="37"/>
      <c r="S3" s="37"/>
      <c r="T3" s="37"/>
      <c r="U3"/>
      <c r="V3"/>
      <c r="W3"/>
      <c r="X3"/>
      <c r="Y3"/>
    </row>
    <row r="4" spans="1:25">
      <c r="A4" s="9">
        <f>INDEX('Point Grid'!B:B,MATCH(A1,'Point Grid'!A:A,0))</f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31"/>
      <c r="O4" s="48"/>
      <c r="P4" s="37"/>
      <c r="Q4" s="37"/>
      <c r="R4" s="37"/>
      <c r="S4" s="37"/>
      <c r="T4" s="37"/>
      <c r="U4"/>
      <c r="V4"/>
      <c r="W4"/>
      <c r="X4"/>
      <c r="Y4"/>
    </row>
    <row r="5" spans="1: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N5" s="31"/>
      <c r="O5" s="48"/>
      <c r="P5" s="192" t="s">
        <v>374</v>
      </c>
      <c r="Q5" s="158" t="s">
        <v>375</v>
      </c>
      <c r="R5" s="158"/>
      <c r="S5" s="158"/>
      <c r="T5" s="158"/>
      <c r="U5"/>
      <c r="V5"/>
      <c r="W5"/>
      <c r="X5"/>
      <c r="Y5"/>
    </row>
    <row r="6" spans="1:25">
      <c r="A6" s="25" t="s">
        <v>2</v>
      </c>
      <c r="B6" s="321" t="s">
        <v>347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  <c r="N6" s="31"/>
      <c r="O6" s="48"/>
      <c r="P6" s="158"/>
      <c r="Q6" s="158" t="s">
        <v>376</v>
      </c>
      <c r="R6" s="158"/>
      <c r="S6" s="158"/>
      <c r="T6" s="158"/>
      <c r="U6"/>
      <c r="V6"/>
      <c r="W6"/>
      <c r="X6"/>
      <c r="Y6"/>
    </row>
    <row r="7" spans="1:25" ht="15.75" thickBot="1">
      <c r="A7" s="9">
        <f>INDEX('Point Grid'!$C$8:$I$54,MATCH($A$1,'Point Grid'!$A$8:$A$54,0),MATCH(A6,'Point Grid'!$C$7:$I$7,0))</f>
        <v>2</v>
      </c>
      <c r="B7" s="17" t="s">
        <v>348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31"/>
      <c r="O7" s="48"/>
      <c r="P7" s="158"/>
      <c r="Q7" s="158"/>
      <c r="R7" s="158"/>
      <c r="S7" s="158"/>
      <c r="T7" s="158"/>
      <c r="U7"/>
      <c r="V7"/>
      <c r="W7"/>
      <c r="X7"/>
      <c r="Y7"/>
    </row>
    <row r="8" spans="1:25" ht="15.75" thickBot="1">
      <c r="A8" s="5"/>
      <c r="B8" s="17" t="s">
        <v>349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18"/>
      <c r="N8" s="31"/>
      <c r="O8"/>
      <c r="P8" s="192" t="s">
        <v>374</v>
      </c>
      <c r="Q8" s="158" t="s">
        <v>377</v>
      </c>
      <c r="R8" s="158"/>
      <c r="S8" s="158"/>
      <c r="T8" s="158"/>
      <c r="U8"/>
      <c r="V8"/>
      <c r="W8"/>
      <c r="X8"/>
      <c r="Y8"/>
    </row>
    <row r="9" spans="1:25">
      <c r="A9" s="25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  <c r="N9" s="31"/>
      <c r="O9" s="48"/>
      <c r="P9" s="158"/>
      <c r="Q9" s="158" t="s">
        <v>378</v>
      </c>
      <c r="R9" s="158"/>
      <c r="S9" s="158"/>
      <c r="T9" s="158"/>
      <c r="U9"/>
      <c r="V9"/>
      <c r="W9"/>
    </row>
    <row r="10" spans="1:25">
      <c r="A10" s="25"/>
      <c r="B10" s="17" t="s">
        <v>351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8"/>
      <c r="N10" s="31"/>
      <c r="O10"/>
      <c r="P10" s="158"/>
      <c r="Q10" s="158"/>
      <c r="R10" s="158"/>
      <c r="S10" s="158"/>
      <c r="T10" s="158"/>
      <c r="U10"/>
      <c r="V10"/>
      <c r="W10"/>
      <c r="X10"/>
      <c r="Y10"/>
    </row>
    <row r="11" spans="1:25">
      <c r="A11" s="25"/>
      <c r="B11" s="17" t="s">
        <v>346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18"/>
      <c r="N11" s="31"/>
      <c r="O11"/>
      <c r="P11" s="1" t="s">
        <v>379</v>
      </c>
      <c r="Q11" s="158"/>
      <c r="R11" s="158"/>
      <c r="S11" s="158"/>
      <c r="T11" s="158"/>
      <c r="U11"/>
      <c r="V11"/>
      <c r="W11"/>
      <c r="X11"/>
      <c r="Y11"/>
    </row>
    <row r="12" spans="1:25">
      <c r="A12" s="25"/>
      <c r="B12" s="1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18"/>
      <c r="N12" s="31"/>
      <c r="O12"/>
      <c r="P12" s="158"/>
      <c r="Q12" s="158"/>
      <c r="R12" s="158"/>
      <c r="S12" s="158"/>
      <c r="T12" s="158"/>
      <c r="U12"/>
      <c r="V12"/>
      <c r="W12"/>
      <c r="X12"/>
      <c r="Y12"/>
    </row>
    <row r="13" spans="1:25">
      <c r="A13" s="25"/>
      <c r="B13" s="17" t="s">
        <v>352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18"/>
      <c r="N13" s="31"/>
      <c r="O13" s="48"/>
      <c r="P13" s="192" t="s">
        <v>374</v>
      </c>
      <c r="Q13" s="158" t="s">
        <v>380</v>
      </c>
      <c r="R13" s="158"/>
      <c r="S13" s="158"/>
      <c r="T13" s="158"/>
      <c r="U13"/>
      <c r="V13"/>
      <c r="W13"/>
      <c r="X13"/>
      <c r="Y13"/>
    </row>
    <row r="14" spans="1:25">
      <c r="A14" s="25"/>
      <c r="B14" s="17" t="s">
        <v>353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18"/>
      <c r="N14" s="31"/>
      <c r="O14"/>
      <c r="P14" s="158"/>
      <c r="Q14" s="158"/>
      <c r="R14" s="158"/>
      <c r="S14" s="158"/>
      <c r="T14" s="158"/>
      <c r="U14"/>
      <c r="V14"/>
      <c r="W14"/>
      <c r="X14"/>
      <c r="Y14"/>
    </row>
    <row r="15" spans="1:25">
      <c r="A15" s="25"/>
      <c r="B15" s="17" t="s">
        <v>354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18"/>
      <c r="N15" s="31"/>
      <c r="O15"/>
      <c r="P15" s="192" t="s">
        <v>374</v>
      </c>
      <c r="Q15" s="158" t="s">
        <v>381</v>
      </c>
      <c r="R15" s="158"/>
      <c r="S15" s="158"/>
      <c r="T15" s="158"/>
      <c r="U15"/>
      <c r="V15"/>
      <c r="W15"/>
      <c r="X15"/>
      <c r="Y15"/>
    </row>
    <row r="16" spans="1:25">
      <c r="A16" s="25"/>
      <c r="B16" s="1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18"/>
      <c r="N16" s="31"/>
      <c r="O16" s="48"/>
      <c r="P16" s="158"/>
      <c r="Q16" s="158" t="s">
        <v>382</v>
      </c>
      <c r="R16" s="158"/>
      <c r="S16" s="158"/>
      <c r="T16" s="158"/>
      <c r="U16"/>
      <c r="V16"/>
      <c r="W16"/>
      <c r="X16"/>
      <c r="Y16"/>
    </row>
    <row r="17" spans="1:25">
      <c r="A17" s="25"/>
      <c r="B17" s="178" t="s">
        <v>355</v>
      </c>
      <c r="C17" s="178"/>
      <c r="D17" s="178"/>
      <c r="E17" s="178"/>
      <c r="F17" s="178"/>
      <c r="G17" s="178"/>
      <c r="H17" s="178"/>
      <c r="I17" s="178"/>
      <c r="J17" s="178"/>
      <c r="K17" s="178"/>
      <c r="L17" s="231"/>
      <c r="M17" s="18"/>
      <c r="N17" s="31"/>
      <c r="O17"/>
      <c r="P17"/>
      <c r="Q17"/>
      <c r="R17"/>
      <c r="S17"/>
      <c r="T17"/>
      <c r="U17"/>
      <c r="V17"/>
      <c r="W17"/>
      <c r="X17"/>
      <c r="Y17"/>
    </row>
    <row r="18" spans="1:25" ht="15" customHeight="1">
      <c r="A18" s="25"/>
      <c r="B18" s="178" t="s">
        <v>356</v>
      </c>
      <c r="C18" s="178"/>
      <c r="D18" s="178"/>
      <c r="E18" s="178"/>
      <c r="F18" s="178"/>
      <c r="G18" s="178"/>
      <c r="H18" s="178"/>
      <c r="I18" s="178"/>
      <c r="J18" s="178"/>
      <c r="K18" s="178"/>
      <c r="L18" s="231"/>
      <c r="M18" s="18"/>
      <c r="N18" s="31"/>
      <c r="O18"/>
      <c r="P18"/>
      <c r="Q18"/>
      <c r="R18"/>
      <c r="S18"/>
      <c r="T18"/>
      <c r="U18"/>
      <c r="V18"/>
      <c r="W18"/>
      <c r="X18"/>
      <c r="Y18"/>
    </row>
    <row r="19" spans="1:25" ht="15" customHeight="1">
      <c r="A19" s="25"/>
      <c r="B19" s="178" t="s">
        <v>357</v>
      </c>
      <c r="C19" s="178"/>
      <c r="D19" s="178"/>
      <c r="E19" s="178"/>
      <c r="F19" s="178"/>
      <c r="G19" s="178"/>
      <c r="H19" s="178"/>
      <c r="I19" s="178"/>
      <c r="J19" s="178"/>
      <c r="K19" s="178"/>
      <c r="L19" s="231"/>
      <c r="M19" s="18"/>
      <c r="N19" s="31"/>
      <c r="O19"/>
      <c r="P19"/>
      <c r="Q19"/>
      <c r="R19"/>
      <c r="S19"/>
      <c r="T19"/>
      <c r="U19"/>
      <c r="V19"/>
      <c r="W19"/>
      <c r="X19"/>
      <c r="Y19"/>
    </row>
    <row r="20" spans="1:25" ht="15" customHeight="1">
      <c r="A20" s="25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231"/>
      <c r="M20" s="18"/>
      <c r="N20" s="31"/>
      <c r="O20"/>
      <c r="P20"/>
      <c r="Q20"/>
      <c r="R20"/>
      <c r="S20"/>
      <c r="T20"/>
      <c r="U20"/>
      <c r="V20"/>
      <c r="W20"/>
      <c r="X20"/>
      <c r="Y20"/>
    </row>
    <row r="21" spans="1:25" ht="15" customHeight="1">
      <c r="A21" s="25"/>
      <c r="B21" s="247" t="s">
        <v>358</v>
      </c>
      <c r="C21" s="262"/>
      <c r="D21" s="262"/>
      <c r="E21" s="262"/>
      <c r="F21" s="262"/>
      <c r="G21" s="262"/>
      <c r="H21" s="262"/>
      <c r="I21" s="262"/>
      <c r="J21" s="262"/>
      <c r="K21" s="248"/>
      <c r="L21" s="231"/>
      <c r="M21" s="18"/>
      <c r="N21" s="31"/>
      <c r="O21"/>
      <c r="P21"/>
      <c r="Q21"/>
      <c r="R21"/>
      <c r="S21"/>
      <c r="T21"/>
      <c r="U21"/>
      <c r="V21"/>
      <c r="W21"/>
      <c r="X21"/>
      <c r="Y21"/>
    </row>
    <row r="22" spans="1:25" ht="15" customHeight="1">
      <c r="A22" s="25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231"/>
      <c r="M22" s="18"/>
      <c r="N22" s="31"/>
      <c r="O22"/>
      <c r="P22"/>
      <c r="Q22"/>
      <c r="R22"/>
      <c r="S22"/>
      <c r="T22"/>
      <c r="U22"/>
      <c r="V22"/>
      <c r="W22"/>
      <c r="X22"/>
      <c r="Y22"/>
    </row>
    <row r="23" spans="1:25" ht="15" customHeight="1">
      <c r="A23" s="25"/>
      <c r="B23" s="229" t="s">
        <v>359</v>
      </c>
      <c r="C23" s="230"/>
      <c r="D23" s="230"/>
      <c r="E23" s="230"/>
      <c r="F23" s="230"/>
      <c r="G23" s="230"/>
      <c r="H23" s="230"/>
      <c r="I23" s="178"/>
      <c r="J23" s="178"/>
      <c r="K23" s="178"/>
      <c r="L23" s="231"/>
      <c r="M23" s="18"/>
      <c r="N23" s="31"/>
      <c r="O23"/>
      <c r="P23"/>
      <c r="Q23"/>
      <c r="R23"/>
      <c r="S23"/>
      <c r="T23"/>
      <c r="U23"/>
      <c r="V23"/>
      <c r="W23"/>
      <c r="X23"/>
      <c r="Y23"/>
    </row>
    <row r="24" spans="1:25" ht="15" customHeight="1" thickBot="1">
      <c r="A24" s="25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231"/>
      <c r="M24" s="18"/>
      <c r="N24" s="31"/>
      <c r="O24"/>
      <c r="P24"/>
      <c r="Q24"/>
      <c r="R24"/>
      <c r="S24"/>
      <c r="T24"/>
      <c r="U24"/>
      <c r="V24"/>
      <c r="W24"/>
      <c r="X24"/>
      <c r="Y24"/>
    </row>
    <row r="25" spans="1:25" ht="15" customHeight="1">
      <c r="A25" s="25"/>
      <c r="B25" s="326"/>
      <c r="C25" s="326"/>
      <c r="D25" s="341"/>
      <c r="E25" s="342"/>
      <c r="F25" s="342"/>
      <c r="G25" s="342"/>
      <c r="H25" s="342"/>
      <c r="I25" s="342"/>
      <c r="J25" s="343"/>
      <c r="K25" s="231"/>
      <c r="L25" s="231"/>
      <c r="M25" s="18"/>
      <c r="N25" s="31"/>
      <c r="O25"/>
      <c r="P25"/>
      <c r="Q25"/>
      <c r="R25"/>
      <c r="S25"/>
      <c r="T25"/>
      <c r="U25"/>
      <c r="V25"/>
      <c r="W25"/>
      <c r="X25"/>
      <c r="Y25"/>
    </row>
    <row r="26" spans="1:25" ht="15" customHeight="1">
      <c r="A26" s="25"/>
      <c r="B26" s="178"/>
      <c r="C26" s="178"/>
      <c r="D26" s="344"/>
      <c r="E26" s="180"/>
      <c r="F26" s="180"/>
      <c r="G26" s="180"/>
      <c r="H26" s="180"/>
      <c r="I26" s="180"/>
      <c r="J26" s="345"/>
      <c r="K26" s="231"/>
      <c r="L26" s="231"/>
      <c r="M26" s="18"/>
      <c r="N26" s="31"/>
      <c r="O26"/>
      <c r="P26"/>
      <c r="Q26"/>
      <c r="R26"/>
      <c r="S26"/>
      <c r="T26"/>
      <c r="U26"/>
      <c r="V26"/>
      <c r="W26"/>
      <c r="X26"/>
      <c r="Y26"/>
    </row>
    <row r="27" spans="1:25" ht="15" customHeight="1">
      <c r="A27" s="25"/>
      <c r="B27" s="327"/>
      <c r="C27" s="327" t="s">
        <v>360</v>
      </c>
      <c r="D27" s="344"/>
      <c r="E27" s="238"/>
      <c r="F27" s="180"/>
      <c r="G27" s="180"/>
      <c r="H27" s="180"/>
      <c r="I27" s="180"/>
      <c r="J27" s="345"/>
      <c r="K27" s="328">
        <v>100</v>
      </c>
      <c r="L27" s="231"/>
      <c r="M27" s="18"/>
      <c r="N27" s="31"/>
      <c r="O27"/>
      <c r="P27"/>
      <c r="Q27"/>
      <c r="R27"/>
      <c r="S27"/>
      <c r="T27"/>
      <c r="U27"/>
      <c r="V27"/>
      <c r="W27"/>
      <c r="X27"/>
      <c r="Y27"/>
    </row>
    <row r="28" spans="1:25" ht="15" customHeight="1">
      <c r="A28" s="25"/>
      <c r="B28" s="178"/>
      <c r="C28" s="178"/>
      <c r="D28" s="344"/>
      <c r="E28" s="241"/>
      <c r="F28" s="180"/>
      <c r="G28" s="180"/>
      <c r="H28" s="180"/>
      <c r="I28" s="180"/>
      <c r="J28" s="345"/>
      <c r="K28" s="328"/>
      <c r="L28" s="231"/>
      <c r="M28" s="18"/>
      <c r="N28" s="31"/>
      <c r="O28"/>
      <c r="P28"/>
      <c r="Q28"/>
      <c r="R28"/>
      <c r="S28"/>
      <c r="T28"/>
      <c r="U28"/>
      <c r="V28"/>
      <c r="W28"/>
      <c r="X28"/>
      <c r="Y28"/>
    </row>
    <row r="29" spans="1:25" ht="15" customHeight="1">
      <c r="A29" s="25"/>
      <c r="B29" s="178"/>
      <c r="C29" s="329" t="s">
        <v>361</v>
      </c>
      <c r="D29" s="344"/>
      <c r="E29" s="241"/>
      <c r="F29" s="180"/>
      <c r="G29" s="180"/>
      <c r="H29" s="180"/>
      <c r="I29" s="180"/>
      <c r="J29" s="345"/>
      <c r="K29" s="330" t="s">
        <v>206</v>
      </c>
      <c r="L29" s="329"/>
      <c r="M29" s="18"/>
      <c r="N29" s="31"/>
      <c r="O29"/>
      <c r="P29"/>
      <c r="Q29"/>
      <c r="R29"/>
      <c r="S29"/>
      <c r="T29"/>
      <c r="U29"/>
      <c r="V29"/>
      <c r="W29"/>
      <c r="X29"/>
      <c r="Y29"/>
    </row>
    <row r="30" spans="1:25" ht="15" customHeight="1">
      <c r="A30" s="25"/>
      <c r="B30" s="178"/>
      <c r="C30" s="178"/>
      <c r="D30" s="344"/>
      <c r="E30" s="241"/>
      <c r="F30" s="180"/>
      <c r="G30" s="180"/>
      <c r="H30" s="180"/>
      <c r="I30" s="180"/>
      <c r="J30" s="345"/>
      <c r="K30" s="328"/>
      <c r="L30" s="231"/>
      <c r="M30" s="18"/>
      <c r="N30" s="31"/>
      <c r="O30"/>
      <c r="P30"/>
      <c r="Q30"/>
      <c r="R30"/>
      <c r="S30"/>
      <c r="T30"/>
      <c r="U30"/>
      <c r="V30"/>
      <c r="W30"/>
      <c r="X30"/>
      <c r="Y30"/>
    </row>
    <row r="31" spans="1:25" ht="15" customHeight="1">
      <c r="A31" s="25"/>
      <c r="B31" s="327"/>
      <c r="C31" s="327" t="s">
        <v>362</v>
      </c>
      <c r="D31" s="344"/>
      <c r="E31" s="241"/>
      <c r="F31" s="180"/>
      <c r="G31" s="238"/>
      <c r="H31" s="180"/>
      <c r="I31" s="331" t="s">
        <v>363</v>
      </c>
      <c r="J31" s="345"/>
      <c r="K31" s="328">
        <v>50</v>
      </c>
      <c r="L31" s="231"/>
      <c r="M31" s="18"/>
      <c r="N31" s="31"/>
      <c r="O31"/>
      <c r="P31"/>
      <c r="Q31"/>
      <c r="R31"/>
      <c r="S31"/>
      <c r="T31"/>
      <c r="U31"/>
      <c r="V31"/>
      <c r="W31"/>
      <c r="X31"/>
      <c r="Y31"/>
    </row>
    <row r="32" spans="1:25" ht="15" customHeight="1">
      <c r="A32" s="25"/>
      <c r="B32" s="178"/>
      <c r="C32" s="178"/>
      <c r="D32" s="344"/>
      <c r="E32" s="241"/>
      <c r="F32" s="180"/>
      <c r="G32" s="332" t="s">
        <v>363</v>
      </c>
      <c r="H32" s="180"/>
      <c r="I32" s="180"/>
      <c r="J32" s="345"/>
      <c r="K32" s="328"/>
      <c r="L32" s="231"/>
      <c r="M32" s="18"/>
      <c r="N32" s="31"/>
      <c r="O32"/>
      <c r="P32"/>
      <c r="Q32"/>
      <c r="R32"/>
      <c r="S32"/>
      <c r="T32"/>
      <c r="U32"/>
      <c r="V32"/>
      <c r="W32"/>
      <c r="X32"/>
      <c r="Y32"/>
    </row>
    <row r="33" spans="1:25" ht="15" customHeight="1">
      <c r="A33" s="25"/>
      <c r="B33" s="178"/>
      <c r="C33" s="178"/>
      <c r="D33" s="344"/>
      <c r="E33" s="332" t="s">
        <v>363</v>
      </c>
      <c r="F33" s="180"/>
      <c r="G33" s="241"/>
      <c r="H33" s="180"/>
      <c r="I33" s="238"/>
      <c r="J33" s="345"/>
      <c r="K33" s="328"/>
      <c r="L33" s="231"/>
      <c r="M33" s="18"/>
      <c r="N33" s="31"/>
      <c r="O33"/>
      <c r="P33"/>
      <c r="Q33"/>
      <c r="R33"/>
      <c r="S33"/>
      <c r="T33"/>
      <c r="U33"/>
      <c r="V33"/>
      <c r="W33"/>
      <c r="X33"/>
      <c r="Y33"/>
    </row>
    <row r="34" spans="1:25" ht="15" customHeight="1">
      <c r="A34" s="25"/>
      <c r="B34" s="178"/>
      <c r="C34" s="178"/>
      <c r="D34" s="344"/>
      <c r="E34" s="241"/>
      <c r="F34" s="180"/>
      <c r="G34" s="241"/>
      <c r="H34" s="180"/>
      <c r="I34" s="241"/>
      <c r="J34" s="345"/>
      <c r="K34" s="328"/>
      <c r="L34" s="231"/>
      <c r="M34" s="18"/>
      <c r="N34" s="31"/>
      <c r="O34"/>
      <c r="P34"/>
      <c r="Q34"/>
      <c r="R34"/>
      <c r="S34"/>
      <c r="T34"/>
      <c r="U34"/>
      <c r="V34"/>
      <c r="W34"/>
      <c r="X34"/>
      <c r="Y34"/>
    </row>
    <row r="35" spans="1:25" ht="15" customHeight="1" thickBot="1">
      <c r="A35" s="25"/>
      <c r="B35" s="327"/>
      <c r="C35" s="327" t="s">
        <v>364</v>
      </c>
      <c r="D35" s="346"/>
      <c r="E35" s="347"/>
      <c r="F35" s="348"/>
      <c r="G35" s="347"/>
      <c r="H35" s="348"/>
      <c r="I35" s="347"/>
      <c r="J35" s="349"/>
      <c r="K35" s="328">
        <v>0</v>
      </c>
      <c r="L35" s="231"/>
      <c r="M35" s="18"/>
      <c r="N35" s="31"/>
      <c r="O35"/>
      <c r="P35"/>
      <c r="Q35"/>
      <c r="R35"/>
      <c r="S35"/>
      <c r="T35"/>
      <c r="U35"/>
      <c r="V35"/>
      <c r="W35"/>
      <c r="X35"/>
      <c r="Y35"/>
    </row>
    <row r="36" spans="1:25" ht="15" customHeight="1">
      <c r="A36" s="25"/>
      <c r="B36" s="178"/>
      <c r="C36" s="178"/>
      <c r="D36" s="311"/>
      <c r="E36" s="311" t="s">
        <v>365</v>
      </c>
      <c r="F36" s="311"/>
      <c r="G36" s="311" t="s">
        <v>366</v>
      </c>
      <c r="H36" s="311"/>
      <c r="I36" s="311" t="s">
        <v>367</v>
      </c>
      <c r="J36" s="178"/>
      <c r="K36" s="178"/>
      <c r="L36" s="231"/>
      <c r="M36" s="18"/>
      <c r="N36" s="31"/>
      <c r="O36"/>
      <c r="P36"/>
      <c r="Q36"/>
      <c r="R36"/>
      <c r="S36"/>
      <c r="T36"/>
      <c r="U36"/>
      <c r="V36"/>
      <c r="W36"/>
      <c r="X36"/>
      <c r="Y36"/>
    </row>
    <row r="37" spans="1:25" ht="15" customHeight="1">
      <c r="A37" s="25"/>
      <c r="B37" s="178"/>
      <c r="C37" s="178"/>
      <c r="D37" s="178"/>
      <c r="E37" s="178"/>
      <c r="F37" s="229"/>
      <c r="G37" s="333" t="s">
        <v>368</v>
      </c>
      <c r="H37" s="178"/>
      <c r="I37" s="178"/>
      <c r="J37" s="178"/>
      <c r="K37" s="178"/>
      <c r="L37" s="231"/>
      <c r="M37" s="18"/>
      <c r="N37" s="31"/>
      <c r="O37"/>
      <c r="P37"/>
      <c r="Q37"/>
      <c r="R37"/>
      <c r="S37"/>
      <c r="T37"/>
      <c r="U37"/>
      <c r="V37"/>
      <c r="W37"/>
      <c r="X37"/>
      <c r="Y37"/>
    </row>
    <row r="38" spans="1:25" ht="15" customHeight="1">
      <c r="A38" s="25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231"/>
      <c r="M38" s="18"/>
      <c r="N38" s="31"/>
      <c r="O38"/>
      <c r="P38"/>
      <c r="Q38"/>
      <c r="R38"/>
      <c r="S38"/>
      <c r="T38"/>
      <c r="U38"/>
      <c r="V38"/>
      <c r="W38"/>
      <c r="X38"/>
      <c r="Y38"/>
    </row>
    <row r="39" spans="1:25" ht="15" customHeight="1">
      <c r="A39" s="25"/>
      <c r="B39" s="178"/>
      <c r="C39" s="178"/>
      <c r="D39" s="178"/>
      <c r="E39" s="334"/>
      <c r="F39" s="335"/>
      <c r="G39" s="336" t="s">
        <v>363</v>
      </c>
      <c r="H39" s="337"/>
      <c r="I39" s="337"/>
      <c r="J39" s="338"/>
      <c r="K39" s="337"/>
      <c r="L39" s="231"/>
      <c r="M39" s="18"/>
      <c r="N39" s="31"/>
      <c r="O39"/>
      <c r="P39"/>
      <c r="Q39"/>
      <c r="R39"/>
      <c r="S39"/>
      <c r="T39"/>
      <c r="U39"/>
      <c r="V39"/>
      <c r="W39"/>
      <c r="X39"/>
      <c r="Y39"/>
    </row>
    <row r="40" spans="1:25" ht="15" customHeight="1">
      <c r="A40" s="25"/>
      <c r="B40" s="231"/>
      <c r="C40" s="231"/>
      <c r="D40" s="178"/>
      <c r="E40" s="330" t="s">
        <v>369</v>
      </c>
      <c r="F40" s="337"/>
      <c r="G40" s="337" t="s">
        <v>370</v>
      </c>
      <c r="H40" s="337"/>
      <c r="I40" s="337"/>
      <c r="J40" s="339" t="s">
        <v>371</v>
      </c>
      <c r="K40" s="337"/>
      <c r="L40" s="231"/>
      <c r="M40" s="18"/>
      <c r="N40" s="31"/>
      <c r="O40"/>
      <c r="P40"/>
      <c r="Q40"/>
      <c r="R40"/>
      <c r="S40"/>
      <c r="T40"/>
      <c r="U40"/>
      <c r="V40"/>
      <c r="W40"/>
      <c r="X40"/>
      <c r="Y40"/>
    </row>
    <row r="41" spans="1:25" ht="15" customHeight="1">
      <c r="A41" s="25"/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18"/>
      <c r="N41" s="31"/>
      <c r="O41"/>
      <c r="P41"/>
      <c r="Q41"/>
      <c r="R41"/>
      <c r="S41"/>
      <c r="T41"/>
      <c r="U41"/>
      <c r="V41"/>
      <c r="W41"/>
      <c r="X41"/>
      <c r="Y41"/>
    </row>
    <row r="42" spans="1:25" ht="15" customHeight="1">
      <c r="A42" s="25"/>
      <c r="B42" s="229" t="s">
        <v>372</v>
      </c>
      <c r="C42" s="230"/>
      <c r="D42" s="230"/>
      <c r="E42" s="230"/>
      <c r="F42" s="230"/>
      <c r="G42" s="230"/>
      <c r="H42" s="230"/>
      <c r="I42" s="178"/>
      <c r="J42" s="178"/>
      <c r="K42" s="178"/>
      <c r="L42" s="230"/>
      <c r="M42" s="18"/>
      <c r="N42" s="31"/>
      <c r="O42"/>
      <c r="P42"/>
      <c r="Q42"/>
      <c r="R42"/>
      <c r="S42"/>
      <c r="T42"/>
      <c r="U42"/>
      <c r="V42"/>
      <c r="W42"/>
      <c r="X42"/>
      <c r="Y42"/>
    </row>
    <row r="43" spans="1:25" ht="15" customHeight="1" thickBot="1">
      <c r="A43" s="25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230"/>
      <c r="M43" s="18"/>
      <c r="N43" s="31"/>
      <c r="O43"/>
      <c r="P43"/>
      <c r="Q43"/>
      <c r="R43"/>
      <c r="S43"/>
      <c r="T43"/>
      <c r="U43"/>
      <c r="V43"/>
      <c r="W43"/>
      <c r="X43"/>
      <c r="Y43"/>
    </row>
    <row r="44" spans="1:25" ht="15" customHeight="1">
      <c r="A44" s="25"/>
      <c r="B44" s="326"/>
      <c r="C44" s="326"/>
      <c r="D44" s="341"/>
      <c r="E44" s="342"/>
      <c r="F44" s="342"/>
      <c r="G44" s="342"/>
      <c r="H44" s="342"/>
      <c r="I44" s="342"/>
      <c r="J44" s="343"/>
      <c r="K44" s="231"/>
      <c r="L44" s="230"/>
      <c r="M44" s="18"/>
      <c r="N44" s="31"/>
      <c r="O44"/>
      <c r="P44"/>
      <c r="Q44"/>
      <c r="R44"/>
      <c r="S44"/>
      <c r="T44"/>
      <c r="U44"/>
      <c r="V44"/>
      <c r="W44"/>
      <c r="X44"/>
      <c r="Y44"/>
    </row>
    <row r="45" spans="1:25" ht="15" customHeight="1">
      <c r="A45" s="25"/>
      <c r="B45" s="178"/>
      <c r="C45" s="178"/>
      <c r="D45" s="344"/>
      <c r="E45" s="180"/>
      <c r="F45" s="180"/>
      <c r="G45" s="180"/>
      <c r="H45" s="180"/>
      <c r="I45" s="180"/>
      <c r="J45" s="345"/>
      <c r="K45" s="231"/>
      <c r="L45" s="230"/>
      <c r="M45" s="18"/>
      <c r="N45" s="31"/>
      <c r="O45"/>
      <c r="P45"/>
      <c r="Q45"/>
      <c r="R45"/>
      <c r="S45"/>
      <c r="T45"/>
      <c r="U45"/>
      <c r="V45"/>
      <c r="W45"/>
      <c r="X45"/>
      <c r="Y45"/>
    </row>
    <row r="46" spans="1:25" ht="15" customHeight="1">
      <c r="A46" s="25"/>
      <c r="B46" s="327"/>
      <c r="C46" s="327" t="s">
        <v>360</v>
      </c>
      <c r="D46" s="344"/>
      <c r="E46" s="238"/>
      <c r="F46" s="180"/>
      <c r="G46" s="180"/>
      <c r="H46" s="180"/>
      <c r="I46" s="180"/>
      <c r="J46" s="345"/>
      <c r="K46" s="328">
        <v>800</v>
      </c>
      <c r="L46" s="230"/>
      <c r="M46" s="18"/>
      <c r="N46" s="31"/>
      <c r="O46"/>
      <c r="P46"/>
      <c r="Q46"/>
      <c r="R46"/>
      <c r="S46"/>
      <c r="T46"/>
      <c r="U46"/>
      <c r="V46"/>
      <c r="W46"/>
      <c r="X46"/>
      <c r="Y46"/>
    </row>
    <row r="47" spans="1:25" ht="15" customHeight="1">
      <c r="A47" s="25"/>
      <c r="B47" s="178"/>
      <c r="C47" s="178"/>
      <c r="D47" s="344"/>
      <c r="E47" s="241"/>
      <c r="F47" s="180"/>
      <c r="G47" s="180"/>
      <c r="H47" s="180"/>
      <c r="I47" s="331" t="s">
        <v>363</v>
      </c>
      <c r="J47" s="345"/>
      <c r="K47" s="328"/>
      <c r="L47" s="230"/>
      <c r="M47" s="18"/>
      <c r="N47" s="31"/>
      <c r="O47"/>
      <c r="P47"/>
      <c r="Q47"/>
      <c r="R47"/>
      <c r="S47"/>
      <c r="T47"/>
      <c r="U47"/>
      <c r="V47"/>
      <c r="W47"/>
      <c r="X47"/>
      <c r="Y47"/>
    </row>
    <row r="48" spans="1:25" ht="15" customHeight="1">
      <c r="A48" s="25"/>
      <c r="B48" s="178"/>
      <c r="C48" s="329" t="s">
        <v>361</v>
      </c>
      <c r="D48" s="344"/>
      <c r="E48" s="241"/>
      <c r="F48" s="180"/>
      <c r="G48" s="180"/>
      <c r="H48" s="180"/>
      <c r="I48" s="180"/>
      <c r="J48" s="345"/>
      <c r="K48" s="330" t="s">
        <v>206</v>
      </c>
      <c r="L48" s="230"/>
      <c r="M48" s="18"/>
      <c r="N48" s="31"/>
      <c r="O48"/>
      <c r="P48"/>
      <c r="Q48"/>
      <c r="R48"/>
      <c r="S48"/>
      <c r="T48"/>
      <c r="U48"/>
      <c r="V48"/>
      <c r="W48"/>
      <c r="X48"/>
      <c r="Y48"/>
    </row>
    <row r="49" spans="1:25" ht="15" customHeight="1">
      <c r="A49" s="25"/>
      <c r="B49" s="178"/>
      <c r="C49" s="178"/>
      <c r="D49" s="344"/>
      <c r="E49" s="241"/>
      <c r="F49" s="180"/>
      <c r="G49" s="180"/>
      <c r="H49" s="180"/>
      <c r="I49" s="180"/>
      <c r="J49" s="345"/>
      <c r="K49" s="328"/>
      <c r="L49" s="230"/>
      <c r="M49" s="18"/>
      <c r="N49" s="31"/>
      <c r="O49"/>
      <c r="P49"/>
      <c r="Q49"/>
      <c r="R49"/>
      <c r="S49"/>
      <c r="T49"/>
      <c r="U49"/>
      <c r="V49"/>
      <c r="W49"/>
      <c r="X49"/>
      <c r="Y49"/>
    </row>
    <row r="50" spans="1:25" ht="15" customHeight="1">
      <c r="A50" s="25"/>
      <c r="B50" s="327"/>
      <c r="C50" s="327" t="s">
        <v>362</v>
      </c>
      <c r="D50" s="344"/>
      <c r="E50" s="241"/>
      <c r="F50" s="180"/>
      <c r="G50" s="340" t="s">
        <v>363</v>
      </c>
      <c r="H50" s="180"/>
      <c r="I50" s="331"/>
      <c r="J50" s="345"/>
      <c r="K50" s="328">
        <v>400</v>
      </c>
      <c r="L50" s="230"/>
      <c r="M50" s="18"/>
      <c r="N50" s="31"/>
      <c r="O50"/>
      <c r="P50"/>
      <c r="Q50"/>
      <c r="R50"/>
      <c r="S50"/>
      <c r="T50"/>
      <c r="U50"/>
      <c r="V50"/>
      <c r="W50"/>
      <c r="X50"/>
      <c r="Y50"/>
    </row>
    <row r="51" spans="1:25" ht="15" customHeight="1">
      <c r="A51" s="25"/>
      <c r="B51" s="178"/>
      <c r="C51" s="178"/>
      <c r="D51" s="344"/>
      <c r="E51" s="241"/>
      <c r="F51" s="180"/>
      <c r="G51" s="332"/>
      <c r="H51" s="180"/>
      <c r="I51" s="180"/>
      <c r="J51" s="345"/>
      <c r="K51" s="328"/>
      <c r="L51" s="230"/>
      <c r="M51" s="18"/>
      <c r="N51" s="31"/>
      <c r="O51"/>
      <c r="P51"/>
      <c r="Q51"/>
      <c r="R51"/>
      <c r="S51"/>
      <c r="T51"/>
      <c r="U51"/>
      <c r="V51"/>
      <c r="W51"/>
      <c r="X51"/>
      <c r="Y51"/>
    </row>
    <row r="52" spans="1:25" ht="15" customHeight="1">
      <c r="A52" s="25"/>
      <c r="B52" s="178"/>
      <c r="C52" s="178"/>
      <c r="D52" s="344"/>
      <c r="E52" s="332" t="s">
        <v>363</v>
      </c>
      <c r="F52" s="180"/>
      <c r="G52" s="241"/>
      <c r="H52" s="180"/>
      <c r="I52" s="238"/>
      <c r="J52" s="345"/>
      <c r="K52" s="328"/>
      <c r="L52" s="230"/>
      <c r="M52" s="18"/>
      <c r="N52" s="31"/>
      <c r="O52"/>
      <c r="P52"/>
      <c r="Q52"/>
      <c r="R52"/>
      <c r="S52"/>
      <c r="T52"/>
      <c r="U52"/>
      <c r="V52"/>
      <c r="W52"/>
      <c r="X52"/>
      <c r="Y52"/>
    </row>
    <row r="53" spans="1:25" ht="15" customHeight="1">
      <c r="A53" s="25"/>
      <c r="B53" s="178"/>
      <c r="C53" s="178"/>
      <c r="D53" s="344"/>
      <c r="E53" s="241"/>
      <c r="F53" s="180"/>
      <c r="G53" s="241"/>
      <c r="H53" s="180"/>
      <c r="I53" s="241"/>
      <c r="J53" s="345"/>
      <c r="K53" s="328"/>
      <c r="L53" s="230"/>
      <c r="M53" s="18"/>
      <c r="N53" s="31"/>
      <c r="O53"/>
      <c r="P53"/>
      <c r="Q53"/>
      <c r="R53"/>
      <c r="S53"/>
      <c r="T53"/>
      <c r="U53"/>
      <c r="V53"/>
      <c r="W53"/>
      <c r="X53"/>
      <c r="Y53"/>
    </row>
    <row r="54" spans="1:25" ht="15" customHeight="1" thickBot="1">
      <c r="A54" s="25"/>
      <c r="B54" s="327"/>
      <c r="C54" s="327" t="s">
        <v>364</v>
      </c>
      <c r="D54" s="346"/>
      <c r="E54" s="347"/>
      <c r="F54" s="348"/>
      <c r="G54" s="347"/>
      <c r="H54" s="348"/>
      <c r="I54" s="347"/>
      <c r="J54" s="349"/>
      <c r="K54" s="328">
        <v>0</v>
      </c>
      <c r="L54" s="230"/>
      <c r="M54" s="18"/>
      <c r="N54" s="31"/>
      <c r="O54"/>
      <c r="P54"/>
      <c r="Q54"/>
      <c r="R54"/>
      <c r="S54"/>
      <c r="T54"/>
      <c r="U54"/>
      <c r="V54"/>
      <c r="W54"/>
      <c r="X54"/>
      <c r="Y54"/>
    </row>
    <row r="55" spans="1:25" ht="15" customHeight="1">
      <c r="A55" s="25"/>
      <c r="B55" s="178"/>
      <c r="C55" s="178"/>
      <c r="D55" s="311"/>
      <c r="E55" s="311" t="s">
        <v>365</v>
      </c>
      <c r="F55" s="311"/>
      <c r="G55" s="311" t="s">
        <v>366</v>
      </c>
      <c r="H55" s="311"/>
      <c r="I55" s="311" t="s">
        <v>367</v>
      </c>
      <c r="J55" s="178"/>
      <c r="K55" s="178"/>
      <c r="L55" s="230"/>
      <c r="M55" s="18"/>
      <c r="N55" s="31"/>
      <c r="O55"/>
      <c r="P55"/>
      <c r="Q55"/>
      <c r="R55"/>
      <c r="S55"/>
      <c r="T55"/>
      <c r="U55"/>
      <c r="V55"/>
      <c r="W55"/>
      <c r="X55"/>
      <c r="Y55"/>
    </row>
    <row r="56" spans="1:25" ht="15" customHeight="1">
      <c r="A56" s="25"/>
      <c r="B56" s="178"/>
      <c r="C56" s="178"/>
      <c r="D56" s="178"/>
      <c r="E56" s="178"/>
      <c r="F56" s="229"/>
      <c r="G56" s="333" t="s">
        <v>368</v>
      </c>
      <c r="H56" s="178"/>
      <c r="I56" s="178"/>
      <c r="J56" s="178"/>
      <c r="K56" s="178"/>
      <c r="L56" s="230"/>
      <c r="M56" s="18"/>
      <c r="N56" s="31"/>
      <c r="O56"/>
      <c r="P56"/>
      <c r="Q56"/>
      <c r="R56"/>
      <c r="S56"/>
      <c r="T56"/>
      <c r="U56"/>
      <c r="V56"/>
      <c r="W56"/>
      <c r="X56"/>
      <c r="Y56"/>
    </row>
    <row r="57" spans="1:25" ht="15" customHeight="1">
      <c r="A57" s="25"/>
      <c r="B57" s="178"/>
      <c r="C57" s="178"/>
      <c r="D57" s="154"/>
      <c r="E57" s="178"/>
      <c r="F57" s="178"/>
      <c r="G57" s="178"/>
      <c r="H57" s="178"/>
      <c r="I57" s="178"/>
      <c r="J57" s="178"/>
      <c r="K57" s="178"/>
      <c r="L57" s="178"/>
      <c r="M57" s="18"/>
      <c r="N57" s="31"/>
      <c r="O57"/>
      <c r="P57"/>
      <c r="Q57"/>
      <c r="R57"/>
      <c r="S57"/>
      <c r="T57"/>
      <c r="U57"/>
      <c r="V57"/>
      <c r="W57"/>
      <c r="X57"/>
      <c r="Y57"/>
    </row>
    <row r="58" spans="1:25" ht="15" customHeight="1">
      <c r="A58" s="25"/>
      <c r="B58" s="178"/>
      <c r="C58" s="178"/>
      <c r="D58" s="154"/>
      <c r="E58" s="334"/>
      <c r="F58" s="335"/>
      <c r="G58" s="336" t="s">
        <v>363</v>
      </c>
      <c r="H58" s="337"/>
      <c r="I58" s="337"/>
      <c r="J58" s="338"/>
      <c r="K58" s="337"/>
      <c r="L58" s="178"/>
      <c r="M58" s="18"/>
      <c r="N58" s="31"/>
      <c r="O58"/>
      <c r="P58"/>
      <c r="Q58"/>
      <c r="R58"/>
      <c r="S58"/>
      <c r="T58"/>
      <c r="U58"/>
      <c r="V58"/>
      <c r="W58"/>
      <c r="X58"/>
      <c r="Y58"/>
    </row>
    <row r="59" spans="1:25" ht="15" customHeight="1">
      <c r="A59" s="25"/>
      <c r="B59" s="231"/>
      <c r="C59" s="231"/>
      <c r="D59" s="154"/>
      <c r="E59" s="330" t="s">
        <v>369</v>
      </c>
      <c r="F59" s="337"/>
      <c r="G59" s="337" t="s">
        <v>370</v>
      </c>
      <c r="H59" s="337"/>
      <c r="I59" s="337"/>
      <c r="J59" s="339" t="s">
        <v>371</v>
      </c>
      <c r="K59" s="337"/>
      <c r="L59" s="231"/>
      <c r="M59" s="18"/>
      <c r="N59" s="31"/>
      <c r="O59"/>
      <c r="P59"/>
      <c r="Q59"/>
      <c r="R59"/>
      <c r="S59"/>
      <c r="T59"/>
      <c r="U59"/>
      <c r="V59"/>
      <c r="W59"/>
      <c r="X59"/>
      <c r="Y59"/>
    </row>
    <row r="60" spans="1:25" ht="15" customHeight="1">
      <c r="A60" s="25"/>
      <c r="B60" s="17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  <c r="N60" s="31"/>
      <c r="O60"/>
      <c r="P60"/>
      <c r="Q60"/>
      <c r="R60"/>
      <c r="S60"/>
      <c r="T60"/>
      <c r="U60"/>
      <c r="V60"/>
      <c r="W60"/>
      <c r="X60"/>
      <c r="Y60"/>
    </row>
    <row r="61" spans="1:25" ht="15" customHeight="1">
      <c r="A61" s="25"/>
      <c r="B61" s="1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18"/>
      <c r="N61" s="31"/>
      <c r="O61"/>
      <c r="P61"/>
      <c r="Q61"/>
      <c r="R61"/>
      <c r="S61"/>
      <c r="T61"/>
      <c r="U61"/>
      <c r="V61"/>
      <c r="W61"/>
      <c r="X61"/>
      <c r="Y61"/>
    </row>
    <row r="62" spans="1:25" ht="15" customHeight="1">
      <c r="A62" s="25"/>
      <c r="B62" s="17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18"/>
      <c r="N62" s="31"/>
      <c r="O62"/>
      <c r="P62"/>
      <c r="Q62"/>
      <c r="R62"/>
      <c r="S62"/>
      <c r="T62"/>
      <c r="U62"/>
      <c r="V62"/>
      <c r="W62"/>
      <c r="X62"/>
      <c r="Y62"/>
    </row>
    <row r="63" spans="1:25" ht="15" customHeight="1">
      <c r="A63" s="25"/>
      <c r="B63" s="1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18"/>
      <c r="N63" s="31"/>
      <c r="O63"/>
      <c r="P63"/>
      <c r="Q63"/>
      <c r="R63"/>
      <c r="S63"/>
      <c r="T63"/>
      <c r="U63"/>
      <c r="V63"/>
      <c r="W63"/>
      <c r="X63"/>
      <c r="Y63"/>
    </row>
    <row r="64" spans="1:25" ht="15" customHeight="1">
      <c r="A64" s="25"/>
      <c r="B64" s="17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18"/>
      <c r="N64" s="31"/>
      <c r="O64"/>
      <c r="P64"/>
      <c r="Q64"/>
      <c r="R64"/>
      <c r="S64"/>
      <c r="T64"/>
      <c r="U64"/>
      <c r="V64"/>
      <c r="W64"/>
      <c r="X64"/>
      <c r="Y64"/>
    </row>
    <row r="65" spans="1:25" ht="15" customHeight="1">
      <c r="A65" s="25"/>
      <c r="B65" s="17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18"/>
      <c r="N65" s="31"/>
      <c r="O65"/>
      <c r="P65"/>
      <c r="Q65"/>
      <c r="R65"/>
      <c r="S65"/>
      <c r="T65"/>
      <c r="U65"/>
      <c r="V65"/>
      <c r="W65"/>
      <c r="X65"/>
      <c r="Y65"/>
    </row>
    <row r="66" spans="1:25" ht="15" customHeight="1">
      <c r="A66" s="25"/>
      <c r="B66" s="17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18"/>
      <c r="N66" s="31"/>
      <c r="O66"/>
      <c r="P66"/>
      <c r="Q66"/>
      <c r="R66"/>
      <c r="S66"/>
      <c r="T66"/>
      <c r="U66"/>
      <c r="V66"/>
      <c r="W66"/>
      <c r="X66"/>
      <c r="Y66"/>
    </row>
    <row r="67" spans="1:25" ht="15" customHeight="1">
      <c r="A67" s="25"/>
      <c r="B67" s="17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18"/>
      <c r="N67" s="31"/>
      <c r="O67"/>
      <c r="P67"/>
      <c r="Q67"/>
      <c r="R67"/>
      <c r="S67"/>
      <c r="T67"/>
      <c r="U67"/>
      <c r="V67"/>
      <c r="W67"/>
      <c r="X67"/>
      <c r="Y67"/>
    </row>
    <row r="68" spans="1:25" ht="15" customHeight="1">
      <c r="A68" s="25"/>
      <c r="B68" s="17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18"/>
      <c r="N68" s="31"/>
      <c r="O68"/>
      <c r="P68"/>
      <c r="Q68"/>
      <c r="R68"/>
      <c r="S68"/>
      <c r="T68"/>
      <c r="U68"/>
      <c r="V68"/>
      <c r="W68"/>
      <c r="X68"/>
      <c r="Y68"/>
    </row>
    <row r="69" spans="1:25" ht="15" customHeight="1">
      <c r="A69" s="25"/>
      <c r="B69" s="17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18"/>
      <c r="N69" s="31"/>
      <c r="O69"/>
      <c r="P69"/>
      <c r="Q69"/>
      <c r="R69"/>
      <c r="S69"/>
      <c r="T69"/>
      <c r="U69"/>
      <c r="V69"/>
      <c r="W69"/>
      <c r="X69"/>
      <c r="Y69"/>
    </row>
    <row r="70" spans="1:25" ht="15" customHeight="1">
      <c r="A70" s="25"/>
      <c r="B70" s="17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18"/>
      <c r="N70" s="31"/>
      <c r="O70"/>
      <c r="P70"/>
      <c r="Q70"/>
      <c r="R70"/>
      <c r="S70"/>
      <c r="T70"/>
      <c r="U70"/>
      <c r="V70"/>
      <c r="W70"/>
      <c r="X70"/>
      <c r="Y70"/>
    </row>
    <row r="71" spans="1:25" ht="15" customHeight="1">
      <c r="A71" s="25"/>
      <c r="B71" s="17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18"/>
      <c r="N71" s="31"/>
      <c r="O71"/>
      <c r="P71"/>
      <c r="Q71"/>
      <c r="R71"/>
      <c r="S71"/>
      <c r="T71"/>
      <c r="U71"/>
      <c r="V71"/>
      <c r="W71"/>
      <c r="X71"/>
      <c r="Y71"/>
    </row>
    <row r="72" spans="1:25" ht="15" customHeight="1">
      <c r="A72" s="25"/>
      <c r="B72" s="17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18"/>
      <c r="N72" s="31"/>
      <c r="O72"/>
      <c r="P72"/>
      <c r="Q72"/>
      <c r="R72"/>
      <c r="S72"/>
      <c r="T72"/>
      <c r="U72"/>
      <c r="V72"/>
      <c r="W72"/>
      <c r="X72"/>
      <c r="Y72"/>
    </row>
    <row r="73" spans="1:25" ht="15" customHeight="1">
      <c r="A73" s="25"/>
      <c r="B73" s="17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18"/>
      <c r="N73" s="31"/>
      <c r="O73"/>
      <c r="P73"/>
      <c r="Q73"/>
      <c r="R73"/>
      <c r="S73"/>
      <c r="T73"/>
      <c r="U73"/>
      <c r="V73"/>
      <c r="W73"/>
      <c r="X73"/>
      <c r="Y73"/>
    </row>
    <row r="74" spans="1:25" ht="15" customHeight="1">
      <c r="A74" s="25"/>
      <c r="B74" s="17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18"/>
      <c r="N74" s="31"/>
      <c r="O74"/>
      <c r="P74"/>
      <c r="Q74"/>
      <c r="R74"/>
      <c r="S74"/>
      <c r="T74"/>
      <c r="U74"/>
      <c r="V74"/>
      <c r="W74"/>
      <c r="X74"/>
      <c r="Y74"/>
    </row>
    <row r="75" spans="1:25" ht="15" customHeight="1">
      <c r="A75" s="25"/>
      <c r="B75" s="17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18"/>
      <c r="N75" s="31"/>
      <c r="O75"/>
      <c r="P75"/>
      <c r="Q75"/>
      <c r="R75"/>
      <c r="S75"/>
      <c r="T75"/>
      <c r="U75"/>
      <c r="V75"/>
      <c r="W75"/>
      <c r="X75"/>
      <c r="Y75"/>
    </row>
    <row r="76" spans="1:25" ht="15" customHeight="1">
      <c r="A76" s="25"/>
      <c r="B76" s="17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18"/>
      <c r="N76" s="31"/>
      <c r="O76"/>
      <c r="P76"/>
      <c r="Q76"/>
      <c r="R76"/>
      <c r="S76"/>
      <c r="T76"/>
      <c r="U76"/>
      <c r="V76"/>
      <c r="W76"/>
      <c r="X76"/>
      <c r="Y76"/>
    </row>
    <row r="77" spans="1:25" ht="15" customHeight="1">
      <c r="A77" s="25"/>
      <c r="B77" s="17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18"/>
      <c r="N77" s="31"/>
      <c r="O77"/>
      <c r="P77"/>
      <c r="Q77"/>
      <c r="R77"/>
      <c r="S77"/>
      <c r="T77"/>
      <c r="U77"/>
      <c r="V77"/>
      <c r="W77"/>
      <c r="X77"/>
      <c r="Y77"/>
    </row>
    <row r="78" spans="1:25" ht="15" customHeight="1">
      <c r="A78" s="25"/>
      <c r="B78" s="17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18"/>
      <c r="N78" s="31"/>
      <c r="O78"/>
      <c r="P78"/>
      <c r="Q78"/>
      <c r="R78"/>
      <c r="S78"/>
      <c r="T78"/>
      <c r="U78"/>
      <c r="V78"/>
      <c r="W78"/>
      <c r="X78"/>
      <c r="Y78"/>
    </row>
    <row r="79" spans="1:25" ht="15" customHeight="1">
      <c r="A79" s="25"/>
      <c r="B79" s="17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18"/>
      <c r="N79" s="31"/>
      <c r="O79"/>
      <c r="P79"/>
      <c r="Q79"/>
      <c r="R79"/>
      <c r="S79"/>
      <c r="T79"/>
      <c r="U79"/>
      <c r="V79"/>
      <c r="W79"/>
      <c r="X79"/>
      <c r="Y79"/>
    </row>
    <row r="80" spans="1:25" ht="15" customHeight="1">
      <c r="A80" s="22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8"/>
      <c r="N80" s="31"/>
      <c r="O80"/>
      <c r="P80"/>
      <c r="Q80"/>
      <c r="R80"/>
      <c r="S80"/>
      <c r="T80"/>
      <c r="U80"/>
      <c r="V80"/>
      <c r="W80"/>
      <c r="X80"/>
      <c r="Y80"/>
    </row>
    <row r="81" spans="1:25" ht="15" customHeight="1" thickBot="1">
      <c r="A81" s="24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3"/>
      <c r="N81" s="31"/>
      <c r="O81"/>
      <c r="P81"/>
      <c r="Q81"/>
      <c r="R81"/>
      <c r="S81"/>
      <c r="T81"/>
      <c r="U81"/>
      <c r="V81"/>
      <c r="W81"/>
      <c r="X81"/>
      <c r="Y81"/>
    </row>
    <row r="82" spans="1:25" ht="15" customHeight="1"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/>
      <c r="P82"/>
      <c r="Q82"/>
      <c r="R82"/>
      <c r="S82"/>
      <c r="T82"/>
      <c r="U82"/>
      <c r="V82"/>
      <c r="W82"/>
      <c r="X82"/>
      <c r="Y82"/>
    </row>
    <row r="83" spans="1:25" ht="15" customHeight="1">
      <c r="N83" s="31"/>
      <c r="O83"/>
      <c r="P83"/>
      <c r="Q83"/>
      <c r="R83"/>
      <c r="S83"/>
      <c r="T83"/>
      <c r="U83"/>
      <c r="V83"/>
      <c r="W83"/>
      <c r="X83"/>
      <c r="Y83"/>
    </row>
    <row r="84" spans="1:25" ht="15" customHeight="1">
      <c r="N84" s="31"/>
      <c r="O84" s="48"/>
      <c r="P84" s="1"/>
      <c r="Q84"/>
      <c r="R84"/>
      <c r="S84"/>
      <c r="T84"/>
      <c r="U84"/>
      <c r="V84"/>
      <c r="W84"/>
      <c r="X84"/>
      <c r="Y84"/>
    </row>
    <row r="85" spans="1:25" ht="15" customHeight="1">
      <c r="N85" s="31"/>
      <c r="O85"/>
      <c r="P85"/>
      <c r="Q85"/>
      <c r="R85"/>
      <c r="S85"/>
      <c r="T85"/>
      <c r="U85"/>
      <c r="V85"/>
      <c r="W85"/>
      <c r="X85"/>
      <c r="Y85"/>
    </row>
    <row r="86" spans="1:25" ht="15" customHeight="1">
      <c r="N86" s="31"/>
      <c r="O86" s="48"/>
      <c r="P86"/>
      <c r="Q86"/>
      <c r="R86"/>
      <c r="S86"/>
      <c r="T86"/>
      <c r="U86"/>
      <c r="V86"/>
      <c r="W86"/>
      <c r="X86"/>
      <c r="Y86"/>
    </row>
    <row r="87" spans="1:25" ht="15" customHeight="1">
      <c r="N87" s="31"/>
      <c r="O87"/>
      <c r="P87"/>
      <c r="Q87"/>
      <c r="R87"/>
      <c r="S87"/>
      <c r="T87"/>
      <c r="U87"/>
      <c r="V87"/>
      <c r="W87"/>
      <c r="X87"/>
      <c r="Y87"/>
    </row>
    <row r="88" spans="1:25" ht="15" customHeight="1">
      <c r="N88" s="31"/>
      <c r="O88"/>
      <c r="P88"/>
      <c r="Q88"/>
      <c r="R88"/>
      <c r="S88"/>
      <c r="T88"/>
      <c r="U88"/>
      <c r="V88"/>
      <c r="W88"/>
      <c r="X88"/>
      <c r="Y88"/>
    </row>
    <row r="89" spans="1:25" ht="15" customHeight="1">
      <c r="N89" s="31"/>
      <c r="O89"/>
      <c r="P89"/>
      <c r="Q89"/>
      <c r="R89"/>
      <c r="S89"/>
      <c r="T89"/>
      <c r="U89"/>
      <c r="V89"/>
      <c r="W89"/>
      <c r="X89"/>
      <c r="Y89"/>
    </row>
    <row r="90" spans="1:25" ht="15" customHeight="1">
      <c r="N90" s="31"/>
      <c r="O90"/>
      <c r="P90"/>
      <c r="Q90"/>
      <c r="R90"/>
      <c r="S90"/>
      <c r="T90"/>
      <c r="U90"/>
      <c r="V90"/>
      <c r="W90"/>
      <c r="X90"/>
      <c r="Y90"/>
    </row>
    <row r="91" spans="1:25" ht="15" customHeight="1">
      <c r="N91" s="31"/>
      <c r="O91"/>
      <c r="P91"/>
      <c r="Q91"/>
      <c r="R91"/>
      <c r="S91"/>
      <c r="T91"/>
      <c r="U91"/>
      <c r="V91"/>
      <c r="W91"/>
      <c r="X91"/>
      <c r="Y91"/>
    </row>
    <row r="92" spans="1:25" ht="15" customHeight="1">
      <c r="N92" s="31"/>
      <c r="O92"/>
      <c r="P92"/>
      <c r="Q92"/>
      <c r="R92"/>
      <c r="S92"/>
      <c r="T92"/>
      <c r="U92"/>
      <c r="V92"/>
      <c r="W92"/>
      <c r="X92"/>
      <c r="Y92"/>
    </row>
    <row r="93" spans="1:25" ht="15" customHeight="1">
      <c r="N93" s="31"/>
      <c r="O93"/>
      <c r="P93"/>
      <c r="Q93"/>
      <c r="R93"/>
      <c r="S93"/>
      <c r="T93"/>
      <c r="U93"/>
      <c r="V93"/>
      <c r="W93"/>
      <c r="X93"/>
      <c r="Y93"/>
    </row>
    <row r="94" spans="1:25" ht="15" customHeight="1">
      <c r="N94" s="31"/>
      <c r="O94"/>
      <c r="P94"/>
      <c r="Q94"/>
      <c r="R94"/>
      <c r="S94"/>
      <c r="T94"/>
      <c r="U94"/>
      <c r="V94"/>
      <c r="W94"/>
      <c r="X94"/>
      <c r="Y94"/>
    </row>
    <row r="95" spans="1:25" ht="15" customHeight="1">
      <c r="N95" s="31"/>
      <c r="O95"/>
      <c r="P95"/>
      <c r="Q95"/>
      <c r="R95"/>
      <c r="S95"/>
      <c r="T95"/>
      <c r="U95"/>
      <c r="V95"/>
      <c r="W95"/>
      <c r="X95"/>
      <c r="Y95"/>
    </row>
    <row r="96" spans="1:25" ht="15" customHeight="1">
      <c r="N96" s="31"/>
      <c r="O96"/>
      <c r="P96"/>
      <c r="Q96"/>
      <c r="R96"/>
      <c r="S96"/>
      <c r="T96"/>
      <c r="U96"/>
      <c r="V96"/>
      <c r="W96"/>
      <c r="X96"/>
      <c r="Y96"/>
    </row>
    <row r="97" spans="2:25" ht="15" customHeight="1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/>
      <c r="P97"/>
      <c r="Q97"/>
      <c r="R97"/>
      <c r="S97"/>
      <c r="T97"/>
      <c r="U97"/>
      <c r="V97"/>
      <c r="W97"/>
      <c r="X97"/>
      <c r="Y97"/>
    </row>
    <row r="98" spans="2:25" ht="15" customHeight="1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/>
      <c r="P98"/>
      <c r="Q98"/>
      <c r="R98"/>
      <c r="S98"/>
      <c r="T98"/>
      <c r="U98"/>
      <c r="V98"/>
      <c r="W98"/>
      <c r="X98"/>
      <c r="Y98"/>
    </row>
    <row r="99" spans="2:25" ht="15" customHeight="1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/>
      <c r="P99"/>
      <c r="Q99"/>
      <c r="R99"/>
      <c r="S99"/>
      <c r="T99"/>
      <c r="U99"/>
      <c r="V99"/>
      <c r="W99"/>
      <c r="X99"/>
      <c r="Y99"/>
    </row>
    <row r="100" spans="2:25" ht="15" customHeight="1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/>
      <c r="P100"/>
      <c r="Q100"/>
      <c r="R100"/>
      <c r="S100"/>
      <c r="T100"/>
      <c r="U100"/>
      <c r="V100"/>
      <c r="W100"/>
      <c r="X100"/>
      <c r="Y100"/>
    </row>
    <row r="101" spans="2:25" ht="15" customHeight="1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/>
      <c r="P101"/>
      <c r="Q101"/>
      <c r="R101"/>
      <c r="S101"/>
      <c r="T101"/>
      <c r="U101"/>
      <c r="V101"/>
      <c r="W101"/>
      <c r="X101"/>
      <c r="Y101"/>
    </row>
    <row r="102" spans="2:25" ht="15" customHeight="1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</row>
    <row r="103" spans="2:25" ht="15" customHeight="1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</row>
    <row r="104" spans="2:25" ht="15" customHeight="1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</row>
    <row r="105" spans="2:25" ht="15" customHeight="1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</row>
    <row r="106" spans="2:25" ht="15" customHeight="1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</row>
    <row r="107" spans="2:25" ht="15" customHeight="1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</row>
    <row r="108" spans="2:25" ht="15" customHeight="1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</row>
    <row r="109" spans="2:25" ht="15" customHeight="1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</row>
    <row r="110" spans="2:25" ht="15" customHeight="1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</row>
    <row r="111" spans="2:25" ht="15" customHeight="1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</row>
    <row r="112" spans="2:25" ht="15" customHeight="1"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</row>
    <row r="113" spans="2:14" ht="15" customHeight="1"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</row>
    <row r="114" spans="2:14" ht="15" customHeight="1"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</row>
    <row r="115" spans="2:14" ht="15" customHeight="1"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</row>
    <row r="116" spans="2:14" ht="15" customHeight="1"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</row>
    <row r="117" spans="2:14" ht="15" customHeight="1"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</row>
    <row r="118" spans="2:14" ht="15" customHeight="1"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</row>
    <row r="119" spans="2:14" ht="15" customHeight="1"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</row>
    <row r="120" spans="2:14" ht="15" customHeight="1"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</row>
    <row r="121" spans="2:14" ht="15" customHeight="1"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</row>
    <row r="122" spans="2:14" ht="15" customHeight="1"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</row>
    <row r="123" spans="2:14" ht="15" customHeight="1"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</row>
    <row r="124" spans="2:14" ht="15" customHeight="1"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</row>
    <row r="125" spans="2:14" ht="15" customHeight="1"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</row>
    <row r="126" spans="2:14" ht="15" customHeight="1"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</row>
    <row r="127" spans="2:14" ht="15" customHeight="1"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</row>
    <row r="128" spans="2:14" ht="15" customHeight="1"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</row>
    <row r="129" spans="2:14" ht="15" customHeight="1"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</row>
    <row r="130" spans="2:14" ht="15" customHeight="1"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</row>
    <row r="131" spans="2:14" ht="15" customHeight="1"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</row>
    <row r="132" spans="2:14" ht="15" customHeight="1"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</row>
    <row r="133" spans="2:14" ht="15" customHeight="1"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</row>
    <row r="134" spans="2:14" ht="15" customHeight="1"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</row>
    <row r="135" spans="2:14" ht="15" customHeight="1"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</row>
    <row r="136" spans="2:14" ht="15" customHeight="1"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</row>
    <row r="137" spans="2:14" ht="15" customHeight="1"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</row>
    <row r="138" spans="2:14" ht="15" customHeight="1"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</row>
    <row r="139" spans="2:14" ht="15" customHeight="1"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</row>
    <row r="140" spans="2:14" ht="15" customHeight="1"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</row>
    <row r="141" spans="2:14" ht="15" customHeight="1"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</row>
    <row r="142" spans="2:14" ht="15" customHeight="1"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</row>
    <row r="143" spans="2:14" ht="15" customHeight="1"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</row>
    <row r="144" spans="2:14" ht="15" customHeight="1"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</row>
    <row r="145" spans="2:14" ht="15" customHeight="1"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</row>
    <row r="146" spans="2:14" ht="15" customHeight="1"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</row>
    <row r="147" spans="2:14" ht="15" customHeight="1"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</row>
    <row r="148" spans="2:14" ht="15" customHeight="1"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</row>
    <row r="149" spans="2:14" ht="15" customHeight="1"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</row>
    <row r="150" spans="2:14" ht="15" customHeight="1"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</row>
    <row r="151" spans="2:14" ht="15" customHeight="1"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</row>
    <row r="152" spans="2:14" ht="15" customHeight="1"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</row>
  </sheetData>
  <mergeCells count="1">
    <mergeCell ref="L1:M1"/>
  </mergeCells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U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>
      <c r="A1" s="7">
        <v>15</v>
      </c>
      <c r="B1" s="27" t="s">
        <v>12</v>
      </c>
      <c r="C1" s="20"/>
      <c r="D1" s="20"/>
      <c r="E1" s="20"/>
      <c r="F1" s="20"/>
      <c r="G1" s="20"/>
      <c r="H1" s="854" t="s">
        <v>24</v>
      </c>
      <c r="I1" s="855"/>
      <c r="K1" s="1" t="s">
        <v>33</v>
      </c>
      <c r="L1" s="52" t="str">
        <f>VLOOKUP(A1,'Point Grid'!$L$8:$T$54,9,FALSE)</f>
        <v>Pricing - Chap 11: Special Classification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1"/>
      <c r="K3" s="48" t="s">
        <v>2</v>
      </c>
      <c r="L3" s="190" t="s">
        <v>169</v>
      </c>
      <c r="M3" s="37" t="s">
        <v>389</v>
      </c>
      <c r="N3" s="37"/>
      <c r="O3" s="37"/>
      <c r="P3" s="37"/>
      <c r="Q3" s="37"/>
      <c r="R3" s="37"/>
      <c r="S3" s="37"/>
      <c r="T3" s="37"/>
      <c r="U3"/>
    </row>
    <row r="4" spans="1:21">
      <c r="A4" s="9">
        <f>INDEX('Point Grid'!B:B,MATCH(A1,'Point Grid'!A:A,0))</f>
        <v>1.25</v>
      </c>
      <c r="B4" s="17"/>
      <c r="C4" s="17"/>
      <c r="D4" s="17"/>
      <c r="E4" s="17"/>
      <c r="F4" s="17"/>
      <c r="G4" s="17"/>
      <c r="H4" s="17"/>
      <c r="I4" s="18"/>
      <c r="J4" s="31"/>
      <c r="K4" s="48"/>
      <c r="L4" s="37"/>
      <c r="M4" s="37"/>
      <c r="N4" s="37"/>
      <c r="O4" s="37"/>
      <c r="P4" s="37"/>
      <c r="Q4" s="37"/>
      <c r="R4" s="37"/>
      <c r="S4" s="37"/>
      <c r="T4" s="37"/>
    </row>
    <row r="5" spans="1:21">
      <c r="A5" s="16"/>
      <c r="B5" s="17"/>
      <c r="C5" s="17"/>
      <c r="D5" s="17"/>
      <c r="E5" s="17"/>
      <c r="F5" s="17"/>
      <c r="G5" s="17"/>
      <c r="H5" s="17"/>
      <c r="I5" s="18"/>
      <c r="J5" s="31"/>
      <c r="K5" s="48"/>
      <c r="L5" s="158"/>
      <c r="M5" s="219" t="s">
        <v>390</v>
      </c>
      <c r="N5" s="296" t="s">
        <v>390</v>
      </c>
      <c r="O5" s="158"/>
      <c r="P5" s="158"/>
      <c r="Q5" s="158"/>
      <c r="R5" s="158"/>
      <c r="S5" s="158"/>
      <c r="T5" s="158"/>
    </row>
    <row r="6" spans="1:21">
      <c r="A6" s="25" t="s">
        <v>2</v>
      </c>
      <c r="B6" s="178" t="s">
        <v>388</v>
      </c>
      <c r="C6" s="178"/>
      <c r="D6" s="178"/>
      <c r="E6" s="178"/>
      <c r="F6" s="319">
        <v>50</v>
      </c>
      <c r="G6" s="17"/>
      <c r="H6" s="17"/>
      <c r="I6" s="18"/>
      <c r="J6" s="31"/>
      <c r="K6" s="48"/>
      <c r="L6" s="158"/>
      <c r="M6" s="141" t="s">
        <v>391</v>
      </c>
      <c r="N6" s="144" t="s">
        <v>391</v>
      </c>
      <c r="O6" s="158"/>
      <c r="P6" s="158"/>
      <c r="Q6" s="158"/>
      <c r="R6" s="158"/>
      <c r="S6" s="158"/>
      <c r="T6" s="158"/>
    </row>
    <row r="7" spans="1:21" ht="15.75" thickBot="1">
      <c r="A7" s="9">
        <f>INDEX('Point Grid'!$C$8:$I$54,MATCH($A$1,'Point Grid'!$A$8:$A$54,0),MATCH(A6,'Point Grid'!$C$7:$I$7,0))</f>
        <v>1.25</v>
      </c>
      <c r="B7" s="178"/>
      <c r="C7" s="178"/>
      <c r="D7" s="178"/>
      <c r="E7" s="178"/>
      <c r="F7" s="178"/>
      <c r="G7" s="17"/>
      <c r="H7" s="17"/>
      <c r="I7" s="18"/>
      <c r="J7" s="31"/>
      <c r="K7" s="48"/>
      <c r="L7" s="158"/>
      <c r="M7" s="146">
        <f>D9</f>
        <v>10</v>
      </c>
      <c r="N7" s="149">
        <f>F6</f>
        <v>50</v>
      </c>
      <c r="O7" s="158"/>
      <c r="P7" s="158"/>
      <c r="Q7" s="158"/>
      <c r="R7" s="158"/>
      <c r="S7" s="158"/>
      <c r="T7" s="158"/>
    </row>
    <row r="8" spans="1:21" ht="15.75" thickBot="1">
      <c r="A8" s="5"/>
      <c r="B8" s="178"/>
      <c r="C8" s="178"/>
      <c r="D8" s="178"/>
      <c r="E8" s="178"/>
      <c r="F8" s="178"/>
      <c r="G8" s="28"/>
      <c r="H8" s="28"/>
      <c r="I8" s="18"/>
      <c r="J8" s="31"/>
      <c r="K8"/>
      <c r="L8" s="158"/>
      <c r="M8" s="223">
        <f>IF(C14&lt;=M7,E14,D14*M7)</f>
        <v>810</v>
      </c>
      <c r="N8" s="168">
        <f>IF(C14&lt;=N7,E14,D14*N7)</f>
        <v>810</v>
      </c>
      <c r="O8" s="158"/>
      <c r="P8" s="158"/>
      <c r="Q8" s="158"/>
      <c r="R8" s="158"/>
      <c r="S8" s="158"/>
      <c r="T8" s="158"/>
    </row>
    <row r="9" spans="1:21">
      <c r="A9" s="25"/>
      <c r="B9" s="178" t="s">
        <v>383</v>
      </c>
      <c r="C9" s="178"/>
      <c r="D9" s="319">
        <v>10</v>
      </c>
      <c r="E9" s="178"/>
      <c r="F9" s="178"/>
      <c r="G9" s="17"/>
      <c r="H9" s="17"/>
      <c r="I9" s="18"/>
      <c r="J9" s="31"/>
      <c r="K9" s="48"/>
      <c r="L9" s="158"/>
      <c r="M9" s="223">
        <f>IF(C15&lt;=M7,E15,D15*M7)</f>
        <v>700</v>
      </c>
      <c r="N9" s="168">
        <f>IF(C15&lt;=N7,E15,D15*N7)</f>
        <v>730</v>
      </c>
      <c r="O9" s="158"/>
      <c r="P9" s="158"/>
      <c r="Q9" s="158"/>
      <c r="R9" s="158"/>
      <c r="S9" s="158"/>
      <c r="T9" s="158"/>
    </row>
    <row r="10" spans="1:21">
      <c r="A10" s="25"/>
      <c r="B10" s="230"/>
      <c r="C10" s="230"/>
      <c r="D10" s="230"/>
      <c r="E10" s="230"/>
      <c r="F10" s="178"/>
      <c r="G10" s="17"/>
      <c r="H10" s="17"/>
      <c r="I10" s="18"/>
      <c r="J10" s="31"/>
      <c r="K10"/>
      <c r="L10" s="158"/>
      <c r="M10" s="223">
        <f>IF(C16&lt;=M7,E16,D16*M7)</f>
        <v>550</v>
      </c>
      <c r="N10" s="168">
        <f>IF(C16&lt;=N7,E16,D16*N7)</f>
        <v>2680</v>
      </c>
      <c r="O10" s="158"/>
      <c r="P10" s="158"/>
      <c r="Q10" s="158"/>
      <c r="R10" s="158"/>
      <c r="S10" s="158"/>
      <c r="T10" s="158"/>
    </row>
    <row r="11" spans="1:21">
      <c r="A11" s="25"/>
      <c r="B11" s="350" t="s">
        <v>384</v>
      </c>
      <c r="C11" s="351"/>
      <c r="D11" s="175"/>
      <c r="E11" s="176"/>
      <c r="F11" s="178"/>
      <c r="G11" s="17"/>
      <c r="H11" s="17"/>
      <c r="I11" s="18"/>
      <c r="J11" s="31"/>
      <c r="K11"/>
      <c r="L11" s="158"/>
      <c r="M11" s="223">
        <f>IF(C17&lt;=M7,E17,D17*M7)</f>
        <v>300</v>
      </c>
      <c r="N11" s="168">
        <f>IF(C17&lt;=N7,E17,D17*N7)</f>
        <v>1500</v>
      </c>
      <c r="O11" s="158"/>
      <c r="P11" s="158"/>
      <c r="Q11" s="158"/>
      <c r="R11" s="158"/>
      <c r="S11" s="158"/>
      <c r="T11" s="158"/>
    </row>
    <row r="12" spans="1:21">
      <c r="A12" s="25"/>
      <c r="B12" s="257" t="s">
        <v>385</v>
      </c>
      <c r="C12" s="316" t="s">
        <v>386</v>
      </c>
      <c r="D12" s="315" t="s">
        <v>121</v>
      </c>
      <c r="E12" s="316" t="s">
        <v>121</v>
      </c>
      <c r="F12" s="178"/>
      <c r="G12" s="17"/>
      <c r="H12" s="17"/>
      <c r="I12" s="18"/>
      <c r="J12" s="31"/>
      <c r="K12"/>
      <c r="L12" s="158"/>
      <c r="M12" s="225">
        <f>IF(C18&lt;=M7,E18,D18*M7)</f>
        <v>140</v>
      </c>
      <c r="N12" s="173">
        <f>IF(C18&lt;=N7,E18,D18*N7)</f>
        <v>700</v>
      </c>
      <c r="O12" s="158"/>
      <c r="P12" s="158"/>
      <c r="Q12" s="158"/>
      <c r="R12" s="158"/>
      <c r="S12" s="158"/>
      <c r="T12" s="158"/>
    </row>
    <row r="13" spans="1:21">
      <c r="A13" s="25"/>
      <c r="B13" s="259" t="s">
        <v>387</v>
      </c>
      <c r="C13" s="318" t="s">
        <v>387</v>
      </c>
      <c r="D13" s="317" t="s">
        <v>49</v>
      </c>
      <c r="E13" s="318" t="s">
        <v>161</v>
      </c>
      <c r="F13" s="178"/>
      <c r="G13" s="17"/>
      <c r="H13" s="17"/>
      <c r="I13" s="18"/>
      <c r="J13" s="31"/>
      <c r="K13" s="48"/>
      <c r="L13" s="158"/>
      <c r="M13" s="352">
        <f>SUM(M8:M12)</f>
        <v>2500</v>
      </c>
      <c r="N13" s="353">
        <f>SUM(N8:N12)</f>
        <v>6420</v>
      </c>
      <c r="O13" s="158" t="s">
        <v>392</v>
      </c>
      <c r="P13" s="158"/>
      <c r="Q13" s="158"/>
      <c r="R13" s="158"/>
      <c r="S13" s="158"/>
      <c r="T13" s="158"/>
    </row>
    <row r="14" spans="1:21">
      <c r="A14" s="25"/>
      <c r="B14" s="257">
        <v>0</v>
      </c>
      <c r="C14" s="316">
        <v>10</v>
      </c>
      <c r="D14" s="315">
        <v>140</v>
      </c>
      <c r="E14" s="316">
        <v>810</v>
      </c>
      <c r="F14" s="178"/>
      <c r="G14" s="17"/>
      <c r="H14" s="17"/>
      <c r="I14" s="18"/>
      <c r="J14" s="31"/>
      <c r="K14"/>
      <c r="L14" s="158"/>
      <c r="M14" s="158"/>
      <c r="N14" s="158"/>
      <c r="O14" s="158"/>
      <c r="P14" s="158"/>
      <c r="Q14" s="158"/>
      <c r="R14" s="158"/>
      <c r="S14" s="158"/>
      <c r="T14" s="158"/>
    </row>
    <row r="15" spans="1:21">
      <c r="A15" s="25"/>
      <c r="B15" s="257">
        <v>10</v>
      </c>
      <c r="C15" s="316">
        <v>25</v>
      </c>
      <c r="D15" s="315">
        <v>70</v>
      </c>
      <c r="E15" s="316">
        <v>730</v>
      </c>
      <c r="F15" s="178"/>
      <c r="G15" s="17"/>
      <c r="H15" s="17"/>
      <c r="I15" s="18"/>
      <c r="J15" s="31"/>
      <c r="K15"/>
      <c r="L15" s="158"/>
      <c r="M15" s="158"/>
      <c r="N15" s="158"/>
      <c r="O15" s="158"/>
      <c r="P15" s="158"/>
      <c r="Q15" s="158"/>
      <c r="R15" s="158"/>
      <c r="S15" s="158"/>
      <c r="T15" s="158"/>
    </row>
    <row r="16" spans="1:21">
      <c r="A16" s="25"/>
      <c r="B16" s="257">
        <v>25</v>
      </c>
      <c r="C16" s="316">
        <v>50</v>
      </c>
      <c r="D16" s="315">
        <v>55</v>
      </c>
      <c r="E16" s="316">
        <v>2680</v>
      </c>
      <c r="F16" s="178"/>
      <c r="G16" s="17"/>
      <c r="H16" s="17"/>
      <c r="I16" s="18"/>
      <c r="J16" s="31"/>
      <c r="K16" s="48"/>
      <c r="L16" s="354" t="s">
        <v>174</v>
      </c>
      <c r="M16" s="158" t="s">
        <v>393</v>
      </c>
      <c r="N16" s="158"/>
      <c r="O16" s="158"/>
      <c r="P16" s="158"/>
      <c r="Q16" s="158"/>
      <c r="R16" s="158"/>
      <c r="S16" s="158"/>
      <c r="T16" s="158"/>
    </row>
    <row r="17" spans="1:20">
      <c r="A17" s="25"/>
      <c r="B17" s="257">
        <v>50</v>
      </c>
      <c r="C17" s="316">
        <v>100</v>
      </c>
      <c r="D17" s="315">
        <v>30</v>
      </c>
      <c r="E17" s="316">
        <v>2840</v>
      </c>
      <c r="F17" s="178"/>
      <c r="G17" s="17"/>
      <c r="H17" s="17"/>
      <c r="I17" s="18"/>
      <c r="J17" s="31"/>
      <c r="K17"/>
      <c r="L17" s="158"/>
      <c r="M17" s="158"/>
      <c r="N17" s="158"/>
      <c r="O17" s="158"/>
      <c r="P17" s="158"/>
      <c r="Q17" s="158"/>
      <c r="R17" s="158"/>
      <c r="S17" s="158"/>
      <c r="T17" s="158"/>
    </row>
    <row r="18" spans="1:20" ht="15" customHeight="1">
      <c r="A18" s="25"/>
      <c r="B18" s="259">
        <v>100</v>
      </c>
      <c r="C18" s="318">
        <v>300</v>
      </c>
      <c r="D18" s="317">
        <v>14</v>
      </c>
      <c r="E18" s="318">
        <v>2610</v>
      </c>
      <c r="F18" s="178"/>
      <c r="G18" s="17"/>
      <c r="H18" s="17"/>
      <c r="I18" s="18"/>
      <c r="J18" s="31"/>
      <c r="K18"/>
      <c r="L18" s="158"/>
      <c r="M18" s="158" t="str">
        <f>"LAS("&amp;D9&amp;")"</f>
        <v>LAS(10)</v>
      </c>
      <c r="N18" s="192" t="s">
        <v>34</v>
      </c>
      <c r="O18" s="158" t="str">
        <f>"(losses capped at "&amp;D9&amp;")"</f>
        <v>(losses capped at 10)</v>
      </c>
      <c r="P18" s="158"/>
      <c r="Q18" s="158"/>
      <c r="R18" s="194" t="s">
        <v>36</v>
      </c>
      <c r="S18" s="158" t="s">
        <v>394</v>
      </c>
      <c r="T18" s="158"/>
    </row>
    <row r="19" spans="1:20" ht="15" customHeight="1">
      <c r="A19" s="25"/>
      <c r="B19" s="17"/>
      <c r="C19" s="17"/>
      <c r="D19" s="17"/>
      <c r="E19" s="17"/>
      <c r="F19" s="17"/>
      <c r="G19" s="17"/>
      <c r="H19" s="17"/>
      <c r="I19" s="18"/>
      <c r="J19" s="31"/>
      <c r="K19"/>
      <c r="L19" s="158"/>
      <c r="M19" s="37"/>
      <c r="N19" s="192" t="s">
        <v>34</v>
      </c>
      <c r="O19" s="324">
        <f>M13</f>
        <v>2500</v>
      </c>
      <c r="P19" s="37"/>
      <c r="Q19" s="37"/>
      <c r="R19" s="194" t="s">
        <v>36</v>
      </c>
      <c r="S19" s="191">
        <f>SUM(D14:D18)</f>
        <v>309</v>
      </c>
      <c r="T19" s="37"/>
    </row>
    <row r="20" spans="1:20" ht="15" customHeight="1">
      <c r="A20" s="25"/>
      <c r="B20" s="17"/>
      <c r="C20" s="17"/>
      <c r="D20" s="17"/>
      <c r="E20" s="17"/>
      <c r="F20" s="17"/>
      <c r="G20" s="17"/>
      <c r="H20" s="17"/>
      <c r="I20" s="18"/>
      <c r="J20" s="31"/>
      <c r="K20"/>
      <c r="L20" s="158"/>
      <c r="M20" s="158"/>
      <c r="N20" s="192" t="s">
        <v>34</v>
      </c>
      <c r="O20" s="355">
        <f>O19/S19</f>
        <v>8.090614886731391</v>
      </c>
      <c r="P20" s="158"/>
      <c r="Q20" s="158"/>
      <c r="R20" s="158"/>
      <c r="S20" s="158"/>
      <c r="T20" s="158"/>
    </row>
    <row r="21" spans="1:20" ht="15" customHeight="1">
      <c r="A21" s="25"/>
      <c r="B21" s="17"/>
      <c r="C21" s="17"/>
      <c r="D21" s="17"/>
      <c r="E21" s="17"/>
      <c r="F21" s="17"/>
      <c r="G21" s="17"/>
      <c r="H21" s="17"/>
      <c r="I21" s="18"/>
      <c r="J21" s="31"/>
      <c r="K21"/>
      <c r="L21" s="158"/>
      <c r="M21" s="158"/>
      <c r="N21" s="158"/>
      <c r="O21" s="158"/>
      <c r="P21" s="158"/>
      <c r="Q21" s="158"/>
      <c r="R21" s="158"/>
      <c r="S21" s="158"/>
      <c r="T21" s="158"/>
    </row>
    <row r="22" spans="1:20" ht="15" customHeight="1">
      <c r="A22" s="25"/>
      <c r="B22" s="17"/>
      <c r="C22" s="17"/>
      <c r="D22" s="17"/>
      <c r="E22" s="17"/>
      <c r="F22" s="17"/>
      <c r="G22" s="17"/>
      <c r="H22" s="17"/>
      <c r="I22" s="18"/>
      <c r="J22" s="31"/>
      <c r="K22"/>
      <c r="L22" s="158"/>
      <c r="M22" s="158" t="str">
        <f>"LAS("&amp;F6&amp;")"</f>
        <v>LAS(50)</v>
      </c>
      <c r="N22" s="192" t="s">
        <v>34</v>
      </c>
      <c r="O22" s="158" t="str">
        <f>"(losses capped at "&amp;F6&amp;")"</f>
        <v>(losses capped at 50)</v>
      </c>
      <c r="P22" s="158"/>
      <c r="Q22" s="158"/>
      <c r="R22" s="194" t="s">
        <v>36</v>
      </c>
      <c r="S22" s="158" t="s">
        <v>394</v>
      </c>
      <c r="T22" s="158"/>
    </row>
    <row r="23" spans="1:20" ht="15" customHeight="1">
      <c r="A23" s="25"/>
      <c r="B23" s="17"/>
      <c r="C23" s="17"/>
      <c r="D23" s="17"/>
      <c r="E23" s="17"/>
      <c r="F23" s="17"/>
      <c r="G23" s="17"/>
      <c r="H23" s="17"/>
      <c r="I23" s="18"/>
      <c r="J23" s="31"/>
      <c r="K23"/>
      <c r="L23" s="158"/>
      <c r="M23" s="158"/>
      <c r="N23" s="192" t="s">
        <v>34</v>
      </c>
      <c r="O23" s="356">
        <f>N13</f>
        <v>6420</v>
      </c>
      <c r="P23" s="158"/>
      <c r="Q23" s="158"/>
      <c r="R23" s="194" t="s">
        <v>36</v>
      </c>
      <c r="S23" s="158">
        <f>SUM(D14:D18)</f>
        <v>309</v>
      </c>
      <c r="T23" s="158"/>
    </row>
    <row r="24" spans="1:20" ht="15" customHeight="1">
      <c r="A24" s="25"/>
      <c r="B24" s="17"/>
      <c r="C24" s="17"/>
      <c r="D24" s="17"/>
      <c r="E24" s="17"/>
      <c r="F24" s="17"/>
      <c r="G24" s="17"/>
      <c r="H24" s="17"/>
      <c r="I24" s="18"/>
      <c r="J24" s="31"/>
      <c r="K24"/>
      <c r="L24" s="158"/>
      <c r="M24" s="158"/>
      <c r="N24" s="192" t="s">
        <v>34</v>
      </c>
      <c r="O24" s="355">
        <f>O23/S23</f>
        <v>20.776699029126213</v>
      </c>
      <c r="P24" s="158"/>
      <c r="Q24" s="158"/>
      <c r="R24" s="158"/>
      <c r="S24" s="158"/>
      <c r="T24" s="158"/>
    </row>
    <row r="25" spans="1:20" ht="15" customHeight="1">
      <c r="A25" s="25"/>
      <c r="B25" s="17"/>
      <c r="C25" s="17"/>
      <c r="D25" s="17"/>
      <c r="E25" s="17"/>
      <c r="F25" s="17"/>
      <c r="G25" s="17"/>
      <c r="H25" s="17"/>
      <c r="I25" s="18"/>
      <c r="J25" s="31"/>
      <c r="K25"/>
      <c r="L25" s="158"/>
      <c r="M25" s="158"/>
      <c r="N25" s="158"/>
      <c r="O25" s="158"/>
      <c r="P25" s="158"/>
      <c r="Q25" s="158"/>
      <c r="R25" s="158"/>
      <c r="S25" s="158"/>
      <c r="T25" s="158"/>
    </row>
    <row r="26" spans="1:20" ht="15" customHeight="1">
      <c r="A26" s="25"/>
      <c r="B26" s="17"/>
      <c r="C26" s="17"/>
      <c r="D26" s="17"/>
      <c r="E26" s="17"/>
      <c r="F26" s="17"/>
      <c r="G26" s="17"/>
      <c r="H26" s="17"/>
      <c r="I26" s="18"/>
      <c r="J26" s="31"/>
      <c r="K26"/>
      <c r="L26" s="158"/>
      <c r="M26" s="158"/>
      <c r="N26" s="158"/>
      <c r="O26" s="158"/>
      <c r="P26" s="158"/>
      <c r="Q26" s="158"/>
      <c r="R26" s="158"/>
      <c r="S26" s="158"/>
      <c r="T26" s="158"/>
    </row>
    <row r="27" spans="1:20" ht="15" customHeight="1">
      <c r="A27" s="25"/>
      <c r="B27" s="17"/>
      <c r="C27" s="17"/>
      <c r="D27" s="17"/>
      <c r="E27" s="17"/>
      <c r="F27" s="17"/>
      <c r="G27" s="17"/>
      <c r="H27" s="17"/>
      <c r="I27" s="18"/>
      <c r="J27" s="31"/>
      <c r="K27"/>
      <c r="L27" s="280" t="s">
        <v>395</v>
      </c>
      <c r="M27" s="158" t="s">
        <v>396</v>
      </c>
      <c r="N27" s="158"/>
      <c r="O27" s="158"/>
      <c r="P27" s="158"/>
      <c r="Q27" s="158"/>
      <c r="R27" s="158"/>
      <c r="S27" s="158"/>
      <c r="T27" s="158"/>
    </row>
    <row r="28" spans="1:20" ht="15" customHeight="1">
      <c r="A28" s="25"/>
      <c r="B28" s="17"/>
      <c r="C28" s="17"/>
      <c r="D28" s="17"/>
      <c r="E28" s="17"/>
      <c r="F28" s="17"/>
      <c r="G28" s="17"/>
      <c r="H28" s="17"/>
      <c r="I28" s="18"/>
      <c r="J28" s="31"/>
      <c r="K28"/>
      <c r="L28" s="158"/>
      <c r="M28" s="158"/>
      <c r="N28" s="158"/>
      <c r="O28" s="158"/>
      <c r="P28" s="158"/>
      <c r="Q28" s="158"/>
      <c r="R28" s="158"/>
      <c r="S28" s="158"/>
      <c r="T28" s="158"/>
    </row>
    <row r="29" spans="1:20" ht="15" customHeight="1">
      <c r="A29" s="22"/>
      <c r="B29" s="17"/>
      <c r="C29" s="17"/>
      <c r="D29" s="17"/>
      <c r="E29" s="17"/>
      <c r="F29" s="17"/>
      <c r="G29" s="17"/>
      <c r="H29" s="17"/>
      <c r="I29" s="18"/>
      <c r="J29" s="31"/>
      <c r="K29"/>
      <c r="L29" s="158"/>
      <c r="M29" s="158" t="str">
        <f>"ILF("&amp;F6&amp;")"</f>
        <v>ILF(50)</v>
      </c>
      <c r="N29" s="192" t="s">
        <v>34</v>
      </c>
      <c r="O29" s="158" t="str">
        <f>"LAS("&amp;F6&amp;")"</f>
        <v>LAS(50)</v>
      </c>
      <c r="P29" s="158"/>
      <c r="Q29" s="194" t="s">
        <v>36</v>
      </c>
      <c r="R29" s="158" t="str">
        <f>"LAS("&amp;D9&amp;")"</f>
        <v>LAS(10)</v>
      </c>
      <c r="S29" s="158"/>
      <c r="T29" s="158"/>
    </row>
    <row r="30" spans="1:20" ht="15" customHeight="1" thickBot="1">
      <c r="A30" s="24"/>
      <c r="B30" s="32"/>
      <c r="C30" s="32"/>
      <c r="D30" s="32"/>
      <c r="E30" s="32"/>
      <c r="F30" s="32"/>
      <c r="G30" s="32"/>
      <c r="H30" s="32"/>
      <c r="I30" s="33"/>
      <c r="J30" s="31"/>
      <c r="K30"/>
      <c r="L30" s="158"/>
      <c r="M30" s="158"/>
      <c r="N30" s="192" t="s">
        <v>34</v>
      </c>
      <c r="O30" s="355">
        <f>O24</f>
        <v>20.776699029126213</v>
      </c>
      <c r="P30" s="158"/>
      <c r="Q30" s="194" t="s">
        <v>36</v>
      </c>
      <c r="R30" s="355">
        <f>O20</f>
        <v>8.090614886731391</v>
      </c>
      <c r="S30" s="158"/>
      <c r="T30" s="158"/>
    </row>
    <row r="31" spans="1:20" ht="15" customHeight="1">
      <c r="B31" s="31"/>
      <c r="C31" s="31"/>
      <c r="D31" s="31"/>
      <c r="E31" s="31"/>
      <c r="F31" s="31"/>
      <c r="G31" s="31"/>
      <c r="H31" s="31"/>
      <c r="I31" s="31"/>
      <c r="J31" s="31"/>
      <c r="K31"/>
      <c r="L31" s="158"/>
      <c r="M31" s="158"/>
      <c r="N31" s="192" t="s">
        <v>34</v>
      </c>
      <c r="O31" s="357">
        <f>O30/R30</f>
        <v>2.5680000000000001</v>
      </c>
      <c r="P31" s="158"/>
      <c r="Q31" s="158"/>
      <c r="R31" s="158"/>
      <c r="S31" s="158"/>
      <c r="T31" s="158"/>
    </row>
    <row r="32" spans="1:20" ht="15" customHeight="1">
      <c r="J32" s="31"/>
      <c r="K32"/>
      <c r="O32" s="358" t="s">
        <v>179</v>
      </c>
    </row>
    <row r="33" spans="2:21" ht="15" customHeight="1">
      <c r="J33" s="31"/>
      <c r="K33" s="48"/>
      <c r="L33" s="1"/>
      <c r="M33"/>
      <c r="N33"/>
      <c r="O33"/>
      <c r="P33"/>
      <c r="Q33"/>
      <c r="R33"/>
      <c r="S33"/>
      <c r="T33"/>
      <c r="U33"/>
    </row>
    <row r="34" spans="2:21" ht="15" customHeight="1">
      <c r="J34" s="31"/>
      <c r="K34"/>
      <c r="L34"/>
      <c r="M34"/>
      <c r="N34"/>
      <c r="O34"/>
      <c r="P34"/>
      <c r="Q34"/>
      <c r="R34"/>
      <c r="S34"/>
      <c r="T34"/>
      <c r="U34"/>
    </row>
    <row r="35" spans="2:21" ht="15" customHeight="1">
      <c r="J35" s="31"/>
      <c r="K35" s="48"/>
      <c r="L35"/>
      <c r="M35"/>
      <c r="N35"/>
      <c r="O35"/>
      <c r="P35"/>
      <c r="Q35"/>
      <c r="R35"/>
      <c r="S35"/>
      <c r="T35"/>
      <c r="U35"/>
    </row>
    <row r="36" spans="2:21" ht="15" customHeight="1">
      <c r="J36" s="31"/>
      <c r="K36"/>
      <c r="L36"/>
      <c r="M36"/>
      <c r="N36"/>
      <c r="O36"/>
      <c r="P36"/>
      <c r="Q36"/>
      <c r="R36"/>
      <c r="S36"/>
      <c r="T36"/>
      <c r="U36"/>
    </row>
    <row r="37" spans="2:21" ht="15" customHeight="1">
      <c r="J37" s="31"/>
      <c r="K37"/>
      <c r="L37"/>
      <c r="M37"/>
      <c r="N37"/>
      <c r="O37"/>
      <c r="P37"/>
      <c r="Q37"/>
      <c r="R37"/>
      <c r="S37"/>
      <c r="T37"/>
      <c r="U37"/>
    </row>
    <row r="38" spans="2:21" ht="15" customHeight="1">
      <c r="J38" s="31"/>
      <c r="K38"/>
      <c r="L38"/>
      <c r="M38"/>
      <c r="N38"/>
      <c r="O38"/>
      <c r="P38"/>
      <c r="Q38"/>
      <c r="R38"/>
      <c r="S38"/>
      <c r="T38"/>
      <c r="U38"/>
    </row>
    <row r="39" spans="2:21" ht="15" customHeight="1">
      <c r="J39" s="31"/>
      <c r="K39"/>
      <c r="L39"/>
      <c r="M39"/>
      <c r="N39"/>
      <c r="O39"/>
      <c r="P39"/>
      <c r="Q39"/>
      <c r="R39"/>
      <c r="S39"/>
      <c r="T39"/>
      <c r="U39"/>
    </row>
    <row r="40" spans="2:21" ht="15" customHeight="1">
      <c r="J40" s="31"/>
      <c r="K40"/>
      <c r="L40"/>
      <c r="M40"/>
      <c r="N40"/>
      <c r="O40"/>
      <c r="P40"/>
      <c r="Q40"/>
      <c r="R40"/>
      <c r="S40"/>
      <c r="T40"/>
      <c r="U40"/>
    </row>
    <row r="41" spans="2:21" ht="15" customHeight="1">
      <c r="J41" s="31"/>
      <c r="K41"/>
      <c r="L41"/>
      <c r="M41"/>
      <c r="N41"/>
      <c r="O41"/>
      <c r="P41"/>
      <c r="Q41"/>
      <c r="R41"/>
      <c r="S41"/>
      <c r="T41"/>
      <c r="U41"/>
    </row>
    <row r="42" spans="2:21" ht="15" customHeight="1">
      <c r="J42" s="31"/>
      <c r="K42"/>
      <c r="L42"/>
      <c r="M42"/>
      <c r="N42"/>
      <c r="O42"/>
      <c r="P42"/>
      <c r="Q42"/>
      <c r="R42"/>
      <c r="S42"/>
      <c r="T42"/>
      <c r="U42"/>
    </row>
    <row r="43" spans="2:21" ht="15" customHeight="1">
      <c r="J43" s="31"/>
      <c r="K43"/>
      <c r="L43"/>
      <c r="M43"/>
      <c r="N43"/>
      <c r="O43"/>
      <c r="P43"/>
      <c r="Q43"/>
      <c r="R43"/>
      <c r="S43"/>
      <c r="T43"/>
      <c r="U43"/>
    </row>
    <row r="44" spans="2:21" ht="15" customHeight="1">
      <c r="J44" s="31"/>
      <c r="K44"/>
      <c r="L44"/>
      <c r="M44"/>
      <c r="N44"/>
      <c r="O44"/>
      <c r="P44"/>
      <c r="Q44"/>
      <c r="R44"/>
      <c r="S44"/>
      <c r="T44"/>
      <c r="U44"/>
    </row>
    <row r="45" spans="2:21" ht="15" customHeight="1">
      <c r="J45" s="31"/>
      <c r="K45"/>
      <c r="L45"/>
      <c r="M45"/>
      <c r="N45"/>
      <c r="O45"/>
      <c r="P45"/>
      <c r="Q45"/>
      <c r="R45"/>
      <c r="S45"/>
      <c r="T45"/>
      <c r="U45"/>
    </row>
    <row r="46" spans="2:21" ht="15" customHeight="1">
      <c r="B46" s="31"/>
      <c r="C46" s="31"/>
      <c r="D46" s="31"/>
      <c r="E46" s="31"/>
      <c r="F46" s="31"/>
      <c r="G46" s="31"/>
      <c r="H46" s="31"/>
      <c r="I46" s="31"/>
      <c r="J46" s="31"/>
      <c r="K46"/>
      <c r="L46"/>
      <c r="M46"/>
      <c r="N46"/>
      <c r="O46"/>
      <c r="P46"/>
      <c r="Q46"/>
      <c r="R46"/>
      <c r="S46"/>
      <c r="T46"/>
      <c r="U46"/>
    </row>
    <row r="47" spans="2:21" ht="15" customHeight="1">
      <c r="B47" s="31"/>
      <c r="C47" s="31"/>
      <c r="D47" s="31"/>
      <c r="E47" s="31"/>
      <c r="F47" s="31"/>
      <c r="G47" s="31"/>
      <c r="H47" s="31"/>
      <c r="I47" s="31"/>
      <c r="J47" s="31"/>
      <c r="K47"/>
      <c r="L47"/>
      <c r="M47"/>
      <c r="N47"/>
      <c r="O47"/>
      <c r="P47"/>
      <c r="Q47"/>
      <c r="R47"/>
      <c r="S47"/>
      <c r="T47"/>
      <c r="U47"/>
    </row>
    <row r="48" spans="2:21" ht="15" customHeight="1">
      <c r="B48" s="31"/>
      <c r="C48" s="31"/>
      <c r="D48" s="31"/>
      <c r="E48" s="31"/>
      <c r="F48" s="31"/>
      <c r="G48" s="31"/>
      <c r="H48" s="31"/>
      <c r="I48" s="31"/>
      <c r="J48" s="31"/>
      <c r="K48"/>
      <c r="L48"/>
      <c r="M48"/>
      <c r="N48"/>
      <c r="O48"/>
      <c r="P48"/>
      <c r="Q48"/>
      <c r="R48"/>
      <c r="S48"/>
      <c r="T48"/>
      <c r="U48"/>
    </row>
    <row r="49" spans="2:21" ht="15" customHeight="1">
      <c r="B49" s="31"/>
      <c r="C49" s="31"/>
      <c r="D49" s="31"/>
      <c r="E49" s="31"/>
      <c r="F49" s="31"/>
      <c r="G49" s="31"/>
      <c r="H49" s="31"/>
      <c r="I49" s="31"/>
      <c r="J49" s="31"/>
      <c r="K49"/>
      <c r="L49"/>
      <c r="M49"/>
      <c r="N49"/>
      <c r="O49"/>
      <c r="P49"/>
      <c r="Q49"/>
      <c r="R49"/>
      <c r="S49"/>
      <c r="T49"/>
      <c r="U49"/>
    </row>
    <row r="50" spans="2:21" ht="15" customHeight="1">
      <c r="B50" s="31"/>
      <c r="C50" s="31"/>
      <c r="D50" s="31"/>
      <c r="E50" s="31"/>
      <c r="F50" s="31"/>
      <c r="G50" s="31"/>
      <c r="H50" s="31"/>
      <c r="I50" s="31"/>
      <c r="J50" s="31"/>
      <c r="K50"/>
      <c r="L50"/>
      <c r="M50"/>
      <c r="N50"/>
      <c r="O50"/>
      <c r="P50"/>
      <c r="Q50"/>
      <c r="R50"/>
      <c r="S50"/>
      <c r="T50"/>
      <c r="U50"/>
    </row>
    <row r="51" spans="2:21" ht="15" customHeight="1">
      <c r="B51" s="31"/>
      <c r="C51" s="31"/>
      <c r="D51" s="31"/>
      <c r="E51" s="31"/>
      <c r="F51" s="31"/>
      <c r="G51" s="31"/>
      <c r="H51" s="31"/>
      <c r="I51" s="31"/>
      <c r="J51" s="31"/>
    </row>
    <row r="52" spans="2:21" ht="15" customHeight="1">
      <c r="B52" s="31"/>
      <c r="C52" s="31"/>
      <c r="D52" s="31"/>
      <c r="E52" s="31"/>
      <c r="F52" s="31"/>
      <c r="G52" s="31"/>
      <c r="H52" s="31"/>
      <c r="I52" s="31"/>
      <c r="J52" s="31"/>
    </row>
    <row r="53" spans="2:21" ht="15" customHeight="1">
      <c r="B53" s="31"/>
      <c r="C53" s="31"/>
      <c r="D53" s="31"/>
      <c r="E53" s="31"/>
      <c r="F53" s="31"/>
      <c r="G53" s="31"/>
      <c r="H53" s="31"/>
      <c r="I53" s="31"/>
      <c r="J53" s="31"/>
    </row>
    <row r="54" spans="2:21" ht="15" customHeight="1">
      <c r="B54" s="31"/>
      <c r="C54" s="31"/>
      <c r="D54" s="31"/>
      <c r="E54" s="31"/>
      <c r="F54" s="31"/>
      <c r="G54" s="31"/>
      <c r="H54" s="31"/>
      <c r="I54" s="31"/>
      <c r="J54" s="31"/>
    </row>
    <row r="55" spans="2:21" ht="15" customHeight="1">
      <c r="B55" s="31"/>
      <c r="C55" s="31"/>
      <c r="D55" s="31"/>
      <c r="E55" s="31"/>
      <c r="F55" s="31"/>
      <c r="G55" s="31"/>
      <c r="H55" s="31"/>
      <c r="I55" s="31"/>
      <c r="J55" s="31"/>
    </row>
    <row r="56" spans="2:21" ht="15" customHeight="1">
      <c r="B56" s="31"/>
      <c r="C56" s="31"/>
      <c r="D56" s="31"/>
      <c r="E56" s="31"/>
      <c r="F56" s="31"/>
      <c r="G56" s="31"/>
      <c r="H56" s="31"/>
      <c r="I56" s="31"/>
      <c r="J56" s="31"/>
    </row>
    <row r="57" spans="2:21" ht="15" customHeight="1">
      <c r="B57" s="31"/>
      <c r="C57" s="31"/>
      <c r="D57" s="31"/>
      <c r="E57" s="31"/>
      <c r="F57" s="31"/>
      <c r="G57" s="31"/>
      <c r="H57" s="31"/>
      <c r="I57" s="31"/>
      <c r="J57" s="31"/>
    </row>
    <row r="58" spans="2:21" ht="15" customHeight="1">
      <c r="B58" s="31"/>
      <c r="C58" s="31"/>
      <c r="D58" s="31"/>
      <c r="E58" s="31"/>
      <c r="F58" s="31"/>
      <c r="G58" s="31"/>
      <c r="H58" s="31"/>
      <c r="I58" s="31"/>
      <c r="J58" s="31"/>
    </row>
    <row r="59" spans="2:21" ht="15" customHeight="1">
      <c r="B59" s="31"/>
      <c r="C59" s="31"/>
      <c r="D59" s="31"/>
      <c r="E59" s="31"/>
      <c r="F59" s="31"/>
      <c r="G59" s="31"/>
      <c r="H59" s="31"/>
      <c r="I59" s="31"/>
      <c r="J59" s="31"/>
    </row>
    <row r="60" spans="2:21" ht="15" customHeight="1">
      <c r="B60" s="31"/>
      <c r="C60" s="31"/>
      <c r="D60" s="31"/>
      <c r="E60" s="31"/>
      <c r="F60" s="31"/>
      <c r="G60" s="31"/>
      <c r="H60" s="31"/>
      <c r="I60" s="31"/>
      <c r="J60" s="31"/>
    </row>
    <row r="61" spans="2:21" ht="15" customHeight="1">
      <c r="B61" s="31"/>
      <c r="C61" s="31"/>
      <c r="D61" s="31"/>
      <c r="E61" s="31"/>
      <c r="F61" s="31"/>
      <c r="G61" s="31"/>
      <c r="H61" s="31"/>
      <c r="I61" s="31"/>
      <c r="J61" s="31"/>
    </row>
    <row r="62" spans="2:21" ht="15" customHeight="1">
      <c r="B62" s="31"/>
      <c r="C62" s="31"/>
      <c r="D62" s="31"/>
      <c r="E62" s="31"/>
      <c r="F62" s="31"/>
      <c r="G62" s="31"/>
      <c r="H62" s="31"/>
      <c r="I62" s="31"/>
      <c r="J62" s="31"/>
    </row>
    <row r="63" spans="2:21" ht="15" customHeight="1">
      <c r="B63" s="31"/>
      <c r="C63" s="31"/>
      <c r="D63" s="31"/>
      <c r="E63" s="31"/>
      <c r="F63" s="31"/>
      <c r="G63" s="31"/>
      <c r="H63" s="31"/>
      <c r="I63" s="31"/>
      <c r="J63" s="31"/>
    </row>
    <row r="64" spans="2:21" ht="15" customHeight="1">
      <c r="B64" s="31"/>
      <c r="C64" s="31"/>
      <c r="D64" s="31"/>
      <c r="E64" s="31"/>
      <c r="F64" s="31"/>
      <c r="G64" s="31"/>
      <c r="H64" s="31"/>
      <c r="I64" s="31"/>
      <c r="J64" s="31"/>
    </row>
    <row r="65" spans="2:10" ht="15" customHeight="1">
      <c r="B65" s="31"/>
      <c r="C65" s="31"/>
      <c r="D65" s="31"/>
      <c r="E65" s="31"/>
      <c r="F65" s="31"/>
      <c r="G65" s="31"/>
      <c r="H65" s="31"/>
      <c r="I65" s="31"/>
      <c r="J65" s="31"/>
    </row>
    <row r="66" spans="2:10" ht="15" customHeight="1">
      <c r="B66" s="31"/>
      <c r="C66" s="31"/>
      <c r="D66" s="31"/>
      <c r="E66" s="31"/>
      <c r="F66" s="31"/>
      <c r="G66" s="31"/>
      <c r="H66" s="31"/>
      <c r="I66" s="31"/>
      <c r="J66" s="31"/>
    </row>
    <row r="67" spans="2:10" ht="15" customHeight="1">
      <c r="B67" s="31"/>
      <c r="C67" s="31"/>
      <c r="D67" s="31"/>
      <c r="E67" s="31"/>
      <c r="F67" s="31"/>
      <c r="G67" s="31"/>
      <c r="H67" s="31"/>
      <c r="I67" s="31"/>
      <c r="J67" s="31"/>
    </row>
    <row r="68" spans="2:10" ht="15" customHeight="1">
      <c r="B68" s="31"/>
      <c r="C68" s="31"/>
      <c r="D68" s="31"/>
      <c r="E68" s="31"/>
      <c r="F68" s="31"/>
      <c r="G68" s="31"/>
      <c r="H68" s="31"/>
      <c r="I68" s="31"/>
      <c r="J68" s="31"/>
    </row>
    <row r="69" spans="2:10" ht="15" customHeight="1">
      <c r="B69" s="31"/>
      <c r="C69" s="31"/>
      <c r="D69" s="31"/>
      <c r="E69" s="31"/>
      <c r="F69" s="31"/>
      <c r="G69" s="31"/>
      <c r="H69" s="31"/>
      <c r="I69" s="31"/>
      <c r="J69" s="31"/>
    </row>
    <row r="70" spans="2:10" ht="15" customHeight="1">
      <c r="B70" s="31"/>
      <c r="C70" s="31"/>
      <c r="D70" s="31"/>
      <c r="E70" s="31"/>
      <c r="F70" s="31"/>
      <c r="G70" s="31"/>
      <c r="H70" s="31"/>
      <c r="I70" s="31"/>
      <c r="J70" s="31"/>
    </row>
    <row r="71" spans="2:10" ht="15" customHeight="1">
      <c r="B71" s="31"/>
      <c r="C71" s="31"/>
      <c r="D71" s="31"/>
      <c r="E71" s="31"/>
      <c r="F71" s="31"/>
      <c r="G71" s="31"/>
      <c r="H71" s="31"/>
      <c r="I71" s="31"/>
      <c r="J71" s="31"/>
    </row>
    <row r="72" spans="2:10" ht="15" customHeight="1">
      <c r="B72" s="31"/>
      <c r="C72" s="31"/>
      <c r="D72" s="31"/>
      <c r="E72" s="31"/>
      <c r="F72" s="31"/>
      <c r="G72" s="31"/>
      <c r="H72" s="31"/>
      <c r="I72" s="31"/>
      <c r="J72" s="31"/>
    </row>
    <row r="73" spans="2:10" ht="15" customHeight="1">
      <c r="B73" s="31"/>
      <c r="C73" s="31"/>
      <c r="D73" s="31"/>
      <c r="E73" s="31"/>
      <c r="F73" s="31"/>
      <c r="G73" s="31"/>
      <c r="H73" s="31"/>
      <c r="I73" s="31"/>
      <c r="J73" s="31"/>
    </row>
    <row r="74" spans="2:10" ht="15" customHeight="1">
      <c r="B74" s="31"/>
      <c r="C74" s="31"/>
      <c r="D74" s="31"/>
      <c r="E74" s="31"/>
      <c r="F74" s="31"/>
      <c r="G74" s="31"/>
      <c r="H74" s="31"/>
      <c r="I74" s="31"/>
      <c r="J74" s="31"/>
    </row>
    <row r="75" spans="2:10" ht="15" customHeight="1">
      <c r="B75" s="31"/>
      <c r="C75" s="31"/>
      <c r="D75" s="31"/>
      <c r="E75" s="31"/>
      <c r="F75" s="31"/>
      <c r="G75" s="31"/>
      <c r="H75" s="31"/>
      <c r="I75" s="31"/>
      <c r="J75" s="31"/>
    </row>
    <row r="76" spans="2:10" ht="15" customHeight="1">
      <c r="B76" s="31"/>
      <c r="C76" s="31"/>
      <c r="D76" s="31"/>
      <c r="E76" s="31"/>
      <c r="F76" s="31"/>
      <c r="G76" s="31"/>
      <c r="H76" s="31"/>
      <c r="I76" s="31"/>
      <c r="J76" s="31"/>
    </row>
    <row r="77" spans="2:10" ht="15" customHeight="1">
      <c r="B77" s="31"/>
      <c r="C77" s="31"/>
      <c r="D77" s="31"/>
      <c r="E77" s="31"/>
      <c r="F77" s="31"/>
      <c r="G77" s="31"/>
      <c r="H77" s="31"/>
      <c r="I77" s="31"/>
      <c r="J77" s="31"/>
    </row>
    <row r="78" spans="2:10" ht="15" customHeight="1">
      <c r="B78" s="31"/>
      <c r="C78" s="31"/>
      <c r="D78" s="31"/>
      <c r="E78" s="31"/>
      <c r="F78" s="31"/>
      <c r="G78" s="31"/>
      <c r="H78" s="31"/>
      <c r="I78" s="31"/>
      <c r="J78" s="31"/>
    </row>
    <row r="79" spans="2:10" ht="15" customHeight="1">
      <c r="B79" s="31"/>
      <c r="C79" s="31"/>
      <c r="D79" s="31"/>
      <c r="E79" s="31"/>
      <c r="F79" s="31"/>
      <c r="G79" s="31"/>
      <c r="H79" s="31"/>
      <c r="I79" s="31"/>
      <c r="J79" s="31"/>
    </row>
    <row r="80" spans="2:10" ht="15" customHeight="1">
      <c r="B80" s="31"/>
      <c r="C80" s="31"/>
      <c r="D80" s="31"/>
      <c r="E80" s="31"/>
      <c r="F80" s="31"/>
      <c r="G80" s="31"/>
      <c r="H80" s="31"/>
      <c r="I80" s="31"/>
      <c r="J80" s="31"/>
    </row>
    <row r="81" spans="2:10" ht="15" customHeight="1">
      <c r="B81" s="31"/>
      <c r="C81" s="31"/>
      <c r="D81" s="31"/>
      <c r="E81" s="31"/>
      <c r="F81" s="31"/>
      <c r="G81" s="31"/>
      <c r="H81" s="31"/>
      <c r="I81" s="31"/>
      <c r="J81" s="31"/>
    </row>
    <row r="82" spans="2:10" ht="15" customHeight="1">
      <c r="B82" s="31"/>
      <c r="C82" s="31"/>
      <c r="D82" s="31"/>
      <c r="E82" s="31"/>
      <c r="F82" s="31"/>
      <c r="G82" s="31"/>
      <c r="H82" s="31"/>
      <c r="I82" s="31"/>
      <c r="J82" s="31"/>
    </row>
    <row r="83" spans="2:10" ht="15" customHeight="1">
      <c r="B83" s="31"/>
      <c r="C83" s="31"/>
      <c r="D83" s="31"/>
      <c r="E83" s="31"/>
      <c r="F83" s="31"/>
      <c r="G83" s="31"/>
      <c r="H83" s="31"/>
      <c r="I83" s="31"/>
      <c r="J83" s="31"/>
    </row>
    <row r="84" spans="2:10" ht="15" customHeight="1">
      <c r="B84" s="31"/>
      <c r="C84" s="31"/>
      <c r="D84" s="31"/>
      <c r="E84" s="31"/>
      <c r="F84" s="31"/>
      <c r="G84" s="31"/>
      <c r="H84" s="31"/>
      <c r="I84" s="31"/>
      <c r="J84" s="31"/>
    </row>
    <row r="85" spans="2:10" ht="15" customHeight="1">
      <c r="B85" s="31"/>
      <c r="C85" s="31"/>
      <c r="D85" s="31"/>
      <c r="E85" s="31"/>
      <c r="F85" s="31"/>
      <c r="G85" s="31"/>
      <c r="H85" s="31"/>
      <c r="I85" s="31"/>
      <c r="J85" s="31"/>
    </row>
    <row r="86" spans="2:10" ht="15" customHeight="1">
      <c r="B86" s="31"/>
      <c r="C86" s="31"/>
      <c r="D86" s="31"/>
      <c r="E86" s="31"/>
      <c r="F86" s="31"/>
      <c r="G86" s="31"/>
      <c r="H86" s="31"/>
      <c r="I86" s="31"/>
      <c r="J86" s="31"/>
    </row>
    <row r="87" spans="2:10" ht="15" customHeight="1">
      <c r="B87" s="31"/>
      <c r="C87" s="31"/>
      <c r="D87" s="31"/>
      <c r="E87" s="31"/>
      <c r="F87" s="31"/>
      <c r="G87" s="31"/>
      <c r="H87" s="31"/>
      <c r="I87" s="31"/>
      <c r="J87" s="31"/>
    </row>
    <row r="88" spans="2:10" ht="15" customHeight="1">
      <c r="B88" s="31"/>
      <c r="C88" s="31"/>
      <c r="D88" s="31"/>
      <c r="E88" s="31"/>
      <c r="F88" s="31"/>
      <c r="G88" s="31"/>
      <c r="H88" s="31"/>
      <c r="I88" s="31"/>
      <c r="J88" s="31"/>
    </row>
    <row r="89" spans="2:10" ht="15" customHeight="1">
      <c r="B89" s="31"/>
      <c r="C89" s="31"/>
      <c r="D89" s="31"/>
      <c r="E89" s="31"/>
      <c r="F89" s="31"/>
      <c r="G89" s="31"/>
      <c r="H89" s="31"/>
      <c r="I89" s="31"/>
      <c r="J89" s="31"/>
    </row>
    <row r="90" spans="2:10" ht="15" customHeight="1">
      <c r="B90" s="31"/>
      <c r="C90" s="31"/>
      <c r="D90" s="31"/>
      <c r="E90" s="31"/>
      <c r="F90" s="31"/>
      <c r="G90" s="31"/>
      <c r="H90" s="31"/>
      <c r="I90" s="31"/>
      <c r="J90" s="31"/>
    </row>
    <row r="91" spans="2:10" ht="15" customHeight="1">
      <c r="B91" s="31"/>
      <c r="C91" s="31"/>
      <c r="D91" s="31"/>
      <c r="E91" s="31"/>
      <c r="F91" s="31"/>
      <c r="G91" s="31"/>
      <c r="H91" s="31"/>
      <c r="I91" s="31"/>
      <c r="J91" s="31"/>
    </row>
    <row r="92" spans="2:10" ht="15" customHeight="1">
      <c r="B92" s="31"/>
      <c r="C92" s="31"/>
      <c r="D92" s="31"/>
      <c r="E92" s="31"/>
      <c r="F92" s="31"/>
      <c r="G92" s="31"/>
      <c r="H92" s="31"/>
      <c r="I92" s="31"/>
      <c r="J92" s="31"/>
    </row>
    <row r="93" spans="2:10" ht="15" customHeight="1">
      <c r="B93" s="31"/>
      <c r="C93" s="31"/>
      <c r="D93" s="31"/>
      <c r="E93" s="31"/>
      <c r="F93" s="31"/>
      <c r="G93" s="31"/>
      <c r="H93" s="31"/>
      <c r="I93" s="31"/>
      <c r="J93" s="31"/>
    </row>
    <row r="94" spans="2:10" ht="15" customHeight="1">
      <c r="B94" s="31"/>
      <c r="C94" s="31"/>
      <c r="D94" s="31"/>
      <c r="E94" s="31"/>
      <c r="F94" s="31"/>
      <c r="G94" s="31"/>
      <c r="H94" s="31"/>
      <c r="I94" s="31"/>
      <c r="J94" s="31"/>
    </row>
    <row r="95" spans="2:10" ht="15" customHeight="1">
      <c r="B95" s="31"/>
      <c r="C95" s="31"/>
      <c r="D95" s="31"/>
      <c r="E95" s="31"/>
      <c r="F95" s="31"/>
      <c r="G95" s="31"/>
      <c r="H95" s="31"/>
      <c r="I95" s="31"/>
      <c r="J95" s="31"/>
    </row>
    <row r="96" spans="2:10" ht="15" customHeight="1">
      <c r="B96" s="31"/>
      <c r="C96" s="31"/>
      <c r="D96" s="31"/>
      <c r="E96" s="31"/>
      <c r="F96" s="31"/>
      <c r="G96" s="31"/>
      <c r="H96" s="31"/>
      <c r="I96" s="31"/>
      <c r="J96" s="31"/>
    </row>
    <row r="97" spans="2:10" ht="15" customHeight="1">
      <c r="B97" s="31"/>
      <c r="C97" s="31"/>
      <c r="D97" s="31"/>
      <c r="E97" s="31"/>
      <c r="F97" s="31"/>
      <c r="G97" s="31"/>
      <c r="H97" s="31"/>
      <c r="I97" s="31"/>
      <c r="J97" s="31"/>
    </row>
    <row r="98" spans="2:10" ht="15" customHeight="1">
      <c r="B98" s="31"/>
      <c r="C98" s="31"/>
      <c r="D98" s="31"/>
      <c r="E98" s="31"/>
      <c r="F98" s="31"/>
      <c r="G98" s="31"/>
      <c r="H98" s="31"/>
      <c r="I98" s="31"/>
      <c r="J98" s="31"/>
    </row>
    <row r="99" spans="2:10" ht="15" customHeight="1">
      <c r="B99" s="31"/>
      <c r="C99" s="31"/>
      <c r="D99" s="31"/>
      <c r="E99" s="31"/>
      <c r="F99" s="31"/>
      <c r="G99" s="31"/>
      <c r="H99" s="31"/>
      <c r="I99" s="31"/>
      <c r="J99" s="31"/>
    </row>
    <row r="100" spans="2:10" ht="15" customHeight="1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2:10" ht="15" customHeight="1">
      <c r="B101" s="31"/>
      <c r="C101" s="31"/>
      <c r="D101" s="31"/>
      <c r="E101" s="31"/>
      <c r="F101" s="31"/>
      <c r="G101" s="31"/>
      <c r="H101" s="31"/>
      <c r="I101" s="31"/>
      <c r="J101" s="31"/>
    </row>
  </sheetData>
  <mergeCells count="1">
    <mergeCell ref="H1:I1"/>
  </mergeCells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U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>
      <c r="A1" s="7">
        <v>16</v>
      </c>
      <c r="B1" s="27" t="s">
        <v>12</v>
      </c>
      <c r="C1" s="20"/>
      <c r="D1" s="20"/>
      <c r="E1" s="20"/>
      <c r="F1" s="20"/>
      <c r="G1" s="20"/>
      <c r="H1" s="854" t="s">
        <v>24</v>
      </c>
      <c r="I1" s="855"/>
      <c r="K1" s="1" t="s">
        <v>33</v>
      </c>
      <c r="L1" s="52" t="str">
        <f>VLOOKUP(A1,'Point Grid'!$L$8:$T$54,9,FALSE)</f>
        <v>Pricing - Chap 11: Special Classification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1"/>
      <c r="K3" s="48" t="s">
        <v>2</v>
      </c>
      <c r="L3" s="96" t="s">
        <v>399</v>
      </c>
      <c r="M3"/>
      <c r="N3"/>
      <c r="O3"/>
      <c r="P3"/>
      <c r="Q3"/>
      <c r="R3"/>
      <c r="S3"/>
      <c r="T3"/>
      <c r="U3"/>
    </row>
    <row r="4" spans="1:21">
      <c r="A4" s="9">
        <f>INDEX('Point Grid'!B:B,MATCH(A1,'Point Grid'!A:A,0))</f>
        <v>2.5</v>
      </c>
      <c r="B4" s="17"/>
      <c r="C4" s="17"/>
      <c r="D4" s="17"/>
      <c r="E4" s="17"/>
      <c r="F4" s="17"/>
      <c r="G4" s="17"/>
      <c r="H4" s="17"/>
      <c r="I4" s="18"/>
      <c r="J4" s="31"/>
      <c r="K4" s="48"/>
      <c r="L4" t="s">
        <v>400</v>
      </c>
      <c r="M4"/>
      <c r="N4"/>
      <c r="O4"/>
      <c r="P4"/>
      <c r="Q4"/>
      <c r="R4"/>
      <c r="S4"/>
      <c r="T4"/>
      <c r="U4"/>
    </row>
    <row r="5" spans="1:21">
      <c r="A5" s="16"/>
      <c r="B5" s="17"/>
      <c r="C5" s="17"/>
      <c r="D5" s="17"/>
      <c r="E5" s="17"/>
      <c r="F5" s="17"/>
      <c r="G5" s="17"/>
      <c r="H5" s="17"/>
      <c r="I5" s="18"/>
      <c r="J5" s="31"/>
      <c r="K5" s="48"/>
      <c r="L5"/>
      <c r="M5"/>
      <c r="N5"/>
      <c r="O5"/>
      <c r="P5"/>
      <c r="Q5"/>
      <c r="R5"/>
      <c r="S5"/>
      <c r="T5"/>
      <c r="U5"/>
    </row>
    <row r="6" spans="1:21">
      <c r="A6" s="25" t="s">
        <v>2</v>
      </c>
      <c r="B6" s="17" t="s">
        <v>398</v>
      </c>
      <c r="C6" s="17"/>
      <c r="D6" s="17"/>
      <c r="E6" s="17"/>
      <c r="F6" s="17"/>
      <c r="G6" s="17"/>
      <c r="H6" s="17"/>
      <c r="I6" s="18"/>
      <c r="J6" s="31"/>
      <c r="K6" s="48"/>
      <c r="L6" s="37" t="s">
        <v>401</v>
      </c>
      <c r="M6"/>
      <c r="N6"/>
      <c r="O6"/>
      <c r="P6"/>
      <c r="Q6"/>
      <c r="R6"/>
      <c r="S6"/>
      <c r="T6"/>
      <c r="U6"/>
    </row>
    <row r="7" spans="1:21" ht="15.75" thickBot="1">
      <c r="A7" s="9">
        <f>INDEX('Point Grid'!$C$8:$I$54,MATCH($A$1,'Point Grid'!$A$8:$A$54,0),MATCH(A6,'Point Grid'!$C$7:$I$7,0))</f>
        <v>0.25</v>
      </c>
      <c r="B7" s="17"/>
      <c r="C7" s="17"/>
      <c r="D7" s="17"/>
      <c r="E7" s="17"/>
      <c r="F7" s="17"/>
      <c r="G7" s="17"/>
      <c r="H7" s="17"/>
      <c r="I7" s="18"/>
      <c r="J7" s="31"/>
      <c r="K7" s="48"/>
      <c r="L7" s="48"/>
      <c r="M7" s="48"/>
      <c r="N7" s="48"/>
      <c r="O7" s="48"/>
      <c r="P7" s="48"/>
      <c r="Q7" s="48"/>
      <c r="R7" s="48"/>
      <c r="S7" s="48"/>
      <c r="T7" s="48"/>
      <c r="U7"/>
    </row>
    <row r="8" spans="1:21" ht="15.75" thickBot="1">
      <c r="A8" s="5"/>
      <c r="B8" s="17"/>
      <c r="C8" s="28"/>
      <c r="D8" s="28"/>
      <c r="E8" s="28"/>
      <c r="F8" s="28"/>
      <c r="G8" s="28"/>
      <c r="H8" s="28"/>
      <c r="I8" s="18"/>
      <c r="J8" s="31"/>
      <c r="K8" s="48" t="s">
        <v>3</v>
      </c>
      <c r="L8" s="49" t="s">
        <v>416</v>
      </c>
      <c r="M8" s="48"/>
      <c r="N8" s="48"/>
      <c r="O8" s="48"/>
      <c r="P8" s="48"/>
      <c r="Q8" s="48"/>
      <c r="R8" s="48"/>
      <c r="S8" s="48"/>
      <c r="T8" s="48"/>
      <c r="U8"/>
    </row>
    <row r="9" spans="1:21">
      <c r="A9" s="25"/>
      <c r="B9" s="17"/>
      <c r="C9" s="17"/>
      <c r="D9" s="17"/>
      <c r="E9" s="17"/>
      <c r="F9" s="17"/>
      <c r="G9" s="17"/>
      <c r="H9" s="17"/>
      <c r="I9" s="18"/>
      <c r="J9" s="31"/>
      <c r="K9" s="48"/>
      <c r="L9" s="49" t="s">
        <v>417</v>
      </c>
      <c r="M9" s="48"/>
      <c r="N9" s="48"/>
      <c r="O9" s="48"/>
      <c r="P9" s="48"/>
      <c r="Q9" s="48"/>
      <c r="R9" s="48"/>
      <c r="S9" s="48"/>
      <c r="T9" s="48"/>
    </row>
    <row r="10" spans="1:21">
      <c r="A10" s="25" t="s">
        <v>3</v>
      </c>
      <c r="B10" s="17" t="s">
        <v>419</v>
      </c>
      <c r="C10" s="17"/>
      <c r="D10" s="17"/>
      <c r="E10" s="17"/>
      <c r="F10" s="17"/>
      <c r="G10" s="17"/>
      <c r="H10" s="17"/>
      <c r="I10" s="18"/>
      <c r="J10" s="31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/>
    </row>
    <row r="11" spans="1:21" ht="15.75" thickBot="1">
      <c r="A11" s="9">
        <f>INDEX('Point Grid'!$C$8:$I$54,MATCH($A$1,'Point Grid'!$A$8:$A$54,0),MATCH(A10,'Point Grid'!$C$7:$I$7,0))</f>
        <v>0.5</v>
      </c>
      <c r="B11" s="17"/>
      <c r="C11" s="17"/>
      <c r="D11" s="17"/>
      <c r="E11" s="17"/>
      <c r="F11" s="17"/>
      <c r="G11" s="17"/>
      <c r="H11" s="17"/>
      <c r="I11" s="18"/>
      <c r="J11" s="31"/>
      <c r="K11" s="48"/>
      <c r="L11" s="361" t="s">
        <v>418</v>
      </c>
      <c r="M11" s="48"/>
      <c r="N11" s="48"/>
      <c r="O11" s="48"/>
      <c r="P11" s="48"/>
      <c r="Q11" s="48"/>
      <c r="R11" s="48"/>
      <c r="S11" s="48"/>
      <c r="T11" s="48"/>
      <c r="U11"/>
    </row>
    <row r="12" spans="1:21" ht="15.75" thickBot="1">
      <c r="A12" s="5"/>
      <c r="B12" s="17"/>
      <c r="C12" s="28"/>
      <c r="D12" s="28"/>
      <c r="E12" s="28"/>
      <c r="F12" s="28"/>
      <c r="G12" s="28"/>
      <c r="H12" s="28"/>
      <c r="I12" s="18"/>
      <c r="J12" s="31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/>
    </row>
    <row r="13" spans="1:21">
      <c r="A13" s="25"/>
      <c r="B13" s="17"/>
      <c r="C13" s="28"/>
      <c r="D13" s="28"/>
      <c r="E13" s="28"/>
      <c r="F13" s="28"/>
      <c r="G13" s="28"/>
      <c r="H13" s="28"/>
      <c r="I13" s="18"/>
      <c r="J13" s="31"/>
      <c r="K13" s="48" t="s">
        <v>4</v>
      </c>
      <c r="L13" s="37" t="s">
        <v>420</v>
      </c>
      <c r="M13" s="37"/>
      <c r="N13" s="37"/>
      <c r="Q13"/>
      <c r="R13"/>
      <c r="S13" s="48"/>
      <c r="T13" s="48"/>
      <c r="U13"/>
    </row>
    <row r="14" spans="1:21">
      <c r="A14" s="25" t="s">
        <v>4</v>
      </c>
      <c r="B14" s="17" t="s">
        <v>402</v>
      </c>
      <c r="C14" s="17"/>
      <c r="D14" s="17"/>
      <c r="E14" s="17"/>
      <c r="F14" s="17"/>
      <c r="G14" s="17"/>
      <c r="H14" s="17"/>
      <c r="I14" s="18"/>
      <c r="J14" s="31"/>
      <c r="K14" s="48"/>
      <c r="L14" s="37"/>
      <c r="M14" s="37"/>
      <c r="N14" s="37"/>
      <c r="Q14"/>
      <c r="R14"/>
      <c r="S14" s="48"/>
      <c r="T14" s="48"/>
      <c r="U14"/>
    </row>
    <row r="15" spans="1:21" ht="15.75" thickBot="1">
      <c r="A15" s="9">
        <f>INDEX('Point Grid'!$C$8:$I$54,MATCH($A$1,'Point Grid'!$A$8:$A$54,0),MATCH(A14,'Point Grid'!$C$7:$I$7,0))</f>
        <v>0.75</v>
      </c>
      <c r="B15" s="17" t="s">
        <v>403</v>
      </c>
      <c r="C15" s="17"/>
      <c r="D15" s="17"/>
      <c r="E15" s="17"/>
      <c r="F15" s="17"/>
      <c r="G15" s="17"/>
      <c r="H15" s="17"/>
      <c r="I15" s="18"/>
      <c r="J15" s="31"/>
      <c r="K15"/>
      <c r="L15" s="359">
        <v>1</v>
      </c>
      <c r="M15" s="360" t="s">
        <v>414</v>
      </c>
      <c r="N15" s="37"/>
      <c r="Q15"/>
      <c r="R15"/>
      <c r="S15" s="48"/>
      <c r="T15" s="48"/>
      <c r="U15"/>
    </row>
    <row r="16" spans="1:21" ht="15.75" thickBot="1">
      <c r="A16" s="5"/>
      <c r="B16" s="17" t="s">
        <v>404</v>
      </c>
      <c r="C16" s="17"/>
      <c r="D16" s="17"/>
      <c r="E16" s="17"/>
      <c r="F16" s="17"/>
      <c r="G16" s="17"/>
      <c r="H16" s="17"/>
      <c r="I16" s="18"/>
      <c r="J16" s="31"/>
      <c r="K16"/>
      <c r="L16" s="320"/>
      <c r="M16" s="134" t="s">
        <v>405</v>
      </c>
      <c r="N16" s="37"/>
    </row>
    <row r="17" spans="1:21">
      <c r="A17" s="22"/>
      <c r="B17" s="17"/>
      <c r="C17" s="17"/>
      <c r="D17" s="17"/>
      <c r="E17" s="17"/>
      <c r="F17" s="17"/>
      <c r="G17" s="17"/>
      <c r="H17" s="17"/>
      <c r="I17" s="18"/>
      <c r="J17" s="31"/>
      <c r="K17"/>
      <c r="L17" s="359">
        <v>2</v>
      </c>
      <c r="M17" s="360" t="s">
        <v>406</v>
      </c>
      <c r="N17" s="37"/>
    </row>
    <row r="18" spans="1:21" ht="15" customHeight="1">
      <c r="A18" s="25" t="s">
        <v>5</v>
      </c>
      <c r="B18" s="178" t="s">
        <v>421</v>
      </c>
      <c r="C18" s="178"/>
      <c r="D18" s="178"/>
      <c r="E18" s="178"/>
      <c r="F18" s="178"/>
      <c r="G18" s="178"/>
      <c r="H18" s="178"/>
      <c r="I18" s="18"/>
      <c r="J18" s="31"/>
      <c r="K18" s="48"/>
      <c r="L18" s="320"/>
      <c r="M18" s="134" t="s">
        <v>407</v>
      </c>
      <c r="N18" s="37"/>
    </row>
    <row r="19" spans="1:21" ht="15" customHeight="1" thickBot="1">
      <c r="A19" s="9">
        <f>INDEX('Point Grid'!$C$8:$I$54,MATCH($A$1,'Point Grid'!$A$8:$A$54,0),MATCH(A18,'Point Grid'!$C$7:$I$7,0))</f>
        <v>1</v>
      </c>
      <c r="B19" s="178"/>
      <c r="C19" s="178"/>
      <c r="D19" s="178"/>
      <c r="E19" s="178"/>
      <c r="F19" s="178"/>
      <c r="G19" s="178"/>
      <c r="H19" s="178"/>
      <c r="I19" s="18"/>
      <c r="J19" s="31"/>
      <c r="K19"/>
      <c r="L19" s="359">
        <v>3</v>
      </c>
      <c r="M19" s="360" t="s">
        <v>408</v>
      </c>
      <c r="N19" s="37"/>
    </row>
    <row r="20" spans="1:21" ht="15" customHeight="1" thickBot="1">
      <c r="A20" s="5"/>
      <c r="B20" s="154"/>
      <c r="C20" s="174" t="s">
        <v>422</v>
      </c>
      <c r="D20" s="176"/>
      <c r="E20" s="176">
        <v>410000</v>
      </c>
      <c r="F20" s="178"/>
      <c r="G20" s="178"/>
      <c r="H20" s="178"/>
      <c r="I20" s="18"/>
      <c r="J20" s="31"/>
      <c r="K20"/>
      <c r="L20" s="320"/>
      <c r="M20" s="134" t="s">
        <v>415</v>
      </c>
      <c r="N20" s="37"/>
    </row>
    <row r="21" spans="1:21" ht="15" customHeight="1">
      <c r="A21" s="22"/>
      <c r="B21" s="154"/>
      <c r="C21" s="186" t="s">
        <v>423</v>
      </c>
      <c r="D21" s="188"/>
      <c r="E21" s="188">
        <v>217300</v>
      </c>
      <c r="F21" s="178"/>
      <c r="G21" s="178"/>
      <c r="H21" s="178"/>
      <c r="I21" s="18"/>
      <c r="J21" s="31"/>
      <c r="K21" s="48"/>
      <c r="L21" s="359">
        <v>4</v>
      </c>
      <c r="M21" s="360" t="s">
        <v>409</v>
      </c>
      <c r="N21" s="37"/>
    </row>
    <row r="22" spans="1:21" ht="15" customHeight="1">
      <c r="A22" s="22"/>
      <c r="B22" s="154"/>
      <c r="C22" s="186" t="s">
        <v>424</v>
      </c>
      <c r="D22" s="188"/>
      <c r="E22" s="253">
        <v>0.02</v>
      </c>
      <c r="F22" s="362"/>
      <c r="G22" s="178"/>
      <c r="H22" s="178"/>
      <c r="I22" s="18"/>
      <c r="J22" s="31"/>
      <c r="K22"/>
      <c r="L22" s="320"/>
      <c r="M22" s="134" t="s">
        <v>410</v>
      </c>
      <c r="N22" s="37"/>
    </row>
    <row r="23" spans="1:21" ht="15" customHeight="1">
      <c r="A23" s="22"/>
      <c r="B23" s="178"/>
      <c r="C23" s="178"/>
      <c r="D23" s="178"/>
      <c r="E23" s="178"/>
      <c r="F23" s="178"/>
      <c r="G23" s="178"/>
      <c r="H23" s="178"/>
      <c r="I23" s="18"/>
      <c r="J23" s="31"/>
      <c r="K23"/>
      <c r="L23" s="320"/>
      <c r="M23" s="134" t="s">
        <v>411</v>
      </c>
      <c r="N23" s="37"/>
    </row>
    <row r="24" spans="1:21" ht="15" customHeight="1">
      <c r="A24" s="22"/>
      <c r="B24" s="178" t="s">
        <v>425</v>
      </c>
      <c r="C24" s="178"/>
      <c r="D24" s="178"/>
      <c r="E24" s="178"/>
      <c r="F24" s="178"/>
      <c r="G24" s="178"/>
      <c r="H24" s="178"/>
      <c r="I24" s="18"/>
      <c r="J24" s="31"/>
      <c r="K24"/>
      <c r="L24" s="359">
        <v>5</v>
      </c>
      <c r="M24" s="360" t="s">
        <v>412</v>
      </c>
      <c r="N24" s="37"/>
    </row>
    <row r="25" spans="1:21" ht="15" customHeight="1">
      <c r="A25" s="22"/>
      <c r="B25" s="17"/>
      <c r="C25" s="17"/>
      <c r="D25" s="17"/>
      <c r="E25" s="17"/>
      <c r="F25" s="17"/>
      <c r="G25" s="17"/>
      <c r="H25" s="17"/>
      <c r="I25" s="18"/>
      <c r="J25" s="31"/>
      <c r="K25"/>
      <c r="L25" s="134"/>
      <c r="M25" s="134" t="s">
        <v>413</v>
      </c>
      <c r="N25" s="37"/>
    </row>
    <row r="26" spans="1:21" ht="15" customHeight="1">
      <c r="A26" s="22"/>
      <c r="B26" s="17"/>
      <c r="C26" s="17"/>
      <c r="D26" s="17"/>
      <c r="E26" s="17"/>
      <c r="F26" s="17"/>
      <c r="G26" s="17"/>
      <c r="H26" s="17"/>
      <c r="I26" s="18"/>
      <c r="J26" s="31"/>
    </row>
    <row r="27" spans="1:21" ht="15" customHeight="1">
      <c r="A27" s="22"/>
      <c r="B27" s="17"/>
      <c r="C27" s="17"/>
      <c r="D27" s="17"/>
      <c r="E27" s="17"/>
      <c r="F27" s="17"/>
      <c r="G27" s="17"/>
      <c r="H27" s="17"/>
      <c r="I27" s="18"/>
      <c r="J27" s="31"/>
      <c r="K27" s="363" t="s">
        <v>5</v>
      </c>
      <c r="L27" s="190" t="s">
        <v>169</v>
      </c>
      <c r="M27" s="37" t="s">
        <v>426</v>
      </c>
      <c r="N27" s="37"/>
      <c r="O27" s="37"/>
      <c r="P27" s="37"/>
      <c r="Q27" s="37"/>
      <c r="R27" s="37"/>
      <c r="S27" s="37"/>
      <c r="T27" s="37"/>
      <c r="U27" s="37"/>
    </row>
    <row r="28" spans="1:21" ht="15" customHeight="1">
      <c r="A28" s="22"/>
      <c r="B28" s="17"/>
      <c r="C28" s="17"/>
      <c r="D28" s="17"/>
      <c r="E28" s="17"/>
      <c r="F28" s="17"/>
      <c r="G28" s="17"/>
      <c r="H28" s="17"/>
      <c r="I28" s="18"/>
      <c r="J28" s="31"/>
      <c r="L28" s="37"/>
      <c r="M28" s="37"/>
      <c r="N28" s="37"/>
      <c r="O28" s="37"/>
      <c r="P28" s="37"/>
      <c r="Q28" s="37"/>
      <c r="R28" s="37"/>
      <c r="S28" s="37"/>
      <c r="T28" s="37"/>
      <c r="U28" s="37"/>
    </row>
    <row r="29" spans="1:21" ht="15" customHeight="1">
      <c r="A29" s="22"/>
      <c r="B29" s="17"/>
      <c r="C29" s="17"/>
      <c r="D29" s="17"/>
      <c r="E29" s="17"/>
      <c r="F29" s="17"/>
      <c r="G29" s="17"/>
      <c r="H29" s="17"/>
      <c r="I29" s="18"/>
      <c r="J29" s="31"/>
      <c r="K29"/>
      <c r="L29" s="158"/>
      <c r="M29" s="364"/>
      <c r="N29" s="202"/>
      <c r="O29" s="365" t="s">
        <v>161</v>
      </c>
      <c r="P29" s="365" t="s">
        <v>427</v>
      </c>
      <c r="Q29" s="366" t="s">
        <v>427</v>
      </c>
      <c r="R29" s="158"/>
      <c r="S29" s="158"/>
      <c r="T29" s="158"/>
      <c r="U29" s="158"/>
    </row>
    <row r="30" spans="1:21" ht="15" customHeight="1" thickBot="1">
      <c r="A30" s="24"/>
      <c r="B30" s="32"/>
      <c r="C30" s="32"/>
      <c r="D30" s="32"/>
      <c r="E30" s="32"/>
      <c r="F30" s="32"/>
      <c r="G30" s="32"/>
      <c r="H30" s="32"/>
      <c r="I30" s="33"/>
      <c r="J30" s="31"/>
      <c r="K30"/>
      <c r="L30" s="158"/>
      <c r="M30" s="367" t="s">
        <v>428</v>
      </c>
      <c r="N30" s="368"/>
      <c r="O30" s="147" t="s">
        <v>429</v>
      </c>
      <c r="P30" s="147" t="s">
        <v>161</v>
      </c>
      <c r="Q30" s="149" t="s">
        <v>430</v>
      </c>
      <c r="R30" s="158"/>
      <c r="S30" s="158"/>
      <c r="T30" s="158"/>
      <c r="U30" s="158"/>
    </row>
    <row r="31" spans="1:21" ht="15" customHeight="1">
      <c r="B31" s="31"/>
      <c r="C31" s="31"/>
      <c r="D31" s="31"/>
      <c r="E31" s="31"/>
      <c r="F31" s="31"/>
      <c r="G31" s="31"/>
      <c r="H31" s="31"/>
      <c r="I31" s="31"/>
      <c r="J31" s="31"/>
      <c r="K31"/>
      <c r="L31" s="158"/>
      <c r="M31" s="166">
        <f>0</f>
        <v>0</v>
      </c>
      <c r="N31" s="168">
        <f>E21</f>
        <v>217300</v>
      </c>
      <c r="O31" s="369">
        <f>E21/E20</f>
        <v>0.53</v>
      </c>
      <c r="P31" s="142">
        <f>AVERAGE(M31,N31)</f>
        <v>108650</v>
      </c>
      <c r="Q31" s="144">
        <f>MIN(P31,E21)</f>
        <v>108650</v>
      </c>
      <c r="R31" s="158"/>
      <c r="S31" s="158"/>
      <c r="T31" s="158"/>
      <c r="U31" s="158"/>
    </row>
    <row r="32" spans="1:21" ht="15" customHeight="1">
      <c r="J32" s="31"/>
      <c r="K32"/>
      <c r="L32" s="158"/>
      <c r="M32" s="171">
        <f>E21</f>
        <v>217300</v>
      </c>
      <c r="N32" s="173">
        <f>E20</f>
        <v>410000</v>
      </c>
      <c r="O32" s="370">
        <f>1-O31</f>
        <v>0.47</v>
      </c>
      <c r="P32" s="147">
        <f>AVERAGE(M32,N32)</f>
        <v>313650</v>
      </c>
      <c r="Q32" s="149">
        <f>MIN(P32,E21)</f>
        <v>217300</v>
      </c>
      <c r="R32" s="158"/>
      <c r="S32" s="158"/>
      <c r="T32" s="158"/>
      <c r="U32" s="158"/>
    </row>
    <row r="33" spans="2:21" ht="15" customHeight="1">
      <c r="J33" s="31"/>
      <c r="K33" s="48"/>
      <c r="L33" s="158"/>
      <c r="M33" s="158"/>
      <c r="N33" s="158"/>
      <c r="O33" s="192"/>
      <c r="P33" s="192"/>
      <c r="Q33" s="371">
        <f>SUMPRODUCT(O31:O32,Q31:Q32)</f>
        <v>159715.5</v>
      </c>
      <c r="R33" s="228" t="s">
        <v>431</v>
      </c>
      <c r="S33" s="158"/>
      <c r="T33" s="158"/>
      <c r="U33" s="158"/>
    </row>
    <row r="34" spans="2:21" ht="15" customHeight="1">
      <c r="J34" s="31"/>
      <c r="K34"/>
      <c r="L34" s="158"/>
      <c r="M34" s="158"/>
      <c r="N34" s="158"/>
      <c r="O34" s="158"/>
      <c r="P34" s="158"/>
      <c r="Q34" s="158"/>
      <c r="R34" s="158"/>
      <c r="S34" s="158"/>
      <c r="T34" s="158"/>
      <c r="U34" s="158"/>
    </row>
    <row r="35" spans="2:21" ht="15" customHeight="1">
      <c r="J35" s="31"/>
      <c r="K35" s="48"/>
      <c r="L35" s="158"/>
      <c r="M35" s="158"/>
      <c r="N35" s="158"/>
      <c r="O35" s="158"/>
      <c r="P35" s="158"/>
      <c r="Q35" s="158"/>
      <c r="R35" s="158"/>
      <c r="S35" s="158"/>
      <c r="T35" s="158"/>
      <c r="U35" s="158"/>
    </row>
    <row r="36" spans="2:21" ht="15" customHeight="1">
      <c r="J36" s="31"/>
      <c r="K36"/>
      <c r="L36" s="280" t="s">
        <v>174</v>
      </c>
      <c r="M36" s="158" t="s">
        <v>432</v>
      </c>
      <c r="N36" s="158"/>
      <c r="O36" s="158"/>
      <c r="P36" s="158"/>
      <c r="Q36" s="158"/>
      <c r="R36" s="158"/>
      <c r="S36" s="158"/>
      <c r="T36" s="158"/>
      <c r="U36" s="158"/>
    </row>
    <row r="37" spans="2:21" ht="15" customHeight="1">
      <c r="J37" s="31"/>
      <c r="K37"/>
      <c r="L37" s="158"/>
      <c r="M37" s="158"/>
      <c r="N37" s="158"/>
      <c r="O37" s="158"/>
      <c r="P37" s="158"/>
      <c r="Q37" s="158"/>
      <c r="R37" s="158"/>
      <c r="S37" s="158"/>
      <c r="T37" s="158"/>
      <c r="U37" s="158"/>
    </row>
    <row r="38" spans="2:21" ht="15" customHeight="1">
      <c r="J38" s="31"/>
      <c r="K38"/>
      <c r="L38" s="158"/>
      <c r="M38" s="213" t="s">
        <v>433</v>
      </c>
      <c r="N38" s="192" t="s">
        <v>34</v>
      </c>
      <c r="O38" s="192" t="s">
        <v>434</v>
      </c>
      <c r="P38" s="192" t="s">
        <v>363</v>
      </c>
      <c r="Q38" s="192" t="s">
        <v>435</v>
      </c>
      <c r="R38" s="158"/>
      <c r="S38" s="158"/>
      <c r="T38" s="158"/>
      <c r="U38" s="158"/>
    </row>
    <row r="39" spans="2:21" ht="15" customHeight="1">
      <c r="J39" s="31"/>
      <c r="K39"/>
      <c r="L39" s="158"/>
      <c r="M39" s="158"/>
      <c r="N39" s="192" t="s">
        <v>34</v>
      </c>
      <c r="O39" s="284">
        <f>E22</f>
        <v>0.02</v>
      </c>
      <c r="P39" s="192" t="s">
        <v>363</v>
      </c>
      <c r="Q39" s="372">
        <f>Q33</f>
        <v>159715.5</v>
      </c>
      <c r="R39" s="158"/>
      <c r="S39" s="158"/>
      <c r="T39" s="158"/>
      <c r="U39" s="158"/>
    </row>
    <row r="40" spans="2:21" ht="15" customHeight="1">
      <c r="J40" s="31"/>
      <c r="K40"/>
      <c r="L40" s="158"/>
      <c r="M40" s="158"/>
      <c r="N40" s="192" t="s">
        <v>34</v>
      </c>
      <c r="O40" s="191">
        <f>O39*Q39</f>
        <v>3194.31</v>
      </c>
      <c r="P40" s="158"/>
      <c r="Q40" s="158"/>
      <c r="R40" s="158"/>
      <c r="S40" s="158"/>
      <c r="T40" s="158"/>
      <c r="U40" s="158"/>
    </row>
    <row r="41" spans="2:21" ht="15" customHeight="1">
      <c r="J41" s="31"/>
      <c r="K41"/>
      <c r="L41" s="158"/>
      <c r="M41" s="158"/>
      <c r="N41" s="158"/>
      <c r="O41" s="158"/>
      <c r="P41" s="158"/>
      <c r="Q41" s="158"/>
      <c r="R41" s="158"/>
      <c r="S41" s="158"/>
      <c r="T41" s="158"/>
      <c r="U41" s="158"/>
    </row>
    <row r="42" spans="2:21" ht="15" customHeight="1">
      <c r="J42" s="31"/>
      <c r="K42"/>
      <c r="L42" s="158"/>
      <c r="M42" s="213" t="s">
        <v>436</v>
      </c>
      <c r="N42" s="192" t="s">
        <v>34</v>
      </c>
      <c r="O42" s="373" t="s">
        <v>437</v>
      </c>
      <c r="P42" s="322" t="s">
        <v>438</v>
      </c>
      <c r="Q42" s="158" t="s">
        <v>423</v>
      </c>
      <c r="R42" s="194" t="s">
        <v>36</v>
      </c>
      <c r="S42" s="158">
        <v>1000</v>
      </c>
      <c r="T42" s="158" t="s">
        <v>439</v>
      </c>
      <c r="U42" s="158"/>
    </row>
    <row r="43" spans="2:21" ht="15" customHeight="1">
      <c r="J43" s="31"/>
      <c r="K43"/>
      <c r="L43" s="158"/>
      <c r="M43" s="158"/>
      <c r="N43" s="192" t="s">
        <v>34</v>
      </c>
      <c r="O43" s="191">
        <f>O40</f>
        <v>3194.31</v>
      </c>
      <c r="P43" s="322" t="s">
        <v>438</v>
      </c>
      <c r="Q43" s="191">
        <f>E21</f>
        <v>217300</v>
      </c>
      <c r="R43" s="194" t="s">
        <v>36</v>
      </c>
      <c r="S43" s="158">
        <f>S42</f>
        <v>1000</v>
      </c>
      <c r="T43" s="158" t="s">
        <v>439</v>
      </c>
      <c r="U43" s="158"/>
    </row>
    <row r="44" spans="2:21" ht="15" customHeight="1">
      <c r="J44" s="31"/>
      <c r="K44"/>
      <c r="L44" s="158"/>
      <c r="M44" s="158"/>
      <c r="N44" s="192" t="s">
        <v>34</v>
      </c>
      <c r="O44" s="374">
        <f>O43/(Q43/S43)</f>
        <v>14.7</v>
      </c>
      <c r="P44" s="158"/>
      <c r="Q44" s="158"/>
      <c r="R44" s="158"/>
      <c r="S44" s="158"/>
      <c r="T44" s="158"/>
      <c r="U44" s="158"/>
    </row>
    <row r="45" spans="2:21" ht="15" customHeight="1">
      <c r="J45" s="31"/>
      <c r="K45"/>
      <c r="L45" s="158"/>
      <c r="M45" s="158"/>
      <c r="N45" s="158"/>
      <c r="O45" s="200" t="s">
        <v>179</v>
      </c>
      <c r="P45" s="158"/>
      <c r="Q45" s="158"/>
      <c r="R45" s="158"/>
      <c r="S45" s="158"/>
      <c r="T45" s="158"/>
      <c r="U45" s="158"/>
    </row>
    <row r="46" spans="2:21" ht="15" customHeight="1">
      <c r="B46" s="31"/>
      <c r="C46" s="31"/>
      <c r="D46" s="31"/>
      <c r="E46" s="31"/>
      <c r="F46" s="31"/>
      <c r="G46" s="31"/>
      <c r="H46" s="31"/>
      <c r="I46" s="31"/>
      <c r="J46" s="31"/>
      <c r="K46"/>
      <c r="L46" s="158"/>
      <c r="M46" s="158"/>
      <c r="N46" s="158"/>
      <c r="O46" s="158"/>
      <c r="P46" s="158"/>
      <c r="Q46" s="158"/>
      <c r="R46" s="158"/>
      <c r="S46" s="158"/>
      <c r="T46" s="158"/>
      <c r="U46" s="158"/>
    </row>
    <row r="47" spans="2:21" ht="15" customHeight="1">
      <c r="B47" s="31"/>
      <c r="C47" s="31"/>
      <c r="D47" s="31"/>
      <c r="E47" s="31"/>
      <c r="F47" s="31"/>
      <c r="G47" s="31"/>
      <c r="H47" s="31"/>
      <c r="I47" s="31"/>
      <c r="J47" s="31"/>
      <c r="K47"/>
      <c r="L47" s="375" t="s">
        <v>440</v>
      </c>
      <c r="M47" s="158" t="s">
        <v>441</v>
      </c>
      <c r="N47" s="158"/>
      <c r="O47" s="158"/>
      <c r="P47" s="158"/>
      <c r="Q47" s="158"/>
      <c r="R47" s="158"/>
      <c r="S47" s="158"/>
      <c r="T47" s="158"/>
      <c r="U47" s="376">
        <f>E20/2*E22/(E20/1000)</f>
        <v>10</v>
      </c>
    </row>
    <row r="48" spans="2:21" ht="15" customHeight="1">
      <c r="B48" s="31"/>
      <c r="C48" s="31"/>
      <c r="D48" s="31"/>
      <c r="E48" s="31"/>
      <c r="F48" s="31"/>
      <c r="G48" s="31"/>
      <c r="H48" s="31"/>
      <c r="I48" s="31"/>
      <c r="J48" s="31"/>
      <c r="K48"/>
      <c r="L48"/>
      <c r="M48"/>
      <c r="N48"/>
      <c r="O48"/>
      <c r="P48"/>
      <c r="Q48"/>
      <c r="R48"/>
      <c r="S48"/>
      <c r="T48"/>
      <c r="U48"/>
    </row>
    <row r="49" spans="2:21" ht="15" customHeight="1">
      <c r="B49" s="31"/>
      <c r="C49" s="31"/>
      <c r="D49" s="31"/>
      <c r="E49" s="31"/>
      <c r="F49" s="31"/>
      <c r="G49" s="31"/>
      <c r="H49" s="31"/>
      <c r="I49" s="31"/>
      <c r="J49" s="31"/>
      <c r="K49"/>
      <c r="L49"/>
      <c r="M49"/>
      <c r="N49"/>
      <c r="O49"/>
      <c r="P49"/>
      <c r="Q49"/>
      <c r="R49"/>
      <c r="S49"/>
      <c r="T49"/>
      <c r="U49"/>
    </row>
    <row r="50" spans="2:21" ht="15" customHeight="1">
      <c r="B50" s="31"/>
      <c r="C50" s="31"/>
      <c r="D50" s="31"/>
      <c r="E50" s="31"/>
      <c r="F50" s="31"/>
      <c r="G50" s="31"/>
      <c r="H50" s="31"/>
      <c r="I50" s="31"/>
      <c r="J50" s="31"/>
      <c r="K50"/>
      <c r="L50"/>
      <c r="M50"/>
      <c r="N50"/>
      <c r="O50"/>
      <c r="P50"/>
      <c r="Q50"/>
      <c r="R50"/>
      <c r="S50"/>
      <c r="T50"/>
      <c r="U50"/>
    </row>
    <row r="51" spans="2:21" ht="15" customHeight="1">
      <c r="B51" s="31"/>
      <c r="C51" s="31"/>
      <c r="D51" s="31"/>
      <c r="E51" s="31"/>
      <c r="F51" s="31"/>
      <c r="G51" s="31"/>
      <c r="H51" s="31"/>
      <c r="I51" s="31"/>
      <c r="J51" s="31"/>
    </row>
    <row r="52" spans="2:21" ht="15" customHeight="1">
      <c r="B52" s="31"/>
      <c r="C52" s="31"/>
      <c r="D52" s="31"/>
      <c r="E52" s="31"/>
      <c r="F52" s="31"/>
      <c r="G52" s="31"/>
      <c r="H52" s="31"/>
      <c r="I52" s="31"/>
      <c r="J52" s="31"/>
    </row>
    <row r="53" spans="2:21" ht="15" customHeight="1">
      <c r="B53" s="31"/>
      <c r="C53" s="31"/>
      <c r="D53" s="31"/>
      <c r="E53" s="31"/>
      <c r="F53" s="31"/>
      <c r="G53" s="31"/>
      <c r="H53" s="31"/>
      <c r="I53" s="31"/>
      <c r="J53" s="31"/>
    </row>
    <row r="54" spans="2:21" ht="15" customHeight="1">
      <c r="B54" s="31"/>
      <c r="C54" s="31"/>
      <c r="D54" s="31"/>
      <c r="E54" s="31"/>
      <c r="F54" s="31"/>
      <c r="G54" s="31"/>
      <c r="H54" s="31"/>
      <c r="I54" s="31"/>
      <c r="J54" s="31"/>
    </row>
    <row r="55" spans="2:21" ht="15" customHeight="1">
      <c r="B55" s="31"/>
      <c r="C55" s="31"/>
      <c r="D55" s="31"/>
      <c r="E55" s="31"/>
      <c r="F55" s="31"/>
      <c r="G55" s="31"/>
      <c r="H55" s="31"/>
      <c r="I55" s="31"/>
      <c r="J55" s="31"/>
    </row>
    <row r="56" spans="2:21" ht="15" customHeight="1">
      <c r="B56" s="31"/>
      <c r="C56" s="31"/>
      <c r="D56" s="31"/>
      <c r="E56" s="31"/>
      <c r="F56" s="31"/>
      <c r="G56" s="31"/>
      <c r="H56" s="31"/>
      <c r="I56" s="31"/>
      <c r="J56" s="31"/>
    </row>
    <row r="57" spans="2:21" ht="15" customHeight="1">
      <c r="B57" s="31"/>
      <c r="C57" s="31"/>
      <c r="D57" s="31"/>
      <c r="E57" s="31"/>
      <c r="F57" s="31"/>
      <c r="G57" s="31"/>
      <c r="H57" s="31"/>
      <c r="I57" s="31"/>
      <c r="J57" s="31"/>
    </row>
    <row r="58" spans="2:21" ht="15" customHeight="1">
      <c r="B58" s="31"/>
      <c r="C58" s="31"/>
      <c r="D58" s="31"/>
      <c r="E58" s="31"/>
      <c r="F58" s="31"/>
      <c r="G58" s="31"/>
      <c r="H58" s="31"/>
      <c r="I58" s="31"/>
      <c r="J58" s="31"/>
    </row>
    <row r="59" spans="2:21" ht="15" customHeight="1">
      <c r="B59" s="31"/>
      <c r="C59" s="31"/>
      <c r="D59" s="31"/>
      <c r="E59" s="31"/>
      <c r="F59" s="31"/>
      <c r="G59" s="31"/>
      <c r="H59" s="31"/>
      <c r="I59" s="31"/>
      <c r="J59" s="31"/>
    </row>
    <row r="60" spans="2:21" ht="15" customHeight="1">
      <c r="B60" s="31"/>
      <c r="C60" s="31"/>
      <c r="D60" s="31"/>
      <c r="E60" s="31"/>
      <c r="F60" s="31"/>
      <c r="G60" s="31"/>
      <c r="H60" s="31"/>
      <c r="I60" s="31"/>
      <c r="J60" s="31"/>
    </row>
    <row r="61" spans="2:21" ht="15" customHeight="1">
      <c r="B61" s="31"/>
      <c r="C61" s="31"/>
      <c r="D61" s="31"/>
      <c r="E61" s="31"/>
      <c r="F61" s="31"/>
      <c r="G61" s="31"/>
      <c r="H61" s="31"/>
      <c r="I61" s="31"/>
      <c r="J61" s="31"/>
      <c r="K61" s="48"/>
      <c r="L61" s="37"/>
      <c r="M61" s="37"/>
      <c r="N61" s="37"/>
    </row>
    <row r="62" spans="2:21" ht="15" customHeight="1">
      <c r="B62" s="31"/>
      <c r="C62" s="31"/>
      <c r="D62" s="31"/>
      <c r="E62" s="31"/>
      <c r="F62" s="31"/>
      <c r="G62" s="31"/>
      <c r="H62" s="31"/>
      <c r="I62" s="31"/>
      <c r="J62" s="31"/>
      <c r="K62" s="48"/>
      <c r="L62" s="37"/>
      <c r="M62" s="37"/>
      <c r="N62" s="37"/>
    </row>
    <row r="63" spans="2:21" ht="15" customHeight="1">
      <c r="B63" s="31"/>
      <c r="C63" s="31"/>
      <c r="D63" s="31"/>
      <c r="E63" s="31"/>
      <c r="F63" s="31"/>
      <c r="G63" s="31"/>
      <c r="H63" s="31"/>
      <c r="I63" s="31"/>
      <c r="J63" s="31"/>
      <c r="K63"/>
      <c r="L63" s="359"/>
      <c r="M63" s="360"/>
      <c r="N63" s="37"/>
    </row>
    <row r="64" spans="2:21" ht="15" customHeight="1">
      <c r="B64" s="31"/>
      <c r="C64" s="31"/>
      <c r="D64" s="31"/>
      <c r="E64" s="31"/>
      <c r="F64" s="31"/>
      <c r="G64" s="31"/>
      <c r="H64" s="31"/>
      <c r="I64" s="31"/>
      <c r="J64" s="31"/>
      <c r="K64"/>
      <c r="L64" s="320"/>
      <c r="M64" s="134"/>
      <c r="N64" s="37"/>
    </row>
    <row r="65" spans="2:14" ht="15" customHeight="1">
      <c r="B65" s="31"/>
      <c r="C65" s="31"/>
      <c r="D65" s="31"/>
      <c r="E65" s="31"/>
      <c r="F65" s="31"/>
      <c r="G65" s="31"/>
      <c r="H65" s="31"/>
      <c r="I65" s="31"/>
      <c r="J65" s="31"/>
      <c r="K65"/>
      <c r="L65" s="359"/>
      <c r="M65" s="360"/>
      <c r="N65" s="37"/>
    </row>
    <row r="66" spans="2:14" ht="15" customHeight="1">
      <c r="B66" s="31"/>
      <c r="C66" s="31"/>
      <c r="D66" s="31"/>
      <c r="E66" s="31"/>
      <c r="F66" s="31"/>
      <c r="G66" s="31"/>
      <c r="H66" s="31"/>
      <c r="I66" s="31"/>
      <c r="J66" s="31"/>
      <c r="K66" s="48"/>
      <c r="L66" s="320"/>
      <c r="M66" s="134"/>
      <c r="N66" s="37"/>
    </row>
    <row r="67" spans="2:14" ht="15" customHeight="1">
      <c r="B67" s="31"/>
      <c r="C67" s="31"/>
      <c r="D67" s="31"/>
      <c r="E67" s="31"/>
      <c r="F67" s="31"/>
      <c r="G67" s="31"/>
      <c r="H67" s="31"/>
      <c r="I67" s="31"/>
      <c r="J67" s="31"/>
      <c r="K67"/>
      <c r="L67" s="359"/>
      <c r="M67" s="360"/>
      <c r="N67" s="37"/>
    </row>
    <row r="68" spans="2:14" ht="15" customHeight="1">
      <c r="B68" s="31"/>
      <c r="C68" s="31"/>
      <c r="D68" s="31"/>
      <c r="E68" s="31"/>
      <c r="F68" s="31"/>
      <c r="G68" s="31"/>
      <c r="H68" s="31"/>
      <c r="I68" s="31"/>
      <c r="J68" s="31"/>
      <c r="K68"/>
      <c r="L68" s="320"/>
      <c r="M68" s="134"/>
      <c r="N68" s="37"/>
    </row>
    <row r="69" spans="2:14" ht="15" customHeight="1">
      <c r="B69" s="31"/>
      <c r="C69" s="31"/>
      <c r="D69" s="31"/>
      <c r="E69" s="31"/>
      <c r="F69" s="31"/>
      <c r="G69" s="31"/>
      <c r="H69" s="31"/>
      <c r="I69" s="31"/>
      <c r="J69" s="31"/>
      <c r="K69" s="48"/>
      <c r="L69" s="359"/>
      <c r="M69" s="360"/>
      <c r="N69" s="37"/>
    </row>
    <row r="70" spans="2:14" ht="15" customHeight="1">
      <c r="B70" s="31"/>
      <c r="C70" s="31"/>
      <c r="D70" s="31"/>
      <c r="E70" s="31"/>
      <c r="F70" s="31"/>
      <c r="G70" s="31"/>
      <c r="H70" s="31"/>
      <c r="I70" s="31"/>
      <c r="J70" s="31"/>
      <c r="K70"/>
      <c r="L70" s="320"/>
      <c r="M70" s="134"/>
      <c r="N70" s="37"/>
    </row>
    <row r="71" spans="2:14" ht="15" customHeight="1">
      <c r="B71" s="31"/>
      <c r="C71" s="31"/>
      <c r="D71" s="31"/>
      <c r="E71" s="31"/>
      <c r="F71" s="31"/>
      <c r="G71" s="31"/>
      <c r="H71" s="31"/>
      <c r="I71" s="31"/>
      <c r="J71" s="31"/>
      <c r="K71"/>
      <c r="L71" s="320"/>
      <c r="M71" s="134"/>
      <c r="N71" s="37"/>
    </row>
    <row r="72" spans="2:14" ht="15" customHeight="1">
      <c r="B72" s="31"/>
      <c r="C72" s="31"/>
      <c r="D72" s="31"/>
      <c r="E72" s="31"/>
      <c r="F72" s="31"/>
      <c r="G72" s="31"/>
      <c r="H72" s="31"/>
      <c r="I72" s="31"/>
      <c r="J72" s="31"/>
      <c r="K72"/>
      <c r="L72" s="359"/>
      <c r="M72" s="360"/>
      <c r="N72" s="37"/>
    </row>
    <row r="73" spans="2:14" ht="15" customHeight="1">
      <c r="B73" s="31"/>
      <c r="C73" s="31"/>
      <c r="D73" s="31"/>
      <c r="E73" s="31"/>
      <c r="F73" s="31"/>
      <c r="G73" s="31"/>
      <c r="H73" s="31"/>
      <c r="I73" s="31"/>
      <c r="J73" s="31"/>
      <c r="K73"/>
      <c r="L73" s="134"/>
      <c r="M73" s="134"/>
      <c r="N73" s="37"/>
    </row>
    <row r="74" spans="2:14" ht="15" customHeight="1">
      <c r="B74" s="31"/>
      <c r="C74" s="31"/>
      <c r="D74" s="31"/>
      <c r="E74" s="31"/>
      <c r="F74" s="31"/>
      <c r="G74" s="31"/>
      <c r="H74" s="31"/>
      <c r="I74" s="31"/>
      <c r="J74" s="31"/>
    </row>
    <row r="75" spans="2:14" ht="15" customHeight="1">
      <c r="B75" s="31"/>
      <c r="C75" s="31"/>
      <c r="D75" s="31"/>
      <c r="E75" s="31"/>
      <c r="F75" s="31"/>
      <c r="G75" s="31"/>
      <c r="H75" s="31"/>
      <c r="I75" s="31"/>
      <c r="J75" s="31"/>
    </row>
    <row r="76" spans="2:14" ht="15" customHeight="1">
      <c r="B76" s="31"/>
      <c r="C76" s="31"/>
      <c r="D76" s="31"/>
      <c r="E76" s="31"/>
      <c r="F76" s="31"/>
      <c r="G76" s="31"/>
      <c r="H76" s="31"/>
      <c r="I76" s="31"/>
      <c r="J76" s="31"/>
    </row>
    <row r="77" spans="2:14" ht="15" customHeight="1">
      <c r="B77" s="31"/>
      <c r="C77" s="31"/>
      <c r="D77" s="31"/>
      <c r="E77" s="31"/>
      <c r="F77" s="31"/>
      <c r="G77" s="31"/>
      <c r="H77" s="31"/>
      <c r="I77" s="31"/>
      <c r="J77" s="31"/>
    </row>
    <row r="78" spans="2:14" ht="15" customHeight="1">
      <c r="B78" s="31"/>
      <c r="C78" s="31"/>
      <c r="D78" s="31"/>
      <c r="E78" s="31"/>
      <c r="F78" s="31"/>
      <c r="G78" s="31"/>
      <c r="H78" s="31"/>
      <c r="I78" s="31"/>
      <c r="J78" s="31"/>
    </row>
    <row r="79" spans="2:14" ht="15" customHeight="1">
      <c r="B79" s="31"/>
      <c r="C79" s="31"/>
      <c r="D79" s="31"/>
      <c r="E79" s="31"/>
      <c r="F79" s="31"/>
      <c r="G79" s="31"/>
      <c r="H79" s="31"/>
      <c r="I79" s="31"/>
      <c r="J79" s="31"/>
    </row>
    <row r="80" spans="2:14" ht="15" customHeight="1">
      <c r="B80" s="31"/>
      <c r="C80" s="31"/>
      <c r="D80" s="31"/>
      <c r="E80" s="31"/>
      <c r="F80" s="31"/>
      <c r="G80" s="31"/>
      <c r="H80" s="31"/>
      <c r="I80" s="31"/>
      <c r="J80" s="31"/>
    </row>
    <row r="81" spans="2:10" ht="15" customHeight="1">
      <c r="B81" s="31"/>
      <c r="C81" s="31"/>
      <c r="D81" s="31"/>
      <c r="E81" s="31"/>
      <c r="F81" s="31"/>
      <c r="G81" s="31"/>
      <c r="H81" s="31"/>
      <c r="I81" s="31"/>
      <c r="J81" s="31"/>
    </row>
    <row r="82" spans="2:10" ht="15" customHeight="1">
      <c r="B82" s="31"/>
      <c r="C82" s="31"/>
      <c r="D82" s="31"/>
      <c r="E82" s="31"/>
      <c r="F82" s="31"/>
      <c r="G82" s="31"/>
      <c r="H82" s="31"/>
      <c r="I82" s="31"/>
      <c r="J82" s="31"/>
    </row>
    <row r="83" spans="2:10" ht="15" customHeight="1">
      <c r="B83" s="31"/>
      <c r="C83" s="31"/>
      <c r="D83" s="31"/>
      <c r="E83" s="31"/>
      <c r="F83" s="31"/>
      <c r="G83" s="31"/>
      <c r="H83" s="31"/>
      <c r="I83" s="31"/>
      <c r="J83" s="31"/>
    </row>
    <row r="84" spans="2:10" ht="15" customHeight="1">
      <c r="B84" s="31"/>
      <c r="C84" s="31"/>
      <c r="D84" s="31"/>
      <c r="E84" s="31"/>
      <c r="F84" s="31"/>
      <c r="G84" s="31"/>
      <c r="H84" s="31"/>
      <c r="I84" s="31"/>
      <c r="J84" s="31"/>
    </row>
    <row r="85" spans="2:10" ht="15" customHeight="1">
      <c r="B85" s="31"/>
      <c r="C85" s="31"/>
      <c r="D85" s="31"/>
      <c r="E85" s="31"/>
      <c r="F85" s="31"/>
      <c r="G85" s="31"/>
      <c r="H85" s="31"/>
      <c r="I85" s="31"/>
      <c r="J85" s="31"/>
    </row>
    <row r="86" spans="2:10" ht="15" customHeight="1">
      <c r="B86" s="31"/>
      <c r="C86" s="31"/>
      <c r="D86" s="31"/>
      <c r="E86" s="31"/>
      <c r="F86" s="31"/>
      <c r="G86" s="31"/>
      <c r="H86" s="31"/>
      <c r="I86" s="31"/>
      <c r="J86" s="31"/>
    </row>
    <row r="87" spans="2:10" ht="15" customHeight="1">
      <c r="B87" s="31"/>
      <c r="C87" s="31"/>
      <c r="D87" s="31"/>
      <c r="E87" s="31"/>
      <c r="F87" s="31"/>
      <c r="G87" s="31"/>
      <c r="H87" s="31"/>
      <c r="I87" s="31"/>
      <c r="J87" s="31"/>
    </row>
    <row r="88" spans="2:10" ht="15" customHeight="1">
      <c r="B88" s="31"/>
      <c r="C88" s="31"/>
      <c r="D88" s="31"/>
      <c r="E88" s="31"/>
      <c r="F88" s="31"/>
      <c r="G88" s="31"/>
      <c r="H88" s="31"/>
      <c r="I88" s="31"/>
      <c r="J88" s="31"/>
    </row>
    <row r="89" spans="2:10" ht="15" customHeight="1">
      <c r="B89" s="31"/>
      <c r="C89" s="31"/>
      <c r="D89" s="31"/>
      <c r="E89" s="31"/>
      <c r="F89" s="31"/>
      <c r="G89" s="31"/>
      <c r="H89" s="31"/>
      <c r="I89" s="31"/>
      <c r="J89" s="31"/>
    </row>
    <row r="90" spans="2:10" ht="15" customHeight="1">
      <c r="B90" s="31"/>
      <c r="C90" s="31"/>
      <c r="D90" s="31"/>
      <c r="E90" s="31"/>
      <c r="F90" s="31"/>
      <c r="G90" s="31"/>
      <c r="H90" s="31"/>
      <c r="I90" s="31"/>
      <c r="J90" s="31"/>
    </row>
    <row r="91" spans="2:10" ht="15" customHeight="1">
      <c r="B91" s="31"/>
      <c r="C91" s="31"/>
      <c r="D91" s="31"/>
      <c r="E91" s="31"/>
      <c r="F91" s="31"/>
      <c r="G91" s="31"/>
      <c r="H91" s="31"/>
      <c r="I91" s="31"/>
      <c r="J91" s="31"/>
    </row>
    <row r="92" spans="2:10" ht="15" customHeight="1">
      <c r="B92" s="31"/>
      <c r="C92" s="31"/>
      <c r="D92" s="31"/>
      <c r="E92" s="31"/>
      <c r="F92" s="31"/>
      <c r="G92" s="31"/>
      <c r="H92" s="31"/>
      <c r="I92" s="31"/>
      <c r="J92" s="31"/>
    </row>
    <row r="93" spans="2:10" ht="15" customHeight="1">
      <c r="B93" s="31"/>
      <c r="C93" s="31"/>
      <c r="D93" s="31"/>
      <c r="E93" s="31"/>
      <c r="F93" s="31"/>
      <c r="G93" s="31"/>
      <c r="H93" s="31"/>
      <c r="I93" s="31"/>
      <c r="J93" s="31"/>
    </row>
    <row r="94" spans="2:10" ht="15" customHeight="1">
      <c r="B94" s="31"/>
      <c r="C94" s="31"/>
      <c r="D94" s="31"/>
      <c r="E94" s="31"/>
      <c r="F94" s="31"/>
      <c r="G94" s="31"/>
      <c r="H94" s="31"/>
      <c r="I94" s="31"/>
      <c r="J94" s="31"/>
    </row>
    <row r="95" spans="2:10" ht="15" customHeight="1">
      <c r="B95" s="31"/>
      <c r="C95" s="31"/>
      <c r="D95" s="31"/>
      <c r="E95" s="31"/>
      <c r="F95" s="31"/>
      <c r="G95" s="31"/>
      <c r="H95" s="31"/>
      <c r="I95" s="31"/>
      <c r="J95" s="31"/>
    </row>
    <row r="96" spans="2:10" ht="15" customHeight="1">
      <c r="B96" s="31"/>
      <c r="C96" s="31"/>
      <c r="D96" s="31"/>
      <c r="E96" s="31"/>
      <c r="F96" s="31"/>
      <c r="G96" s="31"/>
      <c r="H96" s="31"/>
      <c r="I96" s="31"/>
      <c r="J96" s="31"/>
    </row>
    <row r="97" spans="2:10" ht="15" customHeight="1">
      <c r="B97" s="31"/>
      <c r="C97" s="31"/>
      <c r="D97" s="31"/>
      <c r="E97" s="31"/>
      <c r="F97" s="31"/>
      <c r="G97" s="31"/>
      <c r="H97" s="31"/>
      <c r="I97" s="31"/>
      <c r="J97" s="31"/>
    </row>
    <row r="98" spans="2:10" ht="15" customHeight="1">
      <c r="B98" s="31"/>
      <c r="C98" s="31"/>
      <c r="D98" s="31"/>
      <c r="E98" s="31"/>
      <c r="F98" s="31"/>
      <c r="G98" s="31"/>
      <c r="H98" s="31"/>
      <c r="I98" s="31"/>
      <c r="J98" s="31"/>
    </row>
    <row r="99" spans="2:10" ht="15" customHeight="1">
      <c r="B99" s="31"/>
      <c r="C99" s="31"/>
      <c r="D99" s="31"/>
      <c r="E99" s="31"/>
      <c r="F99" s="31"/>
      <c r="G99" s="31"/>
      <c r="H99" s="31"/>
      <c r="I99" s="31"/>
      <c r="J99" s="31"/>
    </row>
    <row r="100" spans="2:10" ht="15" customHeight="1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2:10" ht="15" customHeight="1">
      <c r="B101" s="31"/>
      <c r="C101" s="31"/>
      <c r="D101" s="31"/>
      <c r="E101" s="31"/>
      <c r="F101" s="31"/>
      <c r="G101" s="31"/>
      <c r="H101" s="31"/>
      <c r="I101" s="31"/>
      <c r="J101" s="31"/>
    </row>
  </sheetData>
  <mergeCells count="1">
    <mergeCell ref="H1:I1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W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>
      <c r="A1" s="7">
        <v>17</v>
      </c>
      <c r="B1" s="27" t="s">
        <v>12</v>
      </c>
      <c r="C1" s="20"/>
      <c r="D1" s="20"/>
      <c r="E1" s="20"/>
      <c r="F1" s="20"/>
      <c r="G1" s="20"/>
      <c r="H1" s="854" t="s">
        <v>24</v>
      </c>
      <c r="I1" s="855"/>
      <c r="K1" s="1" t="s">
        <v>33</v>
      </c>
      <c r="L1" s="52" t="str">
        <f>VLOOKUP(A1,'Point Grid'!$L$8:$T$54,9,FALSE)</f>
        <v>Pricing - Chap 14: Implementation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1"/>
      <c r="K3" s="48" t="s">
        <v>2</v>
      </c>
      <c r="L3" t="s">
        <v>444</v>
      </c>
      <c r="M3"/>
      <c r="N3"/>
      <c r="O3"/>
      <c r="P3"/>
      <c r="Q3"/>
      <c r="R3"/>
      <c r="S3"/>
      <c r="T3"/>
      <c r="U3"/>
    </row>
    <row r="4" spans="1:21">
      <c r="A4" s="9">
        <f>INDEX('Point Grid'!B:B,MATCH(A1,'Point Grid'!A:A,0))</f>
        <v>2.75</v>
      </c>
      <c r="B4" s="17"/>
      <c r="C4" s="17"/>
      <c r="D4" s="17"/>
      <c r="E4" s="17"/>
      <c r="F4" s="17"/>
      <c r="G4" s="17"/>
      <c r="H4" s="17"/>
      <c r="I4" s="18"/>
      <c r="J4" s="31"/>
      <c r="K4" s="48"/>
      <c r="L4"/>
      <c r="M4"/>
      <c r="N4"/>
      <c r="O4"/>
      <c r="P4"/>
      <c r="Q4"/>
      <c r="R4"/>
      <c r="S4"/>
      <c r="T4"/>
      <c r="U4"/>
    </row>
    <row r="5" spans="1:21">
      <c r="A5" s="16"/>
      <c r="B5" s="17"/>
      <c r="C5" s="17"/>
      <c r="D5" s="17"/>
      <c r="E5" s="17"/>
      <c r="F5" s="17"/>
      <c r="G5" s="17"/>
      <c r="H5" s="17"/>
      <c r="I5" s="18"/>
      <c r="J5" s="31"/>
      <c r="K5" s="48" t="s">
        <v>3</v>
      </c>
      <c r="L5" t="s">
        <v>447</v>
      </c>
      <c r="M5"/>
      <c r="N5"/>
      <c r="O5"/>
      <c r="P5"/>
      <c r="Q5"/>
      <c r="R5"/>
      <c r="S5"/>
      <c r="T5"/>
      <c r="U5"/>
    </row>
    <row r="6" spans="1:21">
      <c r="A6" s="25" t="s">
        <v>2</v>
      </c>
      <c r="B6" s="17" t="s">
        <v>443</v>
      </c>
      <c r="C6" s="17"/>
      <c r="D6" s="17"/>
      <c r="E6" s="17"/>
      <c r="F6" s="17"/>
      <c r="G6" s="17"/>
      <c r="H6" s="17"/>
      <c r="I6" s="18"/>
      <c r="J6" s="31"/>
      <c r="K6" s="48"/>
      <c r="L6" s="1"/>
      <c r="M6"/>
      <c r="N6"/>
      <c r="O6"/>
      <c r="P6"/>
      <c r="Q6"/>
      <c r="R6"/>
      <c r="S6"/>
      <c r="T6"/>
      <c r="U6"/>
    </row>
    <row r="7" spans="1:21" ht="15.75" thickBot="1">
      <c r="A7" s="9">
        <f>INDEX('Point Grid'!$C$8:$I$54,MATCH($A$1,'Point Grid'!$A$8:$A$54,0),MATCH(A6,'Point Grid'!$C$7:$I$7,0))</f>
        <v>0.5</v>
      </c>
      <c r="B7" s="17"/>
      <c r="C7" s="17"/>
      <c r="D7" s="17"/>
      <c r="E7" s="17"/>
      <c r="F7" s="17"/>
      <c r="G7" s="17"/>
      <c r="H7" s="17"/>
      <c r="I7" s="18"/>
      <c r="J7" s="31"/>
      <c r="K7" s="48"/>
      <c r="L7" s="359">
        <v>1</v>
      </c>
      <c r="M7" s="1" t="s">
        <v>448</v>
      </c>
      <c r="N7"/>
      <c r="O7"/>
      <c r="P7"/>
      <c r="Q7"/>
      <c r="R7"/>
      <c r="S7"/>
      <c r="T7"/>
      <c r="U7"/>
    </row>
    <row r="8" spans="1:21" ht="15.75" thickBot="1">
      <c r="A8" s="5"/>
      <c r="B8" s="17"/>
      <c r="C8" s="28"/>
      <c r="D8" s="28"/>
      <c r="E8" s="28"/>
      <c r="F8" s="28"/>
      <c r="G8" s="28"/>
      <c r="H8" s="28"/>
      <c r="I8" s="18"/>
      <c r="J8" s="31"/>
      <c r="K8"/>
      <c r="L8" s="320"/>
      <c r="M8" s="134" t="s">
        <v>449</v>
      </c>
      <c r="N8"/>
      <c r="O8"/>
      <c r="P8"/>
      <c r="Q8"/>
      <c r="R8"/>
      <c r="S8"/>
      <c r="T8"/>
      <c r="U8"/>
    </row>
    <row r="9" spans="1:21">
      <c r="A9" s="25"/>
      <c r="B9" s="17"/>
      <c r="C9" s="17"/>
      <c r="D9" s="17"/>
      <c r="E9" s="17"/>
      <c r="F9" s="17"/>
      <c r="G9" s="17"/>
      <c r="H9" s="17"/>
      <c r="I9" s="18"/>
      <c r="J9" s="31"/>
      <c r="K9" s="48"/>
      <c r="L9" s="320"/>
      <c r="M9" s="134" t="s">
        <v>454</v>
      </c>
      <c r="N9"/>
      <c r="O9"/>
      <c r="P9"/>
      <c r="Q9"/>
      <c r="R9"/>
      <c r="S9"/>
    </row>
    <row r="10" spans="1:21">
      <c r="A10" s="25" t="s">
        <v>3</v>
      </c>
      <c r="B10" s="17" t="s">
        <v>445</v>
      </c>
      <c r="C10" s="17"/>
      <c r="D10" s="17"/>
      <c r="E10" s="17"/>
      <c r="F10" s="17"/>
      <c r="G10" s="17"/>
      <c r="H10" s="17"/>
      <c r="I10" s="18"/>
      <c r="J10" s="31"/>
      <c r="K10"/>
      <c r="L10" s="320"/>
      <c r="M10" s="134" t="s">
        <v>455</v>
      </c>
      <c r="N10"/>
      <c r="O10"/>
      <c r="P10"/>
      <c r="Q10"/>
      <c r="R10"/>
      <c r="S10"/>
      <c r="T10"/>
      <c r="U10"/>
    </row>
    <row r="11" spans="1:21" ht="15.75" thickBot="1">
      <c r="A11" s="9">
        <f>INDEX('Point Grid'!$C$8:$I$54,MATCH($A$1,'Point Grid'!$A$8:$A$54,0),MATCH(A10,'Point Grid'!$C$7:$I$7,0))</f>
        <v>1.5</v>
      </c>
      <c r="B11" s="17" t="s">
        <v>446</v>
      </c>
      <c r="C11" s="17"/>
      <c r="D11" s="17"/>
      <c r="E11" s="17"/>
      <c r="F11" s="17"/>
      <c r="G11" s="17"/>
      <c r="H11" s="17"/>
      <c r="I11" s="18"/>
      <c r="J11" s="31"/>
      <c r="K11"/>
      <c r="L11" s="359">
        <v>2</v>
      </c>
      <c r="M11" s="377" t="s">
        <v>450</v>
      </c>
      <c r="N11"/>
      <c r="O11"/>
      <c r="P11"/>
      <c r="Q11"/>
      <c r="R11"/>
      <c r="S11"/>
      <c r="T11"/>
      <c r="U11"/>
    </row>
    <row r="12" spans="1:21" ht="15.75" thickBot="1">
      <c r="A12" s="5"/>
      <c r="B12" s="17"/>
      <c r="C12" s="28"/>
      <c r="D12" s="28"/>
      <c r="E12" s="28"/>
      <c r="F12" s="28"/>
      <c r="G12" s="28"/>
      <c r="H12" s="28"/>
      <c r="I12" s="18"/>
      <c r="J12" s="31"/>
      <c r="K12"/>
      <c r="L12" s="320"/>
      <c r="M12" s="134" t="s">
        <v>451</v>
      </c>
      <c r="N12"/>
      <c r="O12"/>
      <c r="P12"/>
      <c r="Q12"/>
      <c r="R12"/>
      <c r="S12"/>
      <c r="T12"/>
      <c r="U12"/>
    </row>
    <row r="13" spans="1:21">
      <c r="A13" s="25"/>
      <c r="B13" s="17"/>
      <c r="C13" s="28"/>
      <c r="D13" s="28"/>
      <c r="E13" s="28"/>
      <c r="F13" s="28"/>
      <c r="G13" s="28"/>
      <c r="H13" s="28"/>
      <c r="I13" s="18"/>
      <c r="J13" s="31"/>
      <c r="K13" s="48"/>
      <c r="L13" s="359">
        <v>3</v>
      </c>
      <c r="M13" s="377" t="s">
        <v>452</v>
      </c>
      <c r="N13"/>
      <c r="O13"/>
      <c r="P13"/>
      <c r="Q13"/>
      <c r="R13"/>
      <c r="S13"/>
      <c r="T13"/>
      <c r="U13"/>
    </row>
    <row r="14" spans="1:21">
      <c r="A14" s="25" t="s">
        <v>4</v>
      </c>
      <c r="B14" s="17" t="s">
        <v>456</v>
      </c>
      <c r="C14" s="17"/>
      <c r="D14" s="17"/>
      <c r="E14" s="17"/>
      <c r="F14" s="17"/>
      <c r="G14" s="17"/>
      <c r="H14" s="17"/>
      <c r="I14" s="18"/>
      <c r="J14" s="31"/>
      <c r="K14"/>
      <c r="L14" s="134"/>
      <c r="M14" s="134" t="s">
        <v>453</v>
      </c>
      <c r="N14"/>
      <c r="O14"/>
      <c r="P14"/>
      <c r="Q14"/>
      <c r="R14"/>
      <c r="S14"/>
      <c r="T14"/>
      <c r="U14"/>
    </row>
    <row r="15" spans="1:21" ht="15.75" thickBot="1">
      <c r="A15" s="9">
        <f>INDEX('Point Grid'!$C$8:$I$54,MATCH($A$1,'Point Grid'!$A$8:$A$54,0),MATCH(A14,'Point Grid'!$C$7:$I$7,0))</f>
        <v>0.75</v>
      </c>
      <c r="B15" s="17"/>
      <c r="C15" s="17"/>
      <c r="D15" s="17"/>
      <c r="E15" s="17"/>
      <c r="F15" s="17"/>
      <c r="G15" s="17"/>
      <c r="H15" s="17"/>
      <c r="I15" s="18"/>
      <c r="J15" s="31"/>
      <c r="K15"/>
      <c r="L15"/>
      <c r="M15"/>
      <c r="N15"/>
      <c r="O15"/>
      <c r="P15"/>
      <c r="Q15"/>
      <c r="R15"/>
      <c r="S15"/>
      <c r="T15"/>
      <c r="U15"/>
    </row>
    <row r="16" spans="1:21" ht="15.75" thickBot="1">
      <c r="A16" s="5"/>
      <c r="B16" s="17"/>
      <c r="C16" s="174" t="s">
        <v>457</v>
      </c>
      <c r="D16" s="175"/>
      <c r="E16" s="176"/>
      <c r="F16" s="515">
        <v>6500</v>
      </c>
      <c r="G16" s="178"/>
      <c r="H16" s="17"/>
      <c r="I16" s="18"/>
      <c r="J16" s="31"/>
      <c r="K16" s="48" t="s">
        <v>4</v>
      </c>
      <c r="L16" s="190" t="s">
        <v>169</v>
      </c>
      <c r="M16" s="37" t="s">
        <v>471</v>
      </c>
      <c r="N16" s="37"/>
      <c r="O16" s="37"/>
      <c r="P16" s="37"/>
      <c r="Q16" s="37"/>
      <c r="R16" s="37"/>
      <c r="S16" s="37"/>
      <c r="T16"/>
      <c r="U16"/>
    </row>
    <row r="17" spans="1:23">
      <c r="A17" s="22"/>
      <c r="B17" s="17"/>
      <c r="C17" s="179" t="s">
        <v>458</v>
      </c>
      <c r="D17" s="180"/>
      <c r="E17" s="181"/>
      <c r="F17" s="208">
        <v>0.03</v>
      </c>
      <c r="G17" s="178"/>
      <c r="H17" s="17"/>
      <c r="I17" s="18"/>
      <c r="J17" s="31"/>
      <c r="K17"/>
      <c r="L17" s="37"/>
      <c r="M17" s="37"/>
      <c r="N17" s="37"/>
      <c r="O17" s="37"/>
      <c r="P17" s="37"/>
      <c r="Q17" s="37"/>
      <c r="R17" s="37"/>
      <c r="S17" s="37"/>
      <c r="T17"/>
      <c r="U17"/>
    </row>
    <row r="18" spans="1:23" ht="15" customHeight="1">
      <c r="A18" s="22"/>
      <c r="B18" s="17"/>
      <c r="C18" s="186" t="s">
        <v>459</v>
      </c>
      <c r="D18" s="187"/>
      <c r="E18" s="188"/>
      <c r="F18" s="851">
        <v>370</v>
      </c>
      <c r="G18" s="178"/>
      <c r="H18" s="17"/>
      <c r="I18" s="18"/>
      <c r="J18" s="31"/>
      <c r="K18"/>
      <c r="L18" s="158"/>
      <c r="M18" s="37"/>
      <c r="N18" s="158"/>
      <c r="O18" s="147" t="s">
        <v>472</v>
      </c>
      <c r="P18" s="192"/>
      <c r="Q18" s="147" t="s">
        <v>464</v>
      </c>
      <c r="R18" s="158"/>
      <c r="S18" s="147" t="s">
        <v>473</v>
      </c>
      <c r="W18" s="37"/>
    </row>
    <row r="19" spans="1:23" ht="15" customHeight="1">
      <c r="A19" s="22"/>
      <c r="B19" s="17"/>
      <c r="C19" s="178"/>
      <c r="D19" s="178"/>
      <c r="E19" s="178"/>
      <c r="F19" s="178"/>
      <c r="G19" s="178"/>
      <c r="H19" s="17"/>
      <c r="I19" s="18"/>
      <c r="J19" s="31"/>
      <c r="K19"/>
      <c r="L19" s="158"/>
      <c r="M19" s="158" t="str">
        <f>C22</f>
        <v>commissions</v>
      </c>
      <c r="N19" s="158"/>
      <c r="O19" s="192">
        <f>E22</f>
        <v>1600</v>
      </c>
      <c r="P19" s="192" t="s">
        <v>363</v>
      </c>
      <c r="Q19" s="388">
        <f>G22</f>
        <v>0</v>
      </c>
      <c r="R19" s="192" t="s">
        <v>34</v>
      </c>
      <c r="S19" s="389">
        <f>O19*Q19</f>
        <v>0</v>
      </c>
      <c r="W19" s="37"/>
    </row>
    <row r="20" spans="1:23" ht="15" customHeight="1">
      <c r="A20" s="22"/>
      <c r="B20" s="17"/>
      <c r="C20" s="350" t="s">
        <v>460</v>
      </c>
      <c r="D20" s="351"/>
      <c r="E20" s="350" t="s">
        <v>461</v>
      </c>
      <c r="F20" s="351"/>
      <c r="G20" s="176"/>
      <c r="H20" s="17"/>
      <c r="I20" s="18"/>
      <c r="J20" s="31"/>
      <c r="K20"/>
      <c r="L20" s="158"/>
      <c r="M20" s="158" t="str">
        <f>C23</f>
        <v>general expenses</v>
      </c>
      <c r="N20" s="158"/>
      <c r="O20" s="192">
        <f>E23</f>
        <v>1000</v>
      </c>
      <c r="P20" s="192" t="s">
        <v>363</v>
      </c>
      <c r="Q20" s="388">
        <f>G23</f>
        <v>0.54</v>
      </c>
      <c r="R20" s="192" t="s">
        <v>34</v>
      </c>
      <c r="S20" s="389">
        <f>O20*Q20</f>
        <v>540</v>
      </c>
      <c r="W20" s="158"/>
    </row>
    <row r="21" spans="1:23" ht="15" customHeight="1">
      <c r="A21" s="22"/>
      <c r="B21" s="17"/>
      <c r="C21" s="379" t="s">
        <v>462</v>
      </c>
      <c r="D21" s="380"/>
      <c r="E21" s="379" t="s">
        <v>463</v>
      </c>
      <c r="F21" s="380"/>
      <c r="G21" s="318" t="s">
        <v>464</v>
      </c>
      <c r="H21" s="17"/>
      <c r="I21" s="18"/>
      <c r="J21" s="31"/>
      <c r="K21"/>
      <c r="L21" s="158"/>
      <c r="M21" s="158" t="str">
        <f>C24</f>
        <v>other acquisition</v>
      </c>
      <c r="N21" s="158"/>
      <c r="O21" s="192">
        <f>E24</f>
        <v>400</v>
      </c>
      <c r="P21" s="192" t="s">
        <v>363</v>
      </c>
      <c r="Q21" s="388">
        <f>G24</f>
        <v>1</v>
      </c>
      <c r="R21" s="192" t="s">
        <v>34</v>
      </c>
      <c r="S21" s="389">
        <f>O21*Q21</f>
        <v>400</v>
      </c>
      <c r="W21" s="158"/>
    </row>
    <row r="22" spans="1:23" ht="15" customHeight="1">
      <c r="A22" s="22"/>
      <c r="B22" s="17"/>
      <c r="C22" s="179" t="s">
        <v>465</v>
      </c>
      <c r="D22" s="181"/>
      <c r="E22" s="381">
        <v>1600</v>
      </c>
      <c r="F22" s="382"/>
      <c r="G22" s="383">
        <v>0</v>
      </c>
      <c r="H22" s="17"/>
      <c r="I22" s="18"/>
      <c r="J22" s="31"/>
      <c r="K22"/>
      <c r="L22" s="158"/>
      <c r="M22" s="158" t="str">
        <f>C25</f>
        <v>taxes</v>
      </c>
      <c r="N22" s="158"/>
      <c r="O22" s="192">
        <f>E25</f>
        <v>400</v>
      </c>
      <c r="P22" s="192" t="s">
        <v>363</v>
      </c>
      <c r="Q22" s="388">
        <f>G25</f>
        <v>0</v>
      </c>
      <c r="R22" s="192" t="s">
        <v>34</v>
      </c>
      <c r="S22" s="389">
        <f>O22*Q22</f>
        <v>0</v>
      </c>
      <c r="W22" s="158"/>
    </row>
    <row r="23" spans="1:23" ht="15" customHeight="1">
      <c r="A23" s="22"/>
      <c r="B23" s="17"/>
      <c r="C23" s="179" t="s">
        <v>466</v>
      </c>
      <c r="D23" s="181"/>
      <c r="E23" s="381">
        <v>1000</v>
      </c>
      <c r="F23" s="382"/>
      <c r="G23" s="383">
        <v>0.54</v>
      </c>
      <c r="H23" s="17"/>
      <c r="I23" s="18"/>
      <c r="J23" s="31"/>
      <c r="K23"/>
      <c r="L23" s="158"/>
      <c r="M23" s="158" t="str">
        <f>C26</f>
        <v>licenses &amp; fees</v>
      </c>
      <c r="N23" s="158"/>
      <c r="O23" s="192">
        <f>E26</f>
        <v>50</v>
      </c>
      <c r="P23" s="192" t="s">
        <v>363</v>
      </c>
      <c r="Q23" s="388">
        <f>G26</f>
        <v>1</v>
      </c>
      <c r="R23" s="192" t="s">
        <v>34</v>
      </c>
      <c r="S23" s="389">
        <f>O23*Q23</f>
        <v>50</v>
      </c>
      <c r="W23" s="158"/>
    </row>
    <row r="24" spans="1:23" ht="15" customHeight="1">
      <c r="A24" s="22"/>
      <c r="B24" s="17"/>
      <c r="C24" s="179" t="s">
        <v>467</v>
      </c>
      <c r="D24" s="181"/>
      <c r="E24" s="381">
        <v>400</v>
      </c>
      <c r="F24" s="382"/>
      <c r="G24" s="383">
        <v>1</v>
      </c>
      <c r="H24" s="17"/>
      <c r="I24" s="18"/>
      <c r="J24" s="31"/>
      <c r="K24"/>
      <c r="L24" s="158"/>
      <c r="M24" s="158"/>
      <c r="N24" s="158"/>
      <c r="O24" s="390">
        <f>SUM(O19:O23)</f>
        <v>3450</v>
      </c>
      <c r="P24" s="158"/>
      <c r="Q24" s="158"/>
      <c r="R24" s="158"/>
      <c r="S24" s="391">
        <f>SUM(S19:S23)</f>
        <v>990</v>
      </c>
      <c r="W24" s="158"/>
    </row>
    <row r="25" spans="1:23" ht="15" customHeight="1">
      <c r="A25" s="22"/>
      <c r="B25" s="17"/>
      <c r="C25" s="179" t="s">
        <v>468</v>
      </c>
      <c r="D25" s="181"/>
      <c r="E25" s="381">
        <v>400</v>
      </c>
      <c r="F25" s="382"/>
      <c r="G25" s="383">
        <v>0</v>
      </c>
      <c r="H25" s="17"/>
      <c r="I25" s="18"/>
      <c r="J25" s="31"/>
      <c r="K25"/>
      <c r="L25" s="37"/>
      <c r="M25" s="37"/>
      <c r="N25" s="37"/>
      <c r="O25" s="37"/>
      <c r="P25" s="37"/>
      <c r="Q25" s="37"/>
      <c r="R25" s="37"/>
      <c r="S25" s="37"/>
      <c r="W25" s="158"/>
    </row>
    <row r="26" spans="1:23" ht="15" customHeight="1">
      <c r="A26" s="22"/>
      <c r="B26" s="17"/>
      <c r="C26" s="186" t="s">
        <v>469</v>
      </c>
      <c r="D26" s="188"/>
      <c r="E26" s="379">
        <v>50</v>
      </c>
      <c r="F26" s="380"/>
      <c r="G26" s="384">
        <v>1</v>
      </c>
      <c r="H26" s="17"/>
      <c r="I26" s="18"/>
      <c r="J26" s="31"/>
      <c r="K26"/>
      <c r="L26" s="37"/>
      <c r="M26" s="37"/>
      <c r="N26" s="37"/>
      <c r="O26" s="37"/>
      <c r="P26" s="37"/>
      <c r="Q26" s="37"/>
      <c r="R26" s="37"/>
      <c r="S26" s="37"/>
      <c r="W26" s="158"/>
    </row>
    <row r="27" spans="1:23" ht="15" customHeight="1">
      <c r="A27" s="22"/>
      <c r="B27" s="17"/>
      <c r="C27" s="385" t="s">
        <v>470</v>
      </c>
      <c r="D27" s="248"/>
      <c r="E27" s="386">
        <v>3450</v>
      </c>
      <c r="F27" s="387"/>
      <c r="G27" s="248"/>
      <c r="H27" s="17"/>
      <c r="I27" s="18"/>
      <c r="J27" s="31"/>
      <c r="K27"/>
      <c r="L27" s="278" t="s">
        <v>174</v>
      </c>
      <c r="M27" s="158" t="s">
        <v>475</v>
      </c>
      <c r="N27" s="158"/>
      <c r="O27" s="158"/>
      <c r="P27" s="158"/>
      <c r="Q27" s="158"/>
      <c r="R27" s="158"/>
      <c r="S27" s="158"/>
      <c r="W27" s="158"/>
    </row>
    <row r="28" spans="1:23" ht="15" customHeight="1">
      <c r="A28" s="22"/>
      <c r="B28" s="17"/>
      <c r="C28" s="154"/>
      <c r="D28" s="154"/>
      <c r="E28" s="154"/>
      <c r="F28" s="154"/>
      <c r="G28" s="154"/>
      <c r="H28" s="17"/>
      <c r="I28" s="18"/>
      <c r="J28" s="31"/>
      <c r="K28"/>
      <c r="L28" s="158"/>
      <c r="M28" s="158"/>
      <c r="N28" s="158"/>
      <c r="O28" s="158"/>
      <c r="P28" s="158"/>
      <c r="Q28" s="158"/>
      <c r="R28" s="158"/>
      <c r="S28" s="158"/>
      <c r="W28" s="37"/>
    </row>
    <row r="29" spans="1:23" ht="15" customHeight="1">
      <c r="A29" s="22"/>
      <c r="B29" s="17"/>
      <c r="C29" s="154"/>
      <c r="D29" s="154"/>
      <c r="E29" s="154"/>
      <c r="F29" s="154"/>
      <c r="G29" s="154"/>
      <c r="H29" s="17"/>
      <c r="I29" s="18"/>
      <c r="J29" s="31"/>
      <c r="K29"/>
      <c r="L29" s="158"/>
      <c r="M29" s="192" t="s">
        <v>27</v>
      </c>
      <c r="N29" s="192" t="s">
        <v>34</v>
      </c>
      <c r="O29" s="192" t="s">
        <v>473</v>
      </c>
      <c r="P29" s="194" t="s">
        <v>36</v>
      </c>
      <c r="Q29" s="192" t="s">
        <v>476</v>
      </c>
      <c r="R29" s="158"/>
      <c r="S29" s="158"/>
      <c r="W29" s="158"/>
    </row>
    <row r="30" spans="1:23" ht="15" customHeight="1">
      <c r="A30" s="22"/>
      <c r="B30" s="17"/>
      <c r="C30" s="154"/>
      <c r="D30" s="154"/>
      <c r="E30" s="154"/>
      <c r="F30" s="154"/>
      <c r="G30" s="154"/>
      <c r="H30" s="17"/>
      <c r="I30" s="18"/>
      <c r="J30" s="31"/>
      <c r="K30"/>
      <c r="L30" s="158"/>
      <c r="M30" s="158"/>
      <c r="N30" s="192" t="s">
        <v>34</v>
      </c>
      <c r="O30" s="392">
        <f>S24</f>
        <v>990</v>
      </c>
      <c r="P30" s="194" t="s">
        <v>36</v>
      </c>
      <c r="Q30" s="192">
        <f>F16</f>
        <v>6500</v>
      </c>
      <c r="R30" s="158"/>
      <c r="S30" s="158"/>
      <c r="W30" s="158"/>
    </row>
    <row r="31" spans="1:23" ht="15" customHeight="1">
      <c r="A31" s="22"/>
      <c r="B31" s="17"/>
      <c r="C31" s="154"/>
      <c r="D31" s="154"/>
      <c r="E31" s="154"/>
      <c r="F31" s="154"/>
      <c r="G31" s="154"/>
      <c r="H31" s="17"/>
      <c r="I31" s="18"/>
      <c r="J31" s="31"/>
      <c r="K31"/>
      <c r="L31" s="158"/>
      <c r="M31" s="158"/>
      <c r="N31" s="192" t="s">
        <v>34</v>
      </c>
      <c r="O31" s="393">
        <f>O30/Q30</f>
        <v>0.15230769230769231</v>
      </c>
      <c r="P31" s="305" t="s">
        <v>477</v>
      </c>
      <c r="Q31" s="158"/>
      <c r="R31" s="158"/>
      <c r="S31" s="158"/>
      <c r="W31" s="158"/>
    </row>
    <row r="32" spans="1:23" ht="15" customHeight="1">
      <c r="A32" s="22"/>
      <c r="B32" s="17"/>
      <c r="C32" s="154"/>
      <c r="D32" s="154"/>
      <c r="E32" s="154"/>
      <c r="F32" s="154"/>
      <c r="G32" s="154"/>
      <c r="H32" s="17"/>
      <c r="I32" s="18"/>
      <c r="J32" s="31"/>
      <c r="K32"/>
      <c r="L32"/>
      <c r="M32"/>
      <c r="N32"/>
      <c r="W32" s="158"/>
    </row>
    <row r="33" spans="1:23" ht="15" customHeight="1">
      <c r="A33" s="22"/>
      <c r="B33" s="17"/>
      <c r="C33" s="154"/>
      <c r="D33" s="154"/>
      <c r="E33" s="154"/>
      <c r="F33" s="154"/>
      <c r="G33" s="154"/>
      <c r="H33" s="17"/>
      <c r="I33" s="18"/>
      <c r="J33" s="31"/>
      <c r="K33" s="48"/>
      <c r="L33" s="1"/>
      <c r="M33"/>
      <c r="N33"/>
      <c r="W33" s="158"/>
    </row>
    <row r="34" spans="1:23" ht="15" customHeight="1">
      <c r="A34" s="22"/>
      <c r="B34" s="17"/>
      <c r="C34" s="154"/>
      <c r="D34" s="154"/>
      <c r="E34" s="154"/>
      <c r="F34" s="154"/>
      <c r="G34" s="154"/>
      <c r="H34" s="17"/>
      <c r="I34" s="18"/>
      <c r="J34" s="31"/>
      <c r="K34"/>
      <c r="L34"/>
      <c r="M34"/>
      <c r="N34"/>
      <c r="O34"/>
      <c r="P34"/>
      <c r="Q34"/>
      <c r="R34"/>
      <c r="S34"/>
      <c r="T34"/>
      <c r="U34"/>
    </row>
    <row r="35" spans="1:23" ht="15" customHeight="1">
      <c r="A35" s="22"/>
      <c r="B35" s="17"/>
      <c r="C35" s="154"/>
      <c r="D35" s="154"/>
      <c r="E35" s="154"/>
      <c r="F35" s="154"/>
      <c r="G35" s="154"/>
      <c r="H35" s="17"/>
      <c r="I35" s="18"/>
      <c r="J35" s="31"/>
      <c r="K35" s="48"/>
      <c r="L35"/>
      <c r="M35"/>
      <c r="N35"/>
      <c r="O35"/>
      <c r="P35"/>
      <c r="Q35"/>
      <c r="R35"/>
      <c r="S35"/>
      <c r="T35"/>
      <c r="U35"/>
    </row>
    <row r="36" spans="1:23" ht="15" customHeight="1">
      <c r="A36" s="22"/>
      <c r="B36" s="17"/>
      <c r="C36" s="154"/>
      <c r="D36" s="154"/>
      <c r="E36" s="154"/>
      <c r="F36" s="154"/>
      <c r="G36" s="154"/>
      <c r="H36" s="17"/>
      <c r="I36" s="18"/>
      <c r="J36" s="31"/>
      <c r="K36"/>
      <c r="L36"/>
      <c r="M36"/>
      <c r="N36"/>
      <c r="O36"/>
      <c r="P36"/>
      <c r="Q36"/>
      <c r="R36"/>
      <c r="S36"/>
      <c r="T36"/>
      <c r="U36"/>
    </row>
    <row r="37" spans="1:23" ht="15" customHeight="1" thickBot="1">
      <c r="A37" s="24"/>
      <c r="B37" s="32"/>
      <c r="C37" s="32"/>
      <c r="D37" s="32"/>
      <c r="E37" s="32"/>
      <c r="F37" s="32"/>
      <c r="G37" s="32"/>
      <c r="H37" s="32"/>
      <c r="I37" s="33"/>
      <c r="J37" s="31"/>
      <c r="K37"/>
      <c r="L37"/>
      <c r="M37"/>
      <c r="N37"/>
      <c r="O37"/>
      <c r="P37"/>
      <c r="Q37"/>
      <c r="R37"/>
      <c r="S37"/>
      <c r="T37"/>
      <c r="U37"/>
    </row>
    <row r="38" spans="1:23" ht="15" customHeight="1">
      <c r="J38" s="31"/>
      <c r="K38"/>
      <c r="L38"/>
      <c r="M38"/>
      <c r="N38"/>
      <c r="O38"/>
      <c r="P38"/>
      <c r="Q38"/>
      <c r="R38"/>
      <c r="S38"/>
      <c r="T38"/>
      <c r="U38"/>
    </row>
    <row r="39" spans="1:23" ht="15" customHeight="1">
      <c r="J39" s="31"/>
      <c r="K39"/>
      <c r="L39"/>
      <c r="M39"/>
      <c r="N39"/>
      <c r="O39"/>
      <c r="P39"/>
      <c r="Q39"/>
      <c r="R39"/>
      <c r="S39"/>
      <c r="T39"/>
      <c r="U39"/>
    </row>
    <row r="40" spans="1:23" ht="15" customHeight="1">
      <c r="J40" s="31"/>
      <c r="K40"/>
      <c r="L40"/>
      <c r="M40"/>
      <c r="N40"/>
      <c r="O40"/>
      <c r="P40"/>
      <c r="Q40"/>
      <c r="R40"/>
      <c r="S40"/>
      <c r="T40"/>
      <c r="U40"/>
    </row>
    <row r="41" spans="1:23" ht="15" customHeight="1">
      <c r="J41" s="31"/>
      <c r="K41"/>
      <c r="L41"/>
      <c r="M41"/>
      <c r="N41"/>
      <c r="O41"/>
      <c r="P41"/>
      <c r="Q41"/>
      <c r="R41"/>
      <c r="S41"/>
      <c r="T41"/>
      <c r="U41"/>
    </row>
    <row r="42" spans="1:23" ht="15" customHeight="1">
      <c r="J42" s="31"/>
      <c r="K42"/>
      <c r="L42"/>
      <c r="M42"/>
      <c r="N42"/>
      <c r="O42"/>
      <c r="P42"/>
      <c r="Q42"/>
      <c r="R42"/>
      <c r="S42"/>
      <c r="T42"/>
      <c r="U42"/>
    </row>
    <row r="43" spans="1:23" ht="15" customHeight="1">
      <c r="J43" s="31"/>
      <c r="K43"/>
      <c r="L43"/>
      <c r="M43"/>
      <c r="N43"/>
      <c r="O43"/>
      <c r="P43"/>
      <c r="Q43"/>
      <c r="R43"/>
      <c r="S43"/>
      <c r="T43"/>
      <c r="U43"/>
    </row>
    <row r="44" spans="1:23" ht="15" customHeight="1">
      <c r="J44" s="31"/>
      <c r="K44"/>
      <c r="L44"/>
      <c r="M44"/>
      <c r="N44"/>
      <c r="O44"/>
      <c r="P44"/>
      <c r="Q44"/>
      <c r="R44"/>
      <c r="S44"/>
      <c r="T44"/>
      <c r="U44"/>
    </row>
    <row r="45" spans="1:23" ht="15" customHeight="1">
      <c r="J45" s="31"/>
      <c r="K45"/>
      <c r="L45"/>
      <c r="M45"/>
      <c r="N45"/>
      <c r="O45"/>
      <c r="P45"/>
      <c r="Q45"/>
      <c r="R45"/>
      <c r="S45"/>
      <c r="T45"/>
      <c r="U45"/>
    </row>
    <row r="46" spans="1:23" ht="15" customHeight="1">
      <c r="B46" s="31"/>
      <c r="C46" s="31"/>
      <c r="D46" s="31"/>
      <c r="E46" s="31"/>
      <c r="F46" s="31"/>
      <c r="G46" s="31"/>
      <c r="H46" s="31"/>
      <c r="I46" s="31"/>
      <c r="J46" s="31"/>
      <c r="K46"/>
      <c r="L46"/>
      <c r="M46"/>
      <c r="N46"/>
      <c r="O46"/>
      <c r="P46"/>
      <c r="Q46"/>
      <c r="R46"/>
      <c r="S46"/>
      <c r="T46"/>
      <c r="U46"/>
    </row>
    <row r="47" spans="1:23" ht="15" customHeight="1">
      <c r="B47" s="31"/>
      <c r="C47" s="31"/>
      <c r="D47" s="31"/>
      <c r="E47" s="31"/>
      <c r="F47" s="31"/>
      <c r="G47" s="31"/>
      <c r="H47" s="31"/>
      <c r="I47" s="31"/>
      <c r="J47" s="31"/>
      <c r="K47"/>
      <c r="L47"/>
      <c r="M47"/>
      <c r="N47"/>
      <c r="O47"/>
      <c r="P47"/>
      <c r="Q47"/>
      <c r="R47"/>
      <c r="S47"/>
      <c r="T47"/>
      <c r="U47"/>
    </row>
    <row r="48" spans="1:23" ht="15" customHeight="1">
      <c r="B48" s="31"/>
      <c r="C48" s="31"/>
      <c r="D48" s="31"/>
      <c r="E48" s="31"/>
      <c r="F48" s="31"/>
      <c r="G48" s="31"/>
      <c r="H48" s="31"/>
      <c r="I48" s="31"/>
      <c r="J48" s="31"/>
      <c r="K48"/>
      <c r="L48"/>
      <c r="M48"/>
      <c r="N48"/>
      <c r="O48"/>
      <c r="P48"/>
      <c r="Q48"/>
      <c r="R48"/>
      <c r="S48"/>
      <c r="T48"/>
      <c r="U48"/>
    </row>
    <row r="49" spans="2:21" ht="15" customHeight="1">
      <c r="B49" s="31"/>
      <c r="C49" s="31"/>
      <c r="D49" s="31"/>
      <c r="E49" s="31"/>
      <c r="F49" s="31"/>
      <c r="G49" s="31"/>
      <c r="H49" s="31"/>
      <c r="I49" s="31"/>
      <c r="J49" s="31"/>
      <c r="K49"/>
      <c r="L49"/>
      <c r="M49"/>
      <c r="N49"/>
      <c r="O49"/>
      <c r="P49"/>
      <c r="Q49"/>
      <c r="R49"/>
      <c r="S49"/>
      <c r="T49"/>
      <c r="U49"/>
    </row>
    <row r="50" spans="2:21" ht="15" customHeight="1">
      <c r="B50" s="31"/>
      <c r="C50" s="31"/>
      <c r="D50" s="31"/>
      <c r="E50" s="31"/>
      <c r="F50" s="31"/>
      <c r="G50" s="31"/>
      <c r="H50" s="31"/>
      <c r="I50" s="31"/>
      <c r="J50" s="31"/>
      <c r="K50"/>
      <c r="L50"/>
      <c r="M50"/>
      <c r="N50"/>
      <c r="O50"/>
      <c r="P50"/>
      <c r="Q50"/>
      <c r="R50"/>
      <c r="S50"/>
      <c r="T50"/>
      <c r="U50"/>
    </row>
    <row r="51" spans="2:21" ht="15" customHeight="1">
      <c r="B51" s="31"/>
      <c r="C51" s="31"/>
      <c r="D51" s="31"/>
      <c r="E51" s="31"/>
      <c r="F51" s="31"/>
      <c r="G51" s="31"/>
      <c r="H51" s="31"/>
      <c r="I51" s="31"/>
      <c r="J51" s="31"/>
    </row>
    <row r="52" spans="2:21" ht="15" customHeight="1">
      <c r="B52" s="31"/>
      <c r="C52" s="31"/>
      <c r="D52" s="31"/>
      <c r="E52" s="31"/>
      <c r="F52" s="31"/>
      <c r="G52" s="31"/>
      <c r="H52" s="31"/>
      <c r="I52" s="31"/>
      <c r="J52" s="31"/>
    </row>
    <row r="53" spans="2:21" ht="15" customHeight="1">
      <c r="B53" s="31"/>
      <c r="C53" s="31"/>
      <c r="D53" s="31"/>
      <c r="E53" s="31"/>
      <c r="F53" s="31"/>
      <c r="G53" s="31"/>
      <c r="H53" s="31"/>
      <c r="I53" s="31"/>
      <c r="J53" s="31"/>
    </row>
    <row r="54" spans="2:21" ht="15" customHeight="1">
      <c r="B54" s="31"/>
      <c r="C54" s="31"/>
      <c r="D54" s="31"/>
      <c r="E54" s="31"/>
      <c r="F54" s="31"/>
      <c r="G54" s="31"/>
      <c r="H54" s="31"/>
      <c r="I54" s="31"/>
      <c r="J54" s="31"/>
    </row>
    <row r="55" spans="2:21" ht="15" customHeight="1">
      <c r="B55" s="31"/>
      <c r="C55" s="31"/>
      <c r="D55" s="31"/>
      <c r="E55" s="31"/>
      <c r="F55" s="31"/>
      <c r="G55" s="31"/>
      <c r="H55" s="31"/>
      <c r="I55" s="31"/>
      <c r="J55" s="31"/>
    </row>
    <row r="56" spans="2:21" ht="15" customHeight="1">
      <c r="B56" s="31"/>
      <c r="C56" s="31"/>
      <c r="D56" s="31"/>
      <c r="E56" s="31"/>
      <c r="F56" s="31"/>
      <c r="G56" s="31"/>
      <c r="H56" s="31"/>
      <c r="I56" s="31"/>
      <c r="J56" s="31"/>
    </row>
    <row r="57" spans="2:21" ht="15" customHeight="1">
      <c r="B57" s="31"/>
      <c r="C57" s="31"/>
      <c r="D57" s="31"/>
      <c r="E57" s="31"/>
      <c r="F57" s="31"/>
      <c r="G57" s="31"/>
      <c r="H57" s="31"/>
      <c r="I57" s="31"/>
      <c r="J57" s="31"/>
    </row>
    <row r="58" spans="2:21" ht="15" customHeight="1">
      <c r="B58" s="31"/>
      <c r="C58" s="31"/>
      <c r="D58" s="31"/>
      <c r="E58" s="31"/>
      <c r="F58" s="31"/>
      <c r="G58" s="31"/>
      <c r="H58" s="31"/>
      <c r="I58" s="31"/>
      <c r="J58" s="31"/>
    </row>
    <row r="59" spans="2:21" ht="15" customHeight="1">
      <c r="B59" s="31"/>
      <c r="C59" s="31"/>
      <c r="D59" s="31"/>
      <c r="E59" s="31"/>
      <c r="F59" s="31"/>
      <c r="G59" s="31"/>
      <c r="H59" s="31"/>
      <c r="I59" s="31"/>
      <c r="J59" s="31"/>
    </row>
    <row r="60" spans="2:21" ht="15" customHeight="1">
      <c r="B60" s="31"/>
      <c r="C60" s="31"/>
      <c r="D60" s="31"/>
      <c r="E60" s="31"/>
      <c r="F60" s="31"/>
      <c r="G60" s="31"/>
      <c r="H60" s="31"/>
      <c r="I60" s="31"/>
      <c r="J60" s="31"/>
    </row>
    <row r="61" spans="2:21" ht="15" customHeight="1">
      <c r="B61" s="31"/>
      <c r="C61" s="31"/>
      <c r="D61" s="31"/>
      <c r="E61" s="31"/>
      <c r="F61" s="31"/>
      <c r="G61" s="31"/>
      <c r="H61" s="31"/>
      <c r="I61" s="31"/>
      <c r="J61" s="31"/>
    </row>
    <row r="62" spans="2:21" ht="15" customHeight="1">
      <c r="B62" s="31"/>
      <c r="C62" s="31"/>
      <c r="D62" s="31"/>
      <c r="E62" s="31"/>
      <c r="F62" s="31"/>
      <c r="G62" s="31"/>
      <c r="H62" s="31"/>
      <c r="I62" s="31"/>
      <c r="J62" s="31"/>
    </row>
    <row r="63" spans="2:21" ht="15" customHeight="1">
      <c r="B63" s="31"/>
      <c r="C63" s="31"/>
      <c r="D63" s="31"/>
      <c r="E63" s="31"/>
      <c r="F63" s="31"/>
      <c r="G63" s="31"/>
      <c r="H63" s="31"/>
      <c r="I63" s="31"/>
      <c r="J63" s="31"/>
    </row>
    <row r="64" spans="2:21" ht="15" customHeight="1">
      <c r="B64" s="31"/>
      <c r="C64" s="31"/>
      <c r="D64" s="31"/>
      <c r="E64" s="31"/>
      <c r="F64" s="31"/>
      <c r="G64" s="31"/>
      <c r="H64" s="31"/>
      <c r="I64" s="31"/>
      <c r="J64" s="31"/>
    </row>
    <row r="65" spans="2:10" ht="15" customHeight="1">
      <c r="B65" s="31"/>
      <c r="C65" s="31"/>
      <c r="D65" s="31"/>
      <c r="E65" s="31"/>
      <c r="F65" s="31"/>
      <c r="G65" s="31"/>
      <c r="H65" s="31"/>
      <c r="I65" s="31"/>
      <c r="J65" s="31"/>
    </row>
    <row r="66" spans="2:10" ht="15" customHeight="1">
      <c r="B66" s="31"/>
      <c r="C66" s="31"/>
      <c r="D66" s="31"/>
      <c r="E66" s="31"/>
      <c r="F66" s="31"/>
      <c r="G66" s="31"/>
      <c r="H66" s="31"/>
      <c r="I66" s="31"/>
      <c r="J66" s="31"/>
    </row>
    <row r="67" spans="2:10" ht="15" customHeight="1">
      <c r="B67" s="31"/>
      <c r="C67" s="31"/>
      <c r="D67" s="31"/>
      <c r="E67" s="31"/>
      <c r="F67" s="31"/>
      <c r="G67" s="31"/>
      <c r="H67" s="31"/>
      <c r="I67" s="31"/>
      <c r="J67" s="31"/>
    </row>
    <row r="68" spans="2:10" ht="15" customHeight="1">
      <c r="B68" s="31"/>
      <c r="C68" s="31"/>
      <c r="D68" s="31"/>
      <c r="E68" s="31"/>
      <c r="F68" s="31"/>
      <c r="G68" s="31"/>
      <c r="H68" s="31"/>
      <c r="I68" s="31"/>
      <c r="J68" s="31"/>
    </row>
    <row r="69" spans="2:10" ht="15" customHeight="1">
      <c r="B69" s="31"/>
      <c r="C69" s="31"/>
      <c r="D69" s="31"/>
      <c r="E69" s="31"/>
      <c r="F69" s="31"/>
      <c r="G69" s="31"/>
      <c r="H69" s="31"/>
      <c r="I69" s="31"/>
      <c r="J69" s="31"/>
    </row>
    <row r="70" spans="2:10" ht="15" customHeight="1">
      <c r="B70" s="31"/>
      <c r="C70" s="31"/>
      <c r="D70" s="31"/>
      <c r="E70" s="31"/>
      <c r="F70" s="31"/>
      <c r="G70" s="31"/>
      <c r="H70" s="31"/>
      <c r="I70" s="31"/>
      <c r="J70" s="31"/>
    </row>
    <row r="71" spans="2:10" ht="15" customHeight="1">
      <c r="B71" s="31"/>
      <c r="C71" s="31"/>
      <c r="D71" s="31"/>
      <c r="E71" s="31"/>
      <c r="F71" s="31"/>
      <c r="G71" s="31"/>
      <c r="H71" s="31"/>
      <c r="I71" s="31"/>
      <c r="J71" s="31"/>
    </row>
    <row r="72" spans="2:10" ht="15" customHeight="1">
      <c r="B72" s="31"/>
      <c r="C72" s="31"/>
      <c r="D72" s="31"/>
      <c r="E72" s="31"/>
      <c r="F72" s="31"/>
      <c r="G72" s="31"/>
      <c r="H72" s="31"/>
      <c r="I72" s="31"/>
      <c r="J72" s="31"/>
    </row>
    <row r="73" spans="2:10" ht="15" customHeight="1">
      <c r="B73" s="31"/>
      <c r="C73" s="31"/>
      <c r="D73" s="31"/>
      <c r="E73" s="31"/>
      <c r="F73" s="31"/>
      <c r="G73" s="31"/>
      <c r="H73" s="31"/>
      <c r="I73" s="31"/>
      <c r="J73" s="31"/>
    </row>
    <row r="74" spans="2:10" ht="15" customHeight="1">
      <c r="B74" s="31"/>
      <c r="C74" s="31"/>
      <c r="D74" s="31"/>
      <c r="E74" s="31"/>
      <c r="F74" s="31"/>
      <c r="G74" s="31"/>
      <c r="H74" s="31"/>
      <c r="I74" s="31"/>
      <c r="J74" s="31"/>
    </row>
    <row r="75" spans="2:10" ht="15" customHeight="1">
      <c r="B75" s="31"/>
      <c r="C75" s="31"/>
      <c r="D75" s="31"/>
      <c r="E75" s="31"/>
      <c r="F75" s="31"/>
      <c r="G75" s="31"/>
      <c r="H75" s="31"/>
      <c r="I75" s="31"/>
      <c r="J75" s="31"/>
    </row>
    <row r="76" spans="2:10" ht="15" customHeight="1">
      <c r="B76" s="31"/>
      <c r="C76" s="31"/>
      <c r="D76" s="31"/>
      <c r="E76" s="31"/>
      <c r="F76" s="31"/>
      <c r="G76" s="31"/>
      <c r="H76" s="31"/>
      <c r="I76" s="31"/>
      <c r="J76" s="31"/>
    </row>
    <row r="77" spans="2:10" ht="15" customHeight="1">
      <c r="B77" s="31"/>
      <c r="C77" s="31"/>
      <c r="D77" s="31"/>
      <c r="E77" s="31"/>
      <c r="F77" s="31"/>
      <c r="G77" s="31"/>
      <c r="H77" s="31"/>
      <c r="I77" s="31"/>
      <c r="J77" s="31"/>
    </row>
    <row r="78" spans="2:10" ht="15" customHeight="1">
      <c r="B78" s="31"/>
      <c r="C78" s="31"/>
      <c r="D78" s="31"/>
      <c r="E78" s="31"/>
      <c r="F78" s="31"/>
      <c r="G78" s="31"/>
      <c r="H78" s="31"/>
      <c r="I78" s="31"/>
      <c r="J78" s="31"/>
    </row>
    <row r="79" spans="2:10" ht="15" customHeight="1">
      <c r="B79" s="31"/>
      <c r="C79" s="31"/>
      <c r="D79" s="31"/>
      <c r="E79" s="31"/>
      <c r="F79" s="31"/>
      <c r="G79" s="31"/>
      <c r="H79" s="31"/>
      <c r="I79" s="31"/>
      <c r="J79" s="31"/>
    </row>
    <row r="80" spans="2:10" ht="15" customHeight="1">
      <c r="B80" s="31"/>
      <c r="C80" s="31"/>
      <c r="D80" s="31"/>
      <c r="E80" s="31"/>
      <c r="F80" s="31"/>
      <c r="G80" s="31"/>
      <c r="H80" s="31"/>
      <c r="I80" s="31"/>
      <c r="J80" s="31"/>
    </row>
    <row r="81" spans="2:10" ht="15" customHeight="1">
      <c r="B81" s="31"/>
      <c r="C81" s="31"/>
      <c r="D81" s="31"/>
      <c r="E81" s="31"/>
      <c r="F81" s="31"/>
      <c r="G81" s="31"/>
      <c r="H81" s="31"/>
      <c r="I81" s="31"/>
      <c r="J81" s="31"/>
    </row>
    <row r="82" spans="2:10" ht="15" customHeight="1">
      <c r="B82" s="31"/>
      <c r="C82" s="31"/>
      <c r="D82" s="31"/>
      <c r="E82" s="31"/>
      <c r="F82" s="31"/>
      <c r="G82" s="31"/>
      <c r="H82" s="31"/>
      <c r="I82" s="31"/>
      <c r="J82" s="31"/>
    </row>
    <row r="83" spans="2:10" ht="15" customHeight="1">
      <c r="B83" s="31"/>
      <c r="C83" s="31"/>
      <c r="D83" s="31"/>
      <c r="E83" s="31"/>
      <c r="F83" s="31"/>
      <c r="G83" s="31"/>
      <c r="H83" s="31"/>
      <c r="I83" s="31"/>
      <c r="J83" s="31"/>
    </row>
    <row r="84" spans="2:10" ht="15" customHeight="1">
      <c r="B84" s="31"/>
      <c r="C84" s="31"/>
      <c r="D84" s="31"/>
      <c r="E84" s="31"/>
      <c r="F84" s="31"/>
      <c r="G84" s="31"/>
      <c r="H84" s="31"/>
      <c r="I84" s="31"/>
      <c r="J84" s="31"/>
    </row>
    <row r="85" spans="2:10" ht="15" customHeight="1">
      <c r="B85" s="31"/>
      <c r="C85" s="31"/>
      <c r="D85" s="31"/>
      <c r="E85" s="31"/>
      <c r="F85" s="31"/>
      <c r="G85" s="31"/>
      <c r="H85" s="31"/>
      <c r="I85" s="31"/>
      <c r="J85" s="31"/>
    </row>
    <row r="86" spans="2:10" ht="15" customHeight="1">
      <c r="B86" s="31"/>
      <c r="C86" s="31"/>
      <c r="D86" s="31"/>
      <c r="E86" s="31"/>
      <c r="F86" s="31"/>
      <c r="G86" s="31"/>
      <c r="H86" s="31"/>
      <c r="I86" s="31"/>
      <c r="J86" s="31"/>
    </row>
    <row r="87" spans="2:10" ht="15" customHeight="1">
      <c r="B87" s="31"/>
      <c r="C87" s="31"/>
      <c r="D87" s="31"/>
      <c r="E87" s="31"/>
      <c r="F87" s="31"/>
      <c r="G87" s="31"/>
      <c r="H87" s="31"/>
      <c r="I87" s="31"/>
      <c r="J87" s="31"/>
    </row>
    <row r="88" spans="2:10" ht="15" customHeight="1">
      <c r="B88" s="31"/>
      <c r="C88" s="31"/>
      <c r="D88" s="31"/>
      <c r="E88" s="31"/>
      <c r="F88" s="31"/>
      <c r="G88" s="31"/>
      <c r="H88" s="31"/>
      <c r="I88" s="31"/>
      <c r="J88" s="31"/>
    </row>
    <row r="89" spans="2:10" ht="15" customHeight="1">
      <c r="B89" s="31"/>
      <c r="C89" s="31"/>
      <c r="D89" s="31"/>
      <c r="E89" s="31"/>
      <c r="F89" s="31"/>
      <c r="G89" s="31"/>
      <c r="H89" s="31"/>
      <c r="I89" s="31"/>
      <c r="J89" s="31"/>
    </row>
    <row r="90" spans="2:10" ht="15" customHeight="1">
      <c r="B90" s="31"/>
      <c r="C90" s="31"/>
      <c r="D90" s="31"/>
      <c r="E90" s="31"/>
      <c r="F90" s="31"/>
      <c r="G90" s="31"/>
      <c r="H90" s="31"/>
      <c r="I90" s="31"/>
      <c r="J90" s="31"/>
    </row>
    <row r="91" spans="2:10" ht="15" customHeight="1">
      <c r="B91" s="31"/>
      <c r="C91" s="31"/>
      <c r="D91" s="31"/>
      <c r="E91" s="31"/>
      <c r="F91" s="31"/>
      <c r="G91" s="31"/>
      <c r="H91" s="31"/>
      <c r="I91" s="31"/>
      <c r="J91" s="31"/>
    </row>
    <row r="92" spans="2:10" ht="15" customHeight="1">
      <c r="B92" s="31"/>
      <c r="C92" s="31"/>
      <c r="D92" s="31"/>
      <c r="E92" s="31"/>
      <c r="F92" s="31"/>
      <c r="G92" s="31"/>
      <c r="H92" s="31"/>
      <c r="I92" s="31"/>
      <c r="J92" s="31"/>
    </row>
    <row r="93" spans="2:10" ht="15" customHeight="1">
      <c r="B93" s="31"/>
      <c r="C93" s="31"/>
      <c r="D93" s="31"/>
      <c r="E93" s="31"/>
      <c r="F93" s="31"/>
      <c r="G93" s="31"/>
      <c r="H93" s="31"/>
      <c r="I93" s="31"/>
      <c r="J93" s="31"/>
    </row>
    <row r="94" spans="2:10" ht="15" customHeight="1">
      <c r="B94" s="31"/>
      <c r="C94" s="31"/>
      <c r="D94" s="31"/>
      <c r="E94" s="31"/>
      <c r="F94" s="31"/>
      <c r="G94" s="31"/>
      <c r="H94" s="31"/>
      <c r="I94" s="31"/>
      <c r="J94" s="31"/>
    </row>
    <row r="95" spans="2:10" ht="15" customHeight="1">
      <c r="B95" s="31"/>
      <c r="C95" s="31"/>
      <c r="D95" s="31"/>
      <c r="E95" s="31"/>
      <c r="F95" s="31"/>
      <c r="G95" s="31"/>
      <c r="H95" s="31"/>
      <c r="I95" s="31"/>
      <c r="J95" s="31"/>
    </row>
    <row r="96" spans="2:10" ht="15" customHeight="1">
      <c r="B96" s="31"/>
      <c r="C96" s="31"/>
      <c r="D96" s="31"/>
      <c r="E96" s="31"/>
      <c r="F96" s="31"/>
      <c r="G96" s="31"/>
      <c r="H96" s="31"/>
      <c r="I96" s="31"/>
      <c r="J96" s="31"/>
    </row>
    <row r="97" spans="2:10" ht="15" customHeight="1">
      <c r="B97" s="31"/>
      <c r="C97" s="31"/>
      <c r="D97" s="31"/>
      <c r="E97" s="31"/>
      <c r="F97" s="31"/>
      <c r="G97" s="31"/>
      <c r="H97" s="31"/>
      <c r="I97" s="31"/>
      <c r="J97" s="31"/>
    </row>
    <row r="98" spans="2:10" ht="15" customHeight="1">
      <c r="B98" s="31"/>
      <c r="C98" s="31"/>
      <c r="D98" s="31"/>
      <c r="E98" s="31"/>
      <c r="F98" s="31"/>
      <c r="G98" s="31"/>
      <c r="H98" s="31"/>
      <c r="I98" s="31"/>
      <c r="J98" s="31"/>
    </row>
    <row r="99" spans="2:10" ht="15" customHeight="1">
      <c r="B99" s="31"/>
      <c r="C99" s="31"/>
      <c r="D99" s="31"/>
      <c r="E99" s="31"/>
      <c r="F99" s="31"/>
      <c r="G99" s="31"/>
      <c r="H99" s="31"/>
      <c r="I99" s="31"/>
      <c r="J99" s="31"/>
    </row>
    <row r="100" spans="2:10" ht="15" customHeight="1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2:10" ht="15" customHeight="1">
      <c r="B101" s="31"/>
      <c r="C101" s="31"/>
      <c r="D101" s="31"/>
      <c r="E101" s="31"/>
      <c r="F101" s="31"/>
      <c r="G101" s="31"/>
      <c r="H101" s="31"/>
      <c r="I101" s="31"/>
      <c r="J101" s="31"/>
    </row>
  </sheetData>
  <mergeCells count="1">
    <mergeCell ref="H1:I1"/>
  </mergeCells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X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4">
      <c r="A1" s="7">
        <v>18</v>
      </c>
      <c r="B1" s="27" t="s">
        <v>12</v>
      </c>
      <c r="C1" s="20"/>
      <c r="D1" s="20"/>
      <c r="E1" s="20"/>
      <c r="F1" s="20"/>
      <c r="G1" s="20"/>
      <c r="H1" s="854" t="s">
        <v>24</v>
      </c>
      <c r="I1" s="855"/>
      <c r="K1" s="1" t="s">
        <v>33</v>
      </c>
      <c r="L1" s="52" t="str">
        <f>VLOOKUP(A1,'Point Grid'!$L$8:$T$54,9,FALSE)</f>
        <v>Pricing - Chap 15: Commercial Ratemaking</v>
      </c>
      <c r="M1"/>
      <c r="N1"/>
      <c r="O1"/>
      <c r="P1"/>
      <c r="Q1"/>
      <c r="R1"/>
      <c r="S1"/>
      <c r="T1"/>
      <c r="U1"/>
    </row>
    <row r="2" spans="1:24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4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1"/>
      <c r="K3" s="48" t="s">
        <v>2</v>
      </c>
      <c r="L3"/>
      <c r="M3" s="213" t="s">
        <v>486</v>
      </c>
      <c r="N3" s="192" t="s">
        <v>34</v>
      </c>
      <c r="O3" s="192" t="s">
        <v>487</v>
      </c>
      <c r="P3" s="192" t="s">
        <v>488</v>
      </c>
      <c r="Q3" s="192" t="s">
        <v>35</v>
      </c>
      <c r="R3" s="158" t="s">
        <v>480</v>
      </c>
      <c r="S3" s="158"/>
      <c r="T3" s="192" t="s">
        <v>439</v>
      </c>
      <c r="U3" s="192" t="s">
        <v>363</v>
      </c>
      <c r="V3" s="158" t="s">
        <v>489</v>
      </c>
      <c r="W3" s="158"/>
      <c r="X3" s="158"/>
    </row>
    <row r="4" spans="1:24">
      <c r="A4" s="9">
        <f>INDEX('Point Grid'!B:B,MATCH(A1,'Point Grid'!A:A,0))</f>
        <v>1</v>
      </c>
      <c r="B4" s="17"/>
      <c r="C4" s="17"/>
      <c r="D4" s="17"/>
      <c r="E4" s="17"/>
      <c r="F4" s="17"/>
      <c r="G4" s="17"/>
      <c r="H4" s="17"/>
      <c r="I4" s="18"/>
      <c r="J4" s="31"/>
      <c r="K4" s="48"/>
      <c r="L4"/>
      <c r="M4" s="158"/>
      <c r="N4" s="192" t="s">
        <v>34</v>
      </c>
      <c r="O4" s="192" t="s">
        <v>487</v>
      </c>
      <c r="P4" s="389">
        <f>G10</f>
        <v>212197</v>
      </c>
      <c r="Q4" s="192" t="s">
        <v>35</v>
      </c>
      <c r="R4" s="395">
        <f>G11</f>
        <v>163800</v>
      </c>
      <c r="S4" s="158"/>
      <c r="T4" s="192" t="s">
        <v>439</v>
      </c>
      <c r="U4" s="192" t="s">
        <v>363</v>
      </c>
      <c r="V4" s="197">
        <f>G12</f>
        <v>1.02</v>
      </c>
      <c r="W4" s="158"/>
      <c r="X4" s="158"/>
    </row>
    <row r="5" spans="1:24">
      <c r="A5" s="16"/>
      <c r="B5" s="17"/>
      <c r="C5" s="17"/>
      <c r="D5" s="17"/>
      <c r="E5" s="17"/>
      <c r="F5" s="17"/>
      <c r="G5" s="17"/>
      <c r="H5" s="17"/>
      <c r="I5" s="18"/>
      <c r="J5" s="31"/>
      <c r="K5" s="48"/>
      <c r="L5"/>
      <c r="M5" s="158"/>
      <c r="N5" s="192" t="s">
        <v>34</v>
      </c>
      <c r="O5" s="396">
        <f>(P4+R4)*V4</f>
        <v>383516.94</v>
      </c>
      <c r="P5" s="158"/>
      <c r="Q5" s="158"/>
      <c r="R5" s="158"/>
      <c r="S5" s="158"/>
      <c r="T5" s="158"/>
      <c r="U5" s="158"/>
      <c r="V5" s="158"/>
      <c r="W5" s="158"/>
      <c r="X5" s="158"/>
    </row>
    <row r="6" spans="1:24">
      <c r="A6" s="25" t="s">
        <v>2</v>
      </c>
      <c r="B6" s="17" t="s">
        <v>478</v>
      </c>
      <c r="C6" s="17"/>
      <c r="D6" s="17"/>
      <c r="E6" s="17"/>
      <c r="F6" s="17"/>
      <c r="G6" s="17"/>
      <c r="H6" s="17"/>
      <c r="I6" s="18"/>
      <c r="J6" s="31"/>
      <c r="K6" s="48"/>
      <c r="L6" s="1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</row>
    <row r="7" spans="1:24" ht="15.75" thickBot="1">
      <c r="A7" s="9">
        <f>INDEX('Point Grid'!$C$8:$I$54,MATCH($A$1,'Point Grid'!$A$8:$A$54,0),MATCH(A6,'Point Grid'!$C$7:$I$7,0))</f>
        <v>0.75</v>
      </c>
      <c r="B7" s="17" t="s">
        <v>479</v>
      </c>
      <c r="C7" s="17"/>
      <c r="D7" s="17"/>
      <c r="E7" s="17"/>
      <c r="F7" s="17"/>
      <c r="G7" s="17"/>
      <c r="H7" s="17"/>
      <c r="I7" s="18"/>
      <c r="J7" s="31"/>
      <c r="K7" s="48"/>
      <c r="L7"/>
      <c r="M7" s="158" t="s">
        <v>490</v>
      </c>
      <c r="N7" s="192" t="s">
        <v>34</v>
      </c>
      <c r="O7" s="158" t="s">
        <v>491</v>
      </c>
      <c r="P7" s="158"/>
      <c r="Q7" s="192" t="s">
        <v>363</v>
      </c>
      <c r="R7" s="192" t="s">
        <v>492</v>
      </c>
      <c r="S7" s="192" t="s">
        <v>34</v>
      </c>
      <c r="T7" s="388">
        <f>G13</f>
        <v>0.7</v>
      </c>
      <c r="U7" s="192" t="s">
        <v>363</v>
      </c>
      <c r="V7" s="192">
        <f>G9</f>
        <v>658000</v>
      </c>
      <c r="W7" s="192" t="s">
        <v>34</v>
      </c>
      <c r="X7" s="397">
        <f>T7*V7</f>
        <v>460599.99999999994</v>
      </c>
    </row>
    <row r="8" spans="1:24" ht="15.75" thickBot="1">
      <c r="A8" s="5"/>
      <c r="B8" s="17"/>
      <c r="C8" s="28"/>
      <c r="D8" s="28"/>
      <c r="E8" s="28"/>
      <c r="F8" s="28"/>
      <c r="G8" s="28"/>
      <c r="H8" s="28"/>
      <c r="I8" s="18"/>
      <c r="J8" s="31"/>
      <c r="K8"/>
      <c r="L8"/>
      <c r="M8" s="158" t="s">
        <v>493</v>
      </c>
      <c r="N8" s="192" t="s">
        <v>34</v>
      </c>
      <c r="O8" s="158" t="s">
        <v>494</v>
      </c>
      <c r="P8" s="158"/>
      <c r="Q8" s="192" t="s">
        <v>363</v>
      </c>
      <c r="R8" s="192" t="s">
        <v>492</v>
      </c>
      <c r="S8" s="192" t="s">
        <v>34</v>
      </c>
      <c r="T8" s="388">
        <f>G14</f>
        <v>1.3</v>
      </c>
      <c r="U8" s="192" t="s">
        <v>363</v>
      </c>
      <c r="V8" s="192">
        <f>G9</f>
        <v>658000</v>
      </c>
      <c r="W8" s="192" t="s">
        <v>34</v>
      </c>
      <c r="X8" s="397">
        <f>T8*V8</f>
        <v>855400</v>
      </c>
    </row>
    <row r="9" spans="1:24">
      <c r="A9" s="25"/>
      <c r="B9" s="17"/>
      <c r="C9" s="398" t="s">
        <v>498</v>
      </c>
      <c r="D9" s="399"/>
      <c r="E9" s="399"/>
      <c r="F9" s="399"/>
      <c r="G9" s="400">
        <v>658000</v>
      </c>
      <c r="H9" s="17"/>
      <c r="I9" s="18"/>
      <c r="J9" s="31"/>
      <c r="K9" s="48"/>
      <c r="L9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</row>
    <row r="10" spans="1:24">
      <c r="A10" s="25"/>
      <c r="B10" s="17"/>
      <c r="C10" s="85" t="s">
        <v>485</v>
      </c>
      <c r="D10" s="17"/>
      <c r="E10" s="17"/>
      <c r="F10" s="17"/>
      <c r="G10" s="401">
        <v>212197</v>
      </c>
      <c r="H10" s="17"/>
      <c r="I10" s="18"/>
      <c r="J10" s="31"/>
      <c r="K10"/>
      <c r="L10" s="1"/>
      <c r="M10" s="158" t="s">
        <v>495</v>
      </c>
      <c r="N10" s="192" t="s">
        <v>34</v>
      </c>
      <c r="O10" s="158" t="s">
        <v>496</v>
      </c>
      <c r="P10" s="158"/>
      <c r="Q10" s="158"/>
      <c r="R10" s="158"/>
      <c r="S10" s="158"/>
      <c r="T10" s="158"/>
      <c r="U10" s="158"/>
      <c r="V10" s="158"/>
      <c r="W10" s="158"/>
      <c r="X10" s="158"/>
    </row>
    <row r="11" spans="1:24">
      <c r="A11" s="25"/>
      <c r="B11" s="17"/>
      <c r="C11" s="87" t="s">
        <v>484</v>
      </c>
      <c r="D11" s="88"/>
      <c r="E11" s="88"/>
      <c r="F11" s="88"/>
      <c r="G11" s="407">
        <v>163800</v>
      </c>
      <c r="H11" s="17"/>
      <c r="I11" s="18"/>
      <c r="J11" s="31"/>
      <c r="K11"/>
      <c r="L11"/>
      <c r="M11" s="158"/>
      <c r="N11" s="192" t="s">
        <v>34</v>
      </c>
      <c r="O11" s="72">
        <f>MIN(MAX(O5,X7),X8)</f>
        <v>460599.99999999994</v>
      </c>
      <c r="P11" s="200" t="s">
        <v>497</v>
      </c>
      <c r="Q11" s="158"/>
      <c r="R11" s="158"/>
      <c r="S11" s="158"/>
      <c r="T11" s="158"/>
      <c r="U11" s="158"/>
      <c r="V11" s="158"/>
      <c r="W11" s="158"/>
      <c r="X11" s="158"/>
    </row>
    <row r="12" spans="1:24">
      <c r="A12" s="25"/>
      <c r="B12" s="17"/>
      <c r="C12" s="87" t="s">
        <v>483</v>
      </c>
      <c r="D12" s="88"/>
      <c r="E12" s="88"/>
      <c r="F12" s="88"/>
      <c r="G12" s="92">
        <v>1.02</v>
      </c>
      <c r="H12" s="28"/>
      <c r="I12" s="18"/>
      <c r="J12" s="31"/>
      <c r="K12"/>
      <c r="L12"/>
      <c r="M12"/>
      <c r="N12"/>
      <c r="O12"/>
      <c r="P12"/>
      <c r="Q12"/>
      <c r="R12"/>
      <c r="S12"/>
      <c r="T12"/>
      <c r="U12"/>
    </row>
    <row r="13" spans="1:24">
      <c r="A13" s="25"/>
      <c r="B13" s="17"/>
      <c r="C13" s="402" t="s">
        <v>482</v>
      </c>
      <c r="D13" s="403"/>
      <c r="E13" s="403"/>
      <c r="F13" s="403"/>
      <c r="G13" s="404">
        <v>0.7</v>
      </c>
      <c r="H13" s="28"/>
      <c r="I13" s="18"/>
      <c r="J13" s="31"/>
      <c r="K13" s="48" t="s">
        <v>3</v>
      </c>
      <c r="L13" t="s">
        <v>503</v>
      </c>
      <c r="M13"/>
      <c r="N13"/>
      <c r="O13"/>
      <c r="P13"/>
      <c r="Q13"/>
      <c r="R13"/>
      <c r="S13"/>
      <c r="T13"/>
      <c r="U13"/>
    </row>
    <row r="14" spans="1:24">
      <c r="A14" s="25"/>
      <c r="B14" s="17"/>
      <c r="C14" s="405" t="s">
        <v>481</v>
      </c>
      <c r="D14" s="293"/>
      <c r="E14" s="293"/>
      <c r="F14" s="293"/>
      <c r="G14" s="406">
        <v>1.3</v>
      </c>
      <c r="H14" s="28"/>
      <c r="I14" s="18"/>
      <c r="J14" s="31"/>
      <c r="K14"/>
      <c r="L14" t="s">
        <v>504</v>
      </c>
      <c r="M14"/>
      <c r="N14"/>
      <c r="O14"/>
      <c r="P14"/>
      <c r="Q14"/>
      <c r="R14"/>
      <c r="S14"/>
      <c r="T14"/>
      <c r="U14"/>
    </row>
    <row r="15" spans="1:24">
      <c r="A15" s="25"/>
      <c r="B15" s="17"/>
      <c r="C15" s="28"/>
      <c r="D15" s="28"/>
      <c r="E15" s="28"/>
      <c r="F15" s="28"/>
      <c r="G15" s="28"/>
      <c r="H15" s="28"/>
      <c r="I15" s="18"/>
      <c r="J15" s="31"/>
      <c r="K15"/>
      <c r="L15"/>
      <c r="M15"/>
      <c r="N15"/>
      <c r="O15"/>
      <c r="P15"/>
      <c r="Q15"/>
      <c r="R15"/>
      <c r="S15"/>
      <c r="T15"/>
      <c r="U15"/>
    </row>
    <row r="16" spans="1:24">
      <c r="A16" s="25" t="s">
        <v>3</v>
      </c>
      <c r="B16" s="17" t="s">
        <v>499</v>
      </c>
      <c r="C16" s="28"/>
      <c r="D16" s="28"/>
      <c r="E16" s="28"/>
      <c r="F16" s="28"/>
      <c r="G16" s="28"/>
      <c r="H16" s="28"/>
      <c r="I16" s="18"/>
      <c r="J16" s="31"/>
      <c r="K16" s="48"/>
      <c r="L16" s="1"/>
      <c r="M16"/>
      <c r="N16"/>
      <c r="O16"/>
      <c r="P16"/>
      <c r="Q16"/>
      <c r="R16"/>
      <c r="S16"/>
      <c r="T16"/>
      <c r="U16"/>
    </row>
    <row r="17" spans="1:21" ht="15.75" thickBot="1">
      <c r="A17" s="9">
        <f>INDEX('Point Grid'!$C$8:$I$54,MATCH($A$1,'Point Grid'!$A$8:$A$54,0),MATCH(A16,'Point Grid'!$C$7:$I$7,0))</f>
        <v>0.25</v>
      </c>
      <c r="B17" s="17" t="s">
        <v>500</v>
      </c>
      <c r="C17" s="28"/>
      <c r="D17" s="28"/>
      <c r="E17" s="28"/>
      <c r="F17" s="28"/>
      <c r="G17" s="28"/>
      <c r="H17" s="28"/>
      <c r="I17" s="18"/>
      <c r="J17" s="31"/>
      <c r="K17"/>
      <c r="L17"/>
      <c r="M17"/>
      <c r="N17"/>
      <c r="O17"/>
      <c r="P17"/>
      <c r="Q17"/>
      <c r="R17"/>
      <c r="S17"/>
      <c r="T17"/>
      <c r="U17"/>
    </row>
    <row r="18" spans="1:21" ht="15" customHeight="1" thickBot="1">
      <c r="A18" s="5"/>
      <c r="B18" s="17"/>
      <c r="C18" s="28"/>
      <c r="D18" s="28"/>
      <c r="E18" s="28"/>
      <c r="F18" s="28"/>
      <c r="G18" s="28"/>
      <c r="H18" s="28"/>
      <c r="I18" s="18"/>
      <c r="J18" s="31"/>
      <c r="K18"/>
      <c r="L18"/>
      <c r="M18"/>
      <c r="N18"/>
      <c r="O18"/>
      <c r="P18"/>
      <c r="Q18"/>
      <c r="R18"/>
      <c r="S18"/>
      <c r="T18"/>
      <c r="U18"/>
    </row>
    <row r="19" spans="1:21" ht="15" customHeight="1">
      <c r="A19" s="25"/>
      <c r="B19" s="35" t="s">
        <v>81</v>
      </c>
      <c r="C19" s="28" t="s">
        <v>502</v>
      </c>
      <c r="D19" s="28"/>
      <c r="E19" s="28"/>
      <c r="F19" s="28"/>
      <c r="G19" s="28"/>
      <c r="H19" s="28"/>
      <c r="I19" s="18"/>
      <c r="J19" s="31"/>
      <c r="K19"/>
      <c r="L19"/>
      <c r="M19"/>
      <c r="N19"/>
      <c r="O19"/>
      <c r="P19"/>
      <c r="Q19"/>
      <c r="R19"/>
      <c r="S19"/>
      <c r="T19"/>
      <c r="U19"/>
    </row>
    <row r="20" spans="1:21" ht="15" customHeight="1">
      <c r="A20" s="25"/>
      <c r="B20" s="35" t="s">
        <v>82</v>
      </c>
      <c r="C20" s="28" t="s">
        <v>501</v>
      </c>
      <c r="D20" s="28"/>
      <c r="E20" s="28"/>
      <c r="F20" s="28"/>
      <c r="G20" s="28"/>
      <c r="H20" s="28"/>
      <c r="I20" s="18"/>
      <c r="J20" s="31"/>
      <c r="K20"/>
      <c r="L20"/>
      <c r="M20"/>
      <c r="N20"/>
      <c r="O20"/>
      <c r="P20"/>
      <c r="Q20"/>
      <c r="R20"/>
      <c r="S20"/>
      <c r="T20"/>
      <c r="U20"/>
    </row>
    <row r="21" spans="1:21" ht="15" customHeight="1">
      <c r="A21" s="25"/>
      <c r="B21" s="17"/>
      <c r="C21" s="28"/>
      <c r="D21" s="28"/>
      <c r="E21" s="28"/>
      <c r="F21" s="28"/>
      <c r="G21" s="28"/>
      <c r="H21" s="28"/>
      <c r="I21" s="18"/>
      <c r="J21" s="31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25"/>
      <c r="B22" s="17"/>
      <c r="C22" s="28"/>
      <c r="D22" s="28"/>
      <c r="E22" s="28"/>
      <c r="F22" s="28"/>
      <c r="G22" s="28"/>
      <c r="H22" s="28"/>
      <c r="I22" s="18"/>
      <c r="J22" s="31"/>
      <c r="K22"/>
      <c r="L22"/>
      <c r="M22"/>
      <c r="N22"/>
      <c r="O22"/>
      <c r="P22"/>
      <c r="Q22"/>
      <c r="R22"/>
      <c r="S22"/>
      <c r="T22"/>
      <c r="U22"/>
    </row>
    <row r="23" spans="1:21" ht="15" customHeight="1">
      <c r="A23" s="25"/>
      <c r="B23" s="17"/>
      <c r="C23" s="28"/>
      <c r="D23" s="28"/>
      <c r="E23" s="28"/>
      <c r="F23" s="28"/>
      <c r="G23" s="28"/>
      <c r="H23" s="28"/>
      <c r="I23" s="18"/>
      <c r="J23" s="31"/>
      <c r="K23"/>
      <c r="L23"/>
      <c r="M23"/>
      <c r="N23"/>
      <c r="O23"/>
      <c r="P23"/>
      <c r="Q23"/>
      <c r="R23"/>
      <c r="S23"/>
      <c r="T23"/>
      <c r="U23"/>
    </row>
    <row r="24" spans="1:21" ht="15" customHeight="1">
      <c r="A24" s="25"/>
      <c r="B24" s="17"/>
      <c r="C24" s="28"/>
      <c r="D24" s="28"/>
      <c r="E24" s="28"/>
      <c r="F24" s="28"/>
      <c r="G24" s="28"/>
      <c r="H24" s="28"/>
      <c r="I24" s="18"/>
      <c r="J24" s="31"/>
      <c r="K24"/>
      <c r="L24"/>
      <c r="M24"/>
      <c r="N24"/>
      <c r="O24"/>
      <c r="P24"/>
      <c r="Q24"/>
      <c r="R24"/>
      <c r="S24"/>
      <c r="T24"/>
      <c r="U24"/>
    </row>
    <row r="25" spans="1:21" ht="15" customHeight="1">
      <c r="A25" s="25"/>
      <c r="B25" s="17"/>
      <c r="C25" s="28"/>
      <c r="D25" s="28"/>
      <c r="E25" s="28"/>
      <c r="F25" s="28"/>
      <c r="G25" s="28"/>
      <c r="H25" s="28"/>
      <c r="I25" s="18"/>
      <c r="J25" s="31"/>
      <c r="K25"/>
      <c r="L25"/>
      <c r="M25"/>
      <c r="N25"/>
      <c r="O25"/>
      <c r="P25"/>
      <c r="Q25"/>
      <c r="R25"/>
      <c r="S25"/>
      <c r="T25"/>
      <c r="U25"/>
    </row>
    <row r="26" spans="1:21" ht="15" customHeight="1">
      <c r="A26" s="25"/>
      <c r="B26" s="17"/>
      <c r="C26" s="28"/>
      <c r="D26" s="28"/>
      <c r="E26" s="28"/>
      <c r="F26" s="28"/>
      <c r="G26" s="28"/>
      <c r="H26" s="28"/>
      <c r="I26" s="18"/>
      <c r="J26" s="31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25"/>
      <c r="B27" s="17"/>
      <c r="C27" s="28"/>
      <c r="D27" s="28"/>
      <c r="E27" s="28"/>
      <c r="F27" s="28"/>
      <c r="G27" s="28"/>
      <c r="H27" s="28"/>
      <c r="I27" s="18"/>
      <c r="J27" s="31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25"/>
      <c r="B28" s="17"/>
      <c r="C28" s="28"/>
      <c r="D28" s="28"/>
      <c r="E28" s="28"/>
      <c r="F28" s="28"/>
      <c r="G28" s="28"/>
      <c r="H28" s="28"/>
      <c r="I28" s="18"/>
      <c r="J28" s="31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22"/>
      <c r="B29" s="17"/>
      <c r="C29" s="17"/>
      <c r="D29" s="17"/>
      <c r="E29" s="17"/>
      <c r="F29" s="17"/>
      <c r="G29" s="17"/>
      <c r="H29" s="17"/>
      <c r="I29" s="18"/>
      <c r="J29" s="31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>
      <c r="A30" s="24"/>
      <c r="B30" s="32"/>
      <c r="C30" s="32"/>
      <c r="D30" s="32"/>
      <c r="E30" s="32"/>
      <c r="F30" s="32"/>
      <c r="G30" s="32"/>
      <c r="H30" s="32"/>
      <c r="I30" s="33"/>
      <c r="J30" s="31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B31" s="31"/>
      <c r="C31" s="31"/>
      <c r="D31" s="31"/>
      <c r="E31" s="31"/>
      <c r="F31" s="31"/>
      <c r="G31" s="31"/>
      <c r="H31" s="31"/>
      <c r="I31" s="31"/>
      <c r="J31" s="31"/>
      <c r="K31"/>
      <c r="L31"/>
      <c r="M31"/>
      <c r="N31"/>
      <c r="O31"/>
      <c r="P31"/>
      <c r="Q31"/>
      <c r="R31"/>
      <c r="S31"/>
      <c r="T31"/>
      <c r="U31"/>
    </row>
    <row r="32" spans="1:21" ht="15" customHeight="1">
      <c r="J32" s="31"/>
      <c r="K32"/>
      <c r="L32"/>
      <c r="M32"/>
      <c r="N32"/>
      <c r="O32"/>
      <c r="P32"/>
      <c r="Q32"/>
      <c r="R32"/>
      <c r="S32"/>
      <c r="T32"/>
      <c r="U32"/>
    </row>
    <row r="33" spans="2:21" ht="15" customHeight="1">
      <c r="J33" s="31"/>
      <c r="K33" s="48"/>
      <c r="L33" s="1"/>
      <c r="M33"/>
      <c r="N33"/>
      <c r="O33"/>
      <c r="P33"/>
      <c r="Q33"/>
      <c r="R33"/>
      <c r="S33"/>
      <c r="T33"/>
      <c r="U33"/>
    </row>
    <row r="34" spans="2:21" ht="15" customHeight="1">
      <c r="J34" s="31"/>
      <c r="K34"/>
      <c r="L34"/>
      <c r="M34"/>
      <c r="N34"/>
      <c r="O34"/>
      <c r="P34"/>
      <c r="Q34"/>
      <c r="R34"/>
      <c r="S34"/>
      <c r="T34"/>
      <c r="U34"/>
    </row>
    <row r="35" spans="2:21" ht="15" customHeight="1">
      <c r="J35" s="31"/>
      <c r="K35" s="48"/>
      <c r="L35"/>
      <c r="M35"/>
      <c r="N35"/>
      <c r="O35"/>
      <c r="P35"/>
      <c r="Q35"/>
      <c r="R35"/>
      <c r="S35"/>
      <c r="T35"/>
      <c r="U35"/>
    </row>
    <row r="36" spans="2:21" ht="15" customHeight="1">
      <c r="J36" s="31"/>
      <c r="K36"/>
      <c r="L36"/>
      <c r="M36"/>
      <c r="N36"/>
      <c r="O36"/>
      <c r="P36"/>
      <c r="Q36"/>
      <c r="R36"/>
      <c r="S36"/>
      <c r="T36"/>
      <c r="U36"/>
    </row>
    <row r="37" spans="2:21" ht="15" customHeight="1">
      <c r="J37" s="31"/>
      <c r="K37"/>
      <c r="L37"/>
      <c r="M37"/>
      <c r="N37"/>
      <c r="O37"/>
      <c r="P37"/>
      <c r="Q37"/>
      <c r="R37"/>
      <c r="S37"/>
      <c r="T37"/>
      <c r="U37"/>
    </row>
    <row r="38" spans="2:21" ht="15" customHeight="1">
      <c r="J38" s="31"/>
      <c r="K38"/>
      <c r="L38"/>
      <c r="M38"/>
      <c r="N38"/>
      <c r="O38"/>
      <c r="P38"/>
      <c r="Q38"/>
      <c r="R38"/>
      <c r="S38"/>
      <c r="T38"/>
      <c r="U38"/>
    </row>
    <row r="39" spans="2:21" ht="15" customHeight="1">
      <c r="J39" s="31"/>
      <c r="K39"/>
      <c r="L39"/>
      <c r="M39"/>
      <c r="N39"/>
      <c r="O39"/>
      <c r="P39"/>
      <c r="Q39"/>
      <c r="R39"/>
      <c r="S39"/>
      <c r="T39"/>
      <c r="U39"/>
    </row>
    <row r="40" spans="2:21" ht="15" customHeight="1">
      <c r="J40" s="31"/>
      <c r="K40"/>
      <c r="L40"/>
      <c r="M40"/>
      <c r="N40"/>
      <c r="O40"/>
      <c r="P40"/>
      <c r="Q40"/>
      <c r="R40"/>
      <c r="S40"/>
      <c r="T40"/>
      <c r="U40"/>
    </row>
    <row r="41" spans="2:21" ht="15" customHeight="1">
      <c r="J41" s="31"/>
      <c r="K41"/>
      <c r="L41"/>
      <c r="M41"/>
      <c r="N41"/>
      <c r="O41"/>
      <c r="P41"/>
      <c r="Q41"/>
      <c r="R41"/>
      <c r="S41"/>
      <c r="T41"/>
      <c r="U41"/>
    </row>
    <row r="42" spans="2:21" ht="15" customHeight="1">
      <c r="J42" s="31"/>
      <c r="K42"/>
      <c r="L42"/>
      <c r="M42"/>
      <c r="N42"/>
      <c r="O42"/>
      <c r="P42"/>
      <c r="Q42"/>
      <c r="R42"/>
      <c r="S42"/>
      <c r="T42"/>
      <c r="U42"/>
    </row>
    <row r="43" spans="2:21" ht="15" customHeight="1">
      <c r="J43" s="31"/>
      <c r="K43"/>
      <c r="L43"/>
      <c r="M43"/>
      <c r="N43"/>
      <c r="O43"/>
      <c r="P43"/>
      <c r="Q43"/>
      <c r="R43"/>
      <c r="S43"/>
      <c r="T43"/>
      <c r="U43"/>
    </row>
    <row r="44" spans="2:21" ht="15" customHeight="1">
      <c r="J44" s="31"/>
      <c r="K44"/>
      <c r="L44"/>
      <c r="M44"/>
      <c r="N44"/>
      <c r="O44"/>
      <c r="P44"/>
      <c r="Q44"/>
      <c r="R44"/>
      <c r="S44"/>
      <c r="T44"/>
      <c r="U44"/>
    </row>
    <row r="45" spans="2:21" ht="15" customHeight="1">
      <c r="J45" s="31"/>
      <c r="K45"/>
      <c r="L45"/>
      <c r="M45"/>
      <c r="N45"/>
      <c r="O45"/>
      <c r="P45"/>
      <c r="Q45"/>
      <c r="R45"/>
      <c r="S45"/>
      <c r="T45"/>
      <c r="U45"/>
    </row>
    <row r="46" spans="2:21" ht="15" customHeight="1">
      <c r="B46" s="31"/>
      <c r="C46" s="31"/>
      <c r="D46" s="31"/>
      <c r="E46" s="31"/>
      <c r="F46" s="31"/>
      <c r="G46" s="31"/>
      <c r="H46" s="31"/>
      <c r="I46" s="31"/>
      <c r="J46" s="31"/>
      <c r="K46"/>
      <c r="L46"/>
      <c r="M46"/>
      <c r="N46"/>
      <c r="O46"/>
      <c r="P46"/>
      <c r="Q46"/>
      <c r="R46"/>
      <c r="S46"/>
      <c r="T46"/>
      <c r="U46"/>
    </row>
    <row r="47" spans="2:21" ht="15" customHeight="1">
      <c r="B47" s="31"/>
      <c r="C47" s="31"/>
      <c r="D47" s="31"/>
      <c r="E47" s="31"/>
      <c r="F47" s="31"/>
      <c r="G47" s="31"/>
      <c r="H47" s="31"/>
      <c r="I47" s="31"/>
      <c r="J47" s="31"/>
      <c r="K47"/>
      <c r="L47"/>
      <c r="M47"/>
      <c r="N47"/>
      <c r="O47"/>
      <c r="P47"/>
      <c r="Q47"/>
      <c r="R47"/>
      <c r="S47"/>
      <c r="T47"/>
      <c r="U47"/>
    </row>
    <row r="48" spans="2:21" ht="15" customHeight="1">
      <c r="B48" s="31"/>
      <c r="C48" s="31"/>
      <c r="D48" s="31"/>
      <c r="E48" s="31"/>
      <c r="F48" s="31"/>
      <c r="G48" s="31"/>
      <c r="H48" s="31"/>
      <c r="I48" s="31"/>
      <c r="J48" s="31"/>
      <c r="K48"/>
      <c r="L48"/>
      <c r="M48"/>
      <c r="N48"/>
      <c r="O48"/>
      <c r="P48"/>
      <c r="Q48"/>
      <c r="R48"/>
      <c r="S48"/>
      <c r="T48"/>
      <c r="U48"/>
    </row>
    <row r="49" spans="2:21" ht="15" customHeight="1">
      <c r="B49" s="31"/>
      <c r="C49" s="31"/>
      <c r="D49" s="31"/>
      <c r="E49" s="31"/>
      <c r="F49" s="31"/>
      <c r="G49" s="31"/>
      <c r="H49" s="31"/>
      <c r="I49" s="31"/>
      <c r="J49" s="31"/>
      <c r="K49"/>
      <c r="L49"/>
      <c r="M49"/>
      <c r="N49"/>
      <c r="O49"/>
      <c r="P49"/>
      <c r="Q49"/>
      <c r="R49"/>
      <c r="S49"/>
      <c r="T49"/>
      <c r="U49"/>
    </row>
    <row r="50" spans="2:21" ht="15" customHeight="1">
      <c r="B50" s="31"/>
      <c r="C50" s="31"/>
      <c r="D50" s="31"/>
      <c r="E50" s="31"/>
      <c r="F50" s="31"/>
      <c r="G50" s="31"/>
      <c r="H50" s="31"/>
      <c r="I50" s="31"/>
      <c r="J50" s="31"/>
      <c r="K50"/>
      <c r="L50"/>
      <c r="M50"/>
      <c r="N50"/>
      <c r="O50"/>
      <c r="P50"/>
      <c r="Q50"/>
      <c r="R50"/>
      <c r="S50"/>
      <c r="T50"/>
      <c r="U50"/>
    </row>
    <row r="51" spans="2:21" ht="15" customHeight="1">
      <c r="B51" s="31"/>
      <c r="C51" s="31"/>
      <c r="D51" s="31"/>
      <c r="E51" s="31"/>
      <c r="F51" s="31"/>
      <c r="G51" s="31"/>
      <c r="H51" s="31"/>
      <c r="I51" s="31"/>
      <c r="J51" s="31"/>
    </row>
    <row r="52" spans="2:21" ht="15" customHeight="1">
      <c r="B52" s="31"/>
      <c r="C52" s="31"/>
      <c r="D52" s="31"/>
      <c r="E52" s="31"/>
      <c r="F52" s="31"/>
      <c r="G52" s="31"/>
      <c r="H52" s="31"/>
      <c r="I52" s="31"/>
      <c r="J52" s="31"/>
    </row>
    <row r="53" spans="2:21" ht="15" customHeight="1">
      <c r="B53" s="31"/>
      <c r="C53" s="31"/>
      <c r="D53" s="31"/>
      <c r="E53" s="31"/>
      <c r="F53" s="31"/>
      <c r="G53" s="31"/>
      <c r="H53" s="31"/>
      <c r="I53" s="31"/>
      <c r="J53" s="31"/>
    </row>
    <row r="54" spans="2:21" ht="15" customHeight="1">
      <c r="B54" s="31"/>
      <c r="C54" s="31"/>
      <c r="D54" s="31"/>
      <c r="E54" s="31"/>
      <c r="F54" s="31"/>
      <c r="G54" s="31"/>
      <c r="H54" s="31"/>
      <c r="I54" s="31"/>
      <c r="J54" s="31"/>
    </row>
    <row r="55" spans="2:21" ht="15" customHeight="1">
      <c r="B55" s="31"/>
      <c r="C55" s="31"/>
      <c r="D55" s="31"/>
      <c r="E55" s="31"/>
      <c r="F55" s="31"/>
      <c r="G55" s="31"/>
      <c r="H55" s="31"/>
      <c r="I55" s="31"/>
      <c r="J55" s="31"/>
    </row>
    <row r="56" spans="2:21" ht="15" customHeight="1">
      <c r="B56" s="31"/>
      <c r="C56" s="31"/>
      <c r="D56" s="31"/>
      <c r="E56" s="31"/>
      <c r="F56" s="31"/>
      <c r="G56" s="31"/>
      <c r="H56" s="31"/>
      <c r="I56" s="31"/>
      <c r="J56" s="31"/>
    </row>
    <row r="57" spans="2:21" ht="15" customHeight="1">
      <c r="B57" s="31"/>
      <c r="C57" s="31"/>
      <c r="D57" s="31"/>
      <c r="E57" s="31"/>
      <c r="F57" s="31"/>
      <c r="G57" s="31"/>
      <c r="H57" s="31"/>
      <c r="I57" s="31"/>
      <c r="J57" s="31"/>
    </row>
    <row r="58" spans="2:21" ht="15" customHeight="1">
      <c r="B58" s="31"/>
      <c r="C58" s="31"/>
      <c r="D58" s="31"/>
      <c r="E58" s="31"/>
      <c r="F58" s="31"/>
      <c r="G58" s="31"/>
      <c r="H58" s="31"/>
      <c r="I58" s="31"/>
      <c r="J58" s="31"/>
    </row>
    <row r="59" spans="2:21" ht="15" customHeight="1">
      <c r="B59" s="31"/>
      <c r="C59" s="31"/>
      <c r="D59" s="31"/>
      <c r="E59" s="31"/>
      <c r="F59" s="31"/>
      <c r="G59" s="31"/>
      <c r="H59" s="31"/>
      <c r="I59" s="31"/>
      <c r="J59" s="31"/>
    </row>
    <row r="60" spans="2:21" ht="15" customHeight="1">
      <c r="B60" s="31"/>
      <c r="C60" s="31"/>
      <c r="D60" s="31"/>
      <c r="E60" s="31"/>
      <c r="F60" s="31"/>
      <c r="G60" s="31"/>
      <c r="H60" s="31"/>
      <c r="I60" s="31"/>
      <c r="J60" s="31"/>
    </row>
    <row r="61" spans="2:21" ht="15" customHeight="1">
      <c r="B61" s="31"/>
      <c r="C61" s="31"/>
      <c r="D61" s="31"/>
      <c r="E61" s="31"/>
      <c r="F61" s="31"/>
      <c r="G61" s="31"/>
      <c r="H61" s="31"/>
      <c r="I61" s="31"/>
      <c r="J61" s="31"/>
    </row>
    <row r="62" spans="2:21" ht="15" customHeight="1">
      <c r="B62" s="31"/>
      <c r="C62" s="31"/>
      <c r="D62" s="31"/>
      <c r="E62" s="31"/>
      <c r="F62" s="31"/>
      <c r="G62" s="31"/>
      <c r="H62" s="31"/>
      <c r="I62" s="31"/>
      <c r="J62" s="31"/>
    </row>
    <row r="63" spans="2:21" ht="15" customHeight="1">
      <c r="B63" s="31"/>
      <c r="C63" s="31"/>
      <c r="D63" s="31"/>
      <c r="E63" s="31"/>
      <c r="F63" s="31"/>
      <c r="G63" s="31"/>
      <c r="H63" s="31"/>
      <c r="I63" s="31"/>
      <c r="J63" s="31"/>
    </row>
    <row r="64" spans="2:21" ht="15" customHeight="1">
      <c r="B64" s="31"/>
      <c r="C64" s="31"/>
      <c r="D64" s="31"/>
      <c r="E64" s="31"/>
      <c r="F64" s="31"/>
      <c r="G64" s="31"/>
      <c r="H64" s="31"/>
      <c r="I64" s="31"/>
      <c r="J64" s="31"/>
    </row>
    <row r="65" spans="2:10" ht="15" customHeight="1">
      <c r="B65" s="31"/>
      <c r="C65" s="31"/>
      <c r="D65" s="31"/>
      <c r="E65" s="31"/>
      <c r="F65" s="31"/>
      <c r="G65" s="31"/>
      <c r="H65" s="31"/>
      <c r="I65" s="31"/>
      <c r="J65" s="31"/>
    </row>
    <row r="66" spans="2:10" ht="15" customHeight="1">
      <c r="B66" s="31"/>
      <c r="C66" s="31"/>
      <c r="D66" s="31"/>
      <c r="E66" s="31"/>
      <c r="F66" s="31"/>
      <c r="G66" s="31"/>
      <c r="H66" s="31"/>
      <c r="I66" s="31"/>
      <c r="J66" s="31"/>
    </row>
    <row r="67" spans="2:10" ht="15" customHeight="1">
      <c r="B67" s="31"/>
      <c r="C67" s="31"/>
      <c r="D67" s="31"/>
      <c r="E67" s="31"/>
      <c r="F67" s="31"/>
      <c r="G67" s="31"/>
      <c r="H67" s="31"/>
      <c r="I67" s="31"/>
      <c r="J67" s="31"/>
    </row>
    <row r="68" spans="2:10" ht="15" customHeight="1">
      <c r="B68" s="31"/>
      <c r="C68" s="31"/>
      <c r="D68" s="31"/>
      <c r="E68" s="31"/>
      <c r="F68" s="31"/>
      <c r="G68" s="31"/>
      <c r="H68" s="31"/>
      <c r="I68" s="31"/>
      <c r="J68" s="31"/>
    </row>
    <row r="69" spans="2:10" ht="15" customHeight="1">
      <c r="B69" s="31"/>
      <c r="C69" s="31"/>
      <c r="D69" s="31"/>
      <c r="E69" s="31"/>
      <c r="F69" s="31"/>
      <c r="G69" s="31"/>
      <c r="H69" s="31"/>
      <c r="I69" s="31"/>
      <c r="J69" s="31"/>
    </row>
    <row r="70" spans="2:10" ht="15" customHeight="1">
      <c r="B70" s="31"/>
      <c r="C70" s="31"/>
      <c r="D70" s="31"/>
      <c r="E70" s="31"/>
      <c r="F70" s="31"/>
      <c r="G70" s="31"/>
      <c r="H70" s="31"/>
      <c r="I70" s="31"/>
      <c r="J70" s="31"/>
    </row>
    <row r="71" spans="2:10" ht="15" customHeight="1">
      <c r="B71" s="31"/>
      <c r="C71" s="31"/>
      <c r="D71" s="31"/>
      <c r="E71" s="31"/>
      <c r="F71" s="31"/>
      <c r="G71" s="31"/>
      <c r="H71" s="31"/>
      <c r="I71" s="31"/>
      <c r="J71" s="31"/>
    </row>
    <row r="72" spans="2:10" ht="15" customHeight="1">
      <c r="B72" s="31"/>
      <c r="C72" s="31"/>
      <c r="D72" s="31"/>
      <c r="E72" s="31"/>
      <c r="F72" s="31"/>
      <c r="G72" s="31"/>
      <c r="H72" s="31"/>
      <c r="I72" s="31"/>
      <c r="J72" s="31"/>
    </row>
    <row r="73" spans="2:10" ht="15" customHeight="1">
      <c r="B73" s="31"/>
      <c r="C73" s="31"/>
      <c r="D73" s="31"/>
      <c r="E73" s="31"/>
      <c r="F73" s="31"/>
      <c r="G73" s="31"/>
      <c r="H73" s="31"/>
      <c r="I73" s="31"/>
      <c r="J73" s="31"/>
    </row>
    <row r="74" spans="2:10" ht="15" customHeight="1">
      <c r="B74" s="31"/>
      <c r="C74" s="31"/>
      <c r="D74" s="31"/>
      <c r="E74" s="31"/>
      <c r="F74" s="31"/>
      <c r="G74" s="31"/>
      <c r="H74" s="31"/>
      <c r="I74" s="31"/>
      <c r="J74" s="31"/>
    </row>
    <row r="75" spans="2:10" ht="15" customHeight="1">
      <c r="B75" s="31"/>
      <c r="C75" s="31"/>
      <c r="D75" s="31"/>
      <c r="E75" s="31"/>
      <c r="F75" s="31"/>
      <c r="G75" s="31"/>
      <c r="H75" s="31"/>
      <c r="I75" s="31"/>
      <c r="J75" s="31"/>
    </row>
    <row r="76" spans="2:10" ht="15" customHeight="1">
      <c r="B76" s="31"/>
      <c r="C76" s="31"/>
      <c r="D76" s="31"/>
      <c r="E76" s="31"/>
      <c r="F76" s="31"/>
      <c r="G76" s="31"/>
      <c r="H76" s="31"/>
      <c r="I76" s="31"/>
      <c r="J76" s="31"/>
    </row>
    <row r="77" spans="2:10" ht="15" customHeight="1">
      <c r="B77" s="31"/>
      <c r="C77" s="31"/>
      <c r="D77" s="31"/>
      <c r="E77" s="31"/>
      <c r="F77" s="31"/>
      <c r="G77" s="31"/>
      <c r="H77" s="31"/>
      <c r="I77" s="31"/>
      <c r="J77" s="31"/>
    </row>
    <row r="78" spans="2:10" ht="15" customHeight="1">
      <c r="B78" s="31"/>
      <c r="C78" s="31"/>
      <c r="D78" s="31"/>
      <c r="E78" s="31"/>
      <c r="F78" s="31"/>
      <c r="G78" s="31"/>
      <c r="H78" s="31"/>
      <c r="I78" s="31"/>
      <c r="J78" s="31"/>
    </row>
    <row r="79" spans="2:10" ht="15" customHeight="1">
      <c r="B79" s="31"/>
      <c r="C79" s="31"/>
      <c r="D79" s="31"/>
      <c r="E79" s="31"/>
      <c r="F79" s="31"/>
      <c r="G79" s="31"/>
      <c r="H79" s="31"/>
      <c r="I79" s="31"/>
      <c r="J79" s="31"/>
    </row>
    <row r="80" spans="2:10" ht="15" customHeight="1">
      <c r="B80" s="31"/>
      <c r="C80" s="31"/>
      <c r="D80" s="31"/>
      <c r="E80" s="31"/>
      <c r="F80" s="31"/>
      <c r="G80" s="31"/>
      <c r="H80" s="31"/>
      <c r="I80" s="31"/>
      <c r="J80" s="31"/>
    </row>
    <row r="81" spans="2:10" ht="15" customHeight="1">
      <c r="B81" s="31"/>
      <c r="C81" s="31"/>
      <c r="D81" s="31"/>
      <c r="E81" s="31"/>
      <c r="F81" s="31"/>
      <c r="G81" s="31"/>
      <c r="H81" s="31"/>
      <c r="I81" s="31"/>
      <c r="J81" s="31"/>
    </row>
    <row r="82" spans="2:10" ht="15" customHeight="1">
      <c r="B82" s="31"/>
      <c r="C82" s="31"/>
      <c r="D82" s="31"/>
      <c r="E82" s="31"/>
      <c r="F82" s="31"/>
      <c r="G82" s="31"/>
      <c r="H82" s="31"/>
      <c r="I82" s="31"/>
      <c r="J82" s="31"/>
    </row>
    <row r="83" spans="2:10" ht="15" customHeight="1">
      <c r="B83" s="31"/>
      <c r="C83" s="31"/>
      <c r="D83" s="31"/>
      <c r="E83" s="31"/>
      <c r="F83" s="31"/>
      <c r="G83" s="31"/>
      <c r="H83" s="31"/>
      <c r="I83" s="31"/>
      <c r="J83" s="31"/>
    </row>
    <row r="84" spans="2:10" ht="15" customHeight="1">
      <c r="B84" s="31"/>
      <c r="C84" s="31"/>
      <c r="D84" s="31"/>
      <c r="E84" s="31"/>
      <c r="F84" s="31"/>
      <c r="G84" s="31"/>
      <c r="H84" s="31"/>
      <c r="I84" s="31"/>
      <c r="J84" s="31"/>
    </row>
    <row r="85" spans="2:10" ht="15" customHeight="1">
      <c r="B85" s="31"/>
      <c r="C85" s="31"/>
      <c r="D85" s="31"/>
      <c r="E85" s="31"/>
      <c r="F85" s="31"/>
      <c r="G85" s="31"/>
      <c r="H85" s="31"/>
      <c r="I85" s="31"/>
      <c r="J85" s="31"/>
    </row>
    <row r="86" spans="2:10" ht="15" customHeight="1">
      <c r="B86" s="31"/>
      <c r="C86" s="31"/>
      <c r="D86" s="31"/>
      <c r="E86" s="31"/>
      <c r="F86" s="31"/>
      <c r="G86" s="31"/>
      <c r="H86" s="31"/>
      <c r="I86" s="31"/>
      <c r="J86" s="31"/>
    </row>
    <row r="87" spans="2:10" ht="15" customHeight="1">
      <c r="B87" s="31"/>
      <c r="C87" s="31"/>
      <c r="D87" s="31"/>
      <c r="E87" s="31"/>
      <c r="F87" s="31"/>
      <c r="G87" s="31"/>
      <c r="H87" s="31"/>
      <c r="I87" s="31"/>
      <c r="J87" s="31"/>
    </row>
    <row r="88" spans="2:10" ht="15" customHeight="1">
      <c r="B88" s="31"/>
      <c r="C88" s="31"/>
      <c r="D88" s="31"/>
      <c r="E88" s="31"/>
      <c r="F88" s="31"/>
      <c r="G88" s="31"/>
      <c r="H88" s="31"/>
      <c r="I88" s="31"/>
      <c r="J88" s="31"/>
    </row>
    <row r="89" spans="2:10" ht="15" customHeight="1">
      <c r="B89" s="31"/>
      <c r="C89" s="31"/>
      <c r="D89" s="31"/>
      <c r="E89" s="31"/>
      <c r="F89" s="31"/>
      <c r="G89" s="31"/>
      <c r="H89" s="31"/>
      <c r="I89" s="31"/>
      <c r="J89" s="31"/>
    </row>
    <row r="90" spans="2:10" ht="15" customHeight="1">
      <c r="B90" s="31"/>
      <c r="C90" s="31"/>
      <c r="D90" s="31"/>
      <c r="E90" s="31"/>
      <c r="F90" s="31"/>
      <c r="G90" s="31"/>
      <c r="H90" s="31"/>
      <c r="I90" s="31"/>
      <c r="J90" s="31"/>
    </row>
    <row r="91" spans="2:10" ht="15" customHeight="1">
      <c r="B91" s="31"/>
      <c r="C91" s="31"/>
      <c r="D91" s="31"/>
      <c r="E91" s="31"/>
      <c r="F91" s="31"/>
      <c r="G91" s="31"/>
      <c r="H91" s="31"/>
      <c r="I91" s="31"/>
      <c r="J91" s="31"/>
    </row>
    <row r="92" spans="2:10" ht="15" customHeight="1">
      <c r="B92" s="31"/>
      <c r="C92" s="31"/>
      <c r="D92" s="31"/>
      <c r="E92" s="31"/>
      <c r="F92" s="31"/>
      <c r="G92" s="31"/>
      <c r="H92" s="31"/>
      <c r="I92" s="31"/>
      <c r="J92" s="31"/>
    </row>
    <row r="93" spans="2:10" ht="15" customHeight="1">
      <c r="B93" s="31"/>
      <c r="C93" s="31"/>
      <c r="D93" s="31"/>
      <c r="E93" s="31"/>
      <c r="F93" s="31"/>
      <c r="G93" s="31"/>
      <c r="H93" s="31"/>
      <c r="I93" s="31"/>
      <c r="J93" s="31"/>
    </row>
    <row r="94" spans="2:10" ht="15" customHeight="1">
      <c r="B94" s="31"/>
      <c r="C94" s="31"/>
      <c r="D94" s="31"/>
      <c r="E94" s="31"/>
      <c r="F94" s="31"/>
      <c r="G94" s="31"/>
      <c r="H94" s="31"/>
      <c r="I94" s="31"/>
      <c r="J94" s="31"/>
    </row>
    <row r="95" spans="2:10" ht="15" customHeight="1">
      <c r="B95" s="31"/>
      <c r="C95" s="31"/>
      <c r="D95" s="31"/>
      <c r="E95" s="31"/>
      <c r="F95" s="31"/>
      <c r="G95" s="31"/>
      <c r="H95" s="31"/>
      <c r="I95" s="31"/>
      <c r="J95" s="31"/>
    </row>
    <row r="96" spans="2:10" ht="15" customHeight="1">
      <c r="B96" s="31"/>
      <c r="C96" s="31"/>
      <c r="D96" s="31"/>
      <c r="E96" s="31"/>
      <c r="F96" s="31"/>
      <c r="G96" s="31"/>
      <c r="H96" s="31"/>
      <c r="I96" s="31"/>
      <c r="J96" s="31"/>
    </row>
    <row r="97" spans="2:10" ht="15" customHeight="1">
      <c r="B97" s="31"/>
      <c r="C97" s="31"/>
      <c r="D97" s="31"/>
      <c r="E97" s="31"/>
      <c r="F97" s="31"/>
      <c r="G97" s="31"/>
      <c r="H97" s="31"/>
      <c r="I97" s="31"/>
      <c r="J97" s="31"/>
    </row>
    <row r="98" spans="2:10" ht="15" customHeight="1">
      <c r="B98" s="31"/>
      <c r="C98" s="31"/>
      <c r="D98" s="31"/>
      <c r="E98" s="31"/>
      <c r="F98" s="31"/>
      <c r="G98" s="31"/>
      <c r="H98" s="31"/>
      <c r="I98" s="31"/>
      <c r="J98" s="31"/>
    </row>
    <row r="99" spans="2:10" ht="15" customHeight="1">
      <c r="B99" s="31"/>
      <c r="C99" s="31"/>
      <c r="D99" s="31"/>
      <c r="E99" s="31"/>
      <c r="F99" s="31"/>
      <c r="G99" s="31"/>
      <c r="H99" s="31"/>
      <c r="I99" s="31"/>
      <c r="J99" s="31"/>
    </row>
    <row r="100" spans="2:10" ht="15" customHeight="1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2:10" ht="15" customHeight="1">
      <c r="B101" s="31"/>
      <c r="C101" s="31"/>
      <c r="D101" s="31"/>
      <c r="E101" s="31"/>
      <c r="F101" s="31"/>
      <c r="G101" s="31"/>
      <c r="H101" s="31"/>
      <c r="I101" s="31"/>
      <c r="J101" s="31"/>
    </row>
  </sheetData>
  <mergeCells count="1">
    <mergeCell ref="H1:I1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U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>
      <c r="A1" s="7">
        <v>19</v>
      </c>
      <c r="B1" s="27" t="s">
        <v>12</v>
      </c>
      <c r="C1" s="20"/>
      <c r="D1" s="20"/>
      <c r="E1" s="20"/>
      <c r="F1" s="20"/>
      <c r="G1" s="20"/>
      <c r="H1" s="854" t="s">
        <v>24</v>
      </c>
      <c r="I1" s="855"/>
      <c r="K1" s="1" t="s">
        <v>33</v>
      </c>
      <c r="L1" s="52" t="str">
        <f>VLOOKUP(A1,'Point Grid'!$L$8:$T$54,9,FALSE)</f>
        <v>Reserving - Chap 1: Overview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1"/>
      <c r="K3" s="48" t="s">
        <v>2</v>
      </c>
      <c r="L3" t="s">
        <v>534</v>
      </c>
      <c r="M3"/>
      <c r="N3"/>
      <c r="O3"/>
      <c r="P3"/>
      <c r="Q3"/>
      <c r="R3"/>
      <c r="S3"/>
      <c r="T3"/>
      <c r="U3"/>
    </row>
    <row r="4" spans="1:21">
      <c r="A4" s="9">
        <f>INDEX('Point Grid'!B:B,MATCH(A1,'Point Grid'!A:A,0))</f>
        <v>0.75</v>
      </c>
      <c r="B4" s="17"/>
      <c r="C4" s="17"/>
      <c r="D4" s="17"/>
      <c r="E4" s="17"/>
      <c r="F4" s="17"/>
      <c r="G4" s="17"/>
      <c r="H4" s="17"/>
      <c r="I4" s="18"/>
      <c r="J4" s="31"/>
      <c r="K4" s="48"/>
      <c r="L4"/>
      <c r="M4"/>
      <c r="N4"/>
      <c r="O4"/>
      <c r="P4"/>
      <c r="Q4"/>
      <c r="R4"/>
      <c r="S4"/>
      <c r="T4"/>
      <c r="U4"/>
    </row>
    <row r="5" spans="1:21">
      <c r="A5" s="16"/>
      <c r="B5" s="17"/>
      <c r="C5" s="17"/>
      <c r="D5" s="17"/>
      <c r="E5" s="17"/>
      <c r="F5" s="17"/>
      <c r="G5" s="17"/>
      <c r="H5" s="17"/>
      <c r="I5" s="18"/>
      <c r="J5" s="31"/>
      <c r="K5" s="48"/>
      <c r="L5" s="48" t="s">
        <v>81</v>
      </c>
      <c r="M5" t="s">
        <v>531</v>
      </c>
      <c r="N5"/>
      <c r="O5"/>
      <c r="P5"/>
      <c r="Q5"/>
      <c r="R5"/>
      <c r="S5"/>
      <c r="T5"/>
      <c r="U5"/>
    </row>
    <row r="6" spans="1:21">
      <c r="A6" s="25" t="s">
        <v>2</v>
      </c>
      <c r="B6" s="17" t="s">
        <v>530</v>
      </c>
      <c r="C6" s="17"/>
      <c r="D6" s="17"/>
      <c r="E6" s="17"/>
      <c r="F6" s="17"/>
      <c r="G6" s="17"/>
      <c r="H6" s="17"/>
      <c r="I6" s="18"/>
      <c r="J6" s="31"/>
      <c r="K6" s="48"/>
      <c r="L6" s="3"/>
      <c r="M6"/>
      <c r="N6"/>
      <c r="O6"/>
      <c r="P6"/>
      <c r="Q6"/>
      <c r="R6"/>
      <c r="S6"/>
      <c r="T6"/>
      <c r="U6"/>
    </row>
    <row r="7" spans="1:21" ht="15.75" thickBot="1">
      <c r="A7" s="9">
        <f>INDEX('Point Grid'!$C$8:$I$54,MATCH($A$1,'Point Grid'!$A$8:$A$54,0),MATCH(A6,'Point Grid'!$C$7:$I$7,0))</f>
        <v>0.75</v>
      </c>
      <c r="B7" s="17"/>
      <c r="C7" s="17"/>
      <c r="D7" s="17"/>
      <c r="E7" s="17"/>
      <c r="F7" s="17"/>
      <c r="G7" s="17"/>
      <c r="H7" s="17"/>
      <c r="I7" s="18"/>
      <c r="J7" s="31"/>
      <c r="K7" s="48"/>
      <c r="L7" s="48" t="s">
        <v>82</v>
      </c>
      <c r="M7" t="s">
        <v>532</v>
      </c>
      <c r="N7"/>
      <c r="O7"/>
      <c r="P7"/>
      <c r="Q7"/>
      <c r="R7"/>
      <c r="S7"/>
      <c r="T7"/>
      <c r="U7"/>
    </row>
    <row r="8" spans="1:21" ht="15.75" thickBot="1">
      <c r="A8" s="5"/>
      <c r="B8" s="35" t="s">
        <v>81</v>
      </c>
      <c r="C8" s="28" t="s">
        <v>527</v>
      </c>
      <c r="D8" s="28"/>
      <c r="E8" s="28"/>
      <c r="F8" s="28"/>
      <c r="G8" s="28"/>
      <c r="H8" s="28"/>
      <c r="I8" s="18"/>
      <c r="J8" s="31"/>
      <c r="K8"/>
      <c r="L8" s="48"/>
      <c r="M8"/>
      <c r="N8"/>
      <c r="O8"/>
      <c r="P8"/>
      <c r="Q8"/>
      <c r="R8"/>
      <c r="S8"/>
      <c r="T8"/>
      <c r="U8"/>
    </row>
    <row r="9" spans="1:21">
      <c r="A9" s="25"/>
      <c r="B9" s="35" t="s">
        <v>82</v>
      </c>
      <c r="C9" s="17" t="s">
        <v>528</v>
      </c>
      <c r="D9" s="17"/>
      <c r="E9" s="17"/>
      <c r="F9" s="17"/>
      <c r="G9" s="17"/>
      <c r="H9" s="17"/>
      <c r="I9" s="18"/>
      <c r="J9" s="31"/>
      <c r="K9" s="48"/>
      <c r="L9" s="48" t="s">
        <v>526</v>
      </c>
      <c r="M9" t="s">
        <v>533</v>
      </c>
      <c r="N9"/>
      <c r="O9"/>
      <c r="P9"/>
      <c r="Q9"/>
      <c r="R9"/>
      <c r="S9"/>
    </row>
    <row r="10" spans="1:21">
      <c r="A10" s="25"/>
      <c r="B10" s="35" t="s">
        <v>526</v>
      </c>
      <c r="C10" s="17" t="s">
        <v>529</v>
      </c>
      <c r="D10" s="17"/>
      <c r="E10" s="17"/>
      <c r="F10" s="17"/>
      <c r="G10" s="17"/>
      <c r="H10" s="17"/>
      <c r="I10" s="18"/>
      <c r="J10" s="31"/>
      <c r="K10"/>
      <c r="L10" s="1"/>
      <c r="M10"/>
      <c r="N10"/>
      <c r="O10"/>
      <c r="P10"/>
      <c r="Q10"/>
      <c r="R10"/>
      <c r="S10"/>
      <c r="T10"/>
      <c r="U10"/>
    </row>
    <row r="11" spans="1:21">
      <c r="A11" s="25"/>
      <c r="B11" s="17"/>
      <c r="C11" s="17"/>
      <c r="D11" s="17"/>
      <c r="E11" s="17"/>
      <c r="F11" s="17"/>
      <c r="G11" s="17"/>
      <c r="H11" s="17"/>
      <c r="I11" s="18"/>
      <c r="J11" s="31"/>
      <c r="K11"/>
      <c r="L11"/>
      <c r="M11"/>
      <c r="N11"/>
      <c r="O11"/>
      <c r="P11"/>
      <c r="Q11"/>
      <c r="R11"/>
      <c r="S11"/>
      <c r="T11"/>
      <c r="U11"/>
    </row>
    <row r="12" spans="1:21">
      <c r="A12" s="25"/>
      <c r="B12" s="17"/>
      <c r="C12" s="17"/>
      <c r="D12" s="17"/>
      <c r="E12" s="17"/>
      <c r="F12" s="17"/>
      <c r="G12" s="17"/>
      <c r="H12" s="17"/>
      <c r="I12" s="18"/>
      <c r="J12" s="31"/>
      <c r="K12"/>
      <c r="L12"/>
      <c r="M12"/>
      <c r="N12"/>
      <c r="O12"/>
      <c r="P12"/>
      <c r="Q12"/>
      <c r="R12"/>
      <c r="S12"/>
      <c r="T12"/>
      <c r="U12"/>
    </row>
    <row r="13" spans="1:21">
      <c r="A13" s="25"/>
      <c r="B13" s="17"/>
      <c r="C13" s="17"/>
      <c r="D13" s="17"/>
      <c r="E13" s="17"/>
      <c r="F13" s="17"/>
      <c r="G13" s="17"/>
      <c r="H13" s="17"/>
      <c r="I13" s="18"/>
      <c r="J13" s="31"/>
      <c r="K13" s="48"/>
      <c r="L13"/>
      <c r="M13"/>
      <c r="N13"/>
      <c r="O13"/>
      <c r="P13"/>
      <c r="Q13"/>
      <c r="R13"/>
      <c r="S13"/>
      <c r="T13"/>
      <c r="U13"/>
    </row>
    <row r="14" spans="1:21">
      <c r="A14" s="25"/>
      <c r="B14" s="17"/>
      <c r="C14" s="17"/>
      <c r="D14" s="17"/>
      <c r="E14" s="17"/>
      <c r="F14" s="17"/>
      <c r="G14" s="17"/>
      <c r="H14" s="17"/>
      <c r="I14" s="18"/>
      <c r="J14" s="31"/>
      <c r="K14"/>
      <c r="L14"/>
      <c r="M14"/>
      <c r="N14"/>
      <c r="O14"/>
      <c r="P14"/>
      <c r="Q14"/>
      <c r="R14"/>
      <c r="S14"/>
      <c r="T14"/>
      <c r="U14"/>
    </row>
    <row r="15" spans="1:21">
      <c r="A15" s="25"/>
      <c r="B15" s="17"/>
      <c r="C15" s="17"/>
      <c r="D15" s="17"/>
      <c r="E15" s="17"/>
      <c r="F15" s="17"/>
      <c r="G15" s="17"/>
      <c r="H15" s="17"/>
      <c r="I15" s="18"/>
      <c r="J15" s="31"/>
      <c r="K15"/>
      <c r="L15"/>
      <c r="M15"/>
      <c r="N15"/>
      <c r="O15"/>
      <c r="P15"/>
      <c r="Q15"/>
      <c r="R15"/>
      <c r="S15"/>
      <c r="T15"/>
      <c r="U15"/>
    </row>
    <row r="16" spans="1:21">
      <c r="A16" s="25"/>
      <c r="B16" s="17"/>
      <c r="C16" s="17"/>
      <c r="D16" s="17"/>
      <c r="E16" s="17"/>
      <c r="F16" s="17"/>
      <c r="G16" s="17"/>
      <c r="H16" s="17"/>
      <c r="I16" s="18"/>
      <c r="J16" s="31"/>
      <c r="K16" s="48"/>
      <c r="L16" s="1"/>
      <c r="M16"/>
      <c r="N16"/>
      <c r="O16"/>
      <c r="P16"/>
      <c r="Q16"/>
      <c r="R16"/>
      <c r="S16"/>
      <c r="T16"/>
      <c r="U16"/>
    </row>
    <row r="17" spans="1:21">
      <c r="A17" s="25"/>
      <c r="B17" s="17"/>
      <c r="C17" s="17"/>
      <c r="D17" s="17"/>
      <c r="E17" s="17"/>
      <c r="F17" s="17"/>
      <c r="G17" s="17"/>
      <c r="H17" s="17"/>
      <c r="I17" s="18"/>
      <c r="J17" s="31"/>
      <c r="K17"/>
      <c r="L17"/>
      <c r="M17"/>
      <c r="N17"/>
      <c r="O17"/>
      <c r="P17"/>
      <c r="Q17"/>
      <c r="R17"/>
      <c r="S17"/>
      <c r="T17"/>
      <c r="U17"/>
    </row>
    <row r="18" spans="1:21" ht="15" customHeight="1">
      <c r="A18" s="25"/>
      <c r="B18" s="17"/>
      <c r="C18" s="17"/>
      <c r="D18" s="17"/>
      <c r="E18" s="17"/>
      <c r="F18" s="17"/>
      <c r="G18" s="17"/>
      <c r="H18" s="17"/>
      <c r="I18" s="18"/>
      <c r="J18" s="31"/>
      <c r="K18"/>
      <c r="L18"/>
      <c r="M18"/>
      <c r="N18"/>
      <c r="O18"/>
      <c r="P18"/>
      <c r="Q18"/>
      <c r="R18"/>
      <c r="S18"/>
      <c r="T18"/>
      <c r="U18"/>
    </row>
    <row r="19" spans="1:21" ht="15" customHeight="1">
      <c r="A19" s="25"/>
      <c r="B19" s="17"/>
      <c r="C19" s="17"/>
      <c r="D19" s="17"/>
      <c r="E19" s="17"/>
      <c r="F19" s="17"/>
      <c r="G19" s="17"/>
      <c r="H19" s="17"/>
      <c r="I19" s="18"/>
      <c r="J19" s="31"/>
      <c r="K19"/>
      <c r="L19"/>
      <c r="M19"/>
      <c r="N19"/>
      <c r="O19"/>
      <c r="P19"/>
      <c r="Q19"/>
      <c r="R19"/>
      <c r="S19"/>
      <c r="T19"/>
      <c r="U19"/>
    </row>
    <row r="20" spans="1:21" ht="15" customHeight="1">
      <c r="A20" s="25"/>
      <c r="B20" s="17"/>
      <c r="C20" s="17"/>
      <c r="D20" s="17"/>
      <c r="E20" s="17"/>
      <c r="F20" s="17"/>
      <c r="G20" s="17"/>
      <c r="H20" s="17"/>
      <c r="I20" s="18"/>
      <c r="J20" s="31"/>
      <c r="K20"/>
      <c r="L20"/>
      <c r="M20"/>
      <c r="N20"/>
      <c r="O20"/>
      <c r="P20"/>
      <c r="Q20"/>
      <c r="R20"/>
      <c r="S20"/>
      <c r="T20"/>
      <c r="U20"/>
    </row>
    <row r="21" spans="1:21" ht="15" customHeight="1">
      <c r="A21" s="25"/>
      <c r="B21" s="17"/>
      <c r="C21" s="17"/>
      <c r="D21" s="17"/>
      <c r="E21" s="17"/>
      <c r="F21" s="17"/>
      <c r="G21" s="17"/>
      <c r="H21" s="17"/>
      <c r="I21" s="18"/>
      <c r="J21" s="31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25"/>
      <c r="B22" s="17"/>
      <c r="C22" s="17"/>
      <c r="D22" s="17"/>
      <c r="E22" s="17"/>
      <c r="F22" s="17"/>
      <c r="G22" s="17"/>
      <c r="H22" s="17"/>
      <c r="I22" s="18"/>
      <c r="J22" s="31"/>
      <c r="K22"/>
      <c r="L22"/>
      <c r="M22"/>
      <c r="N22"/>
      <c r="O22"/>
      <c r="P22"/>
      <c r="Q22"/>
      <c r="R22"/>
      <c r="S22"/>
      <c r="T22"/>
      <c r="U22"/>
    </row>
    <row r="23" spans="1:21" ht="15" customHeight="1">
      <c r="A23" s="25"/>
      <c r="B23" s="17"/>
      <c r="C23" s="17"/>
      <c r="D23" s="17"/>
      <c r="E23" s="17"/>
      <c r="F23" s="17"/>
      <c r="G23" s="17"/>
      <c r="H23" s="17"/>
      <c r="I23" s="18"/>
      <c r="J23" s="31"/>
      <c r="K23"/>
      <c r="L23"/>
      <c r="M23"/>
      <c r="N23"/>
      <c r="O23"/>
      <c r="P23"/>
      <c r="Q23"/>
      <c r="R23"/>
      <c r="S23"/>
      <c r="T23"/>
      <c r="U23"/>
    </row>
    <row r="24" spans="1:21" ht="15" customHeight="1">
      <c r="A24" s="25"/>
      <c r="B24" s="17"/>
      <c r="C24" s="17"/>
      <c r="D24" s="17"/>
      <c r="E24" s="17"/>
      <c r="F24" s="17"/>
      <c r="G24" s="17"/>
      <c r="H24" s="17"/>
      <c r="I24" s="18"/>
      <c r="J24" s="31"/>
      <c r="K24"/>
      <c r="L24"/>
      <c r="M24"/>
      <c r="N24"/>
      <c r="O24"/>
      <c r="P24"/>
      <c r="Q24"/>
      <c r="R24"/>
      <c r="S24"/>
      <c r="T24"/>
      <c r="U24"/>
    </row>
    <row r="25" spans="1:21" ht="15" customHeight="1">
      <c r="A25" s="25"/>
      <c r="B25" s="17"/>
      <c r="C25" s="17"/>
      <c r="D25" s="17"/>
      <c r="E25" s="17"/>
      <c r="F25" s="17"/>
      <c r="G25" s="17"/>
      <c r="H25" s="17"/>
      <c r="I25" s="18"/>
      <c r="J25" s="31"/>
      <c r="K25"/>
      <c r="L25"/>
      <c r="M25"/>
      <c r="N25"/>
      <c r="O25"/>
      <c r="P25"/>
      <c r="Q25"/>
      <c r="R25"/>
      <c r="S25"/>
      <c r="T25"/>
      <c r="U25"/>
    </row>
    <row r="26" spans="1:21" ht="15" customHeight="1">
      <c r="A26" s="25"/>
      <c r="B26" s="17"/>
      <c r="C26" s="17"/>
      <c r="D26" s="17"/>
      <c r="E26" s="17"/>
      <c r="F26" s="17"/>
      <c r="G26" s="17"/>
      <c r="H26" s="17"/>
      <c r="I26" s="18"/>
      <c r="J26" s="31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25"/>
      <c r="B27" s="17"/>
      <c r="C27" s="17"/>
      <c r="D27" s="17"/>
      <c r="E27" s="17"/>
      <c r="F27" s="17"/>
      <c r="G27" s="17"/>
      <c r="H27" s="17"/>
      <c r="I27" s="18"/>
      <c r="J27" s="31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25"/>
      <c r="B28" s="17"/>
      <c r="C28" s="17"/>
      <c r="D28" s="17"/>
      <c r="E28" s="17"/>
      <c r="F28" s="17"/>
      <c r="G28" s="17"/>
      <c r="H28" s="17"/>
      <c r="I28" s="18"/>
      <c r="J28" s="31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22"/>
      <c r="B29" s="17"/>
      <c r="C29" s="17"/>
      <c r="D29" s="17"/>
      <c r="E29" s="17"/>
      <c r="F29" s="17"/>
      <c r="G29" s="17"/>
      <c r="H29" s="17"/>
      <c r="I29" s="18"/>
      <c r="J29" s="31"/>
      <c r="K29"/>
      <c r="L29"/>
      <c r="M29"/>
      <c r="N29"/>
      <c r="O29"/>
      <c r="P29"/>
      <c r="Q29"/>
      <c r="R29"/>
      <c r="S29"/>
      <c r="T29"/>
      <c r="U29"/>
    </row>
    <row r="30" spans="1:21" ht="15" customHeight="1" thickBot="1">
      <c r="A30" s="24"/>
      <c r="B30" s="32"/>
      <c r="C30" s="32"/>
      <c r="D30" s="32"/>
      <c r="E30" s="32"/>
      <c r="F30" s="32"/>
      <c r="G30" s="32"/>
      <c r="H30" s="32"/>
      <c r="I30" s="33"/>
      <c r="J30" s="31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B31" s="31"/>
      <c r="C31" s="31"/>
      <c r="D31" s="31"/>
      <c r="E31" s="31"/>
      <c r="F31" s="31"/>
      <c r="G31" s="31"/>
      <c r="H31" s="31"/>
      <c r="I31" s="31"/>
      <c r="J31" s="31"/>
      <c r="K31"/>
      <c r="L31"/>
      <c r="M31"/>
      <c r="N31"/>
      <c r="O31"/>
      <c r="P31"/>
      <c r="Q31"/>
      <c r="R31"/>
      <c r="S31"/>
      <c r="T31"/>
      <c r="U31"/>
    </row>
    <row r="32" spans="1:21" ht="15" customHeight="1">
      <c r="J32" s="31"/>
      <c r="K32"/>
      <c r="L32"/>
      <c r="M32"/>
      <c r="N32"/>
      <c r="O32"/>
      <c r="P32"/>
      <c r="Q32"/>
      <c r="R32"/>
      <c r="S32"/>
      <c r="T32"/>
      <c r="U32"/>
    </row>
    <row r="33" spans="2:21" ht="15" customHeight="1">
      <c r="J33" s="31"/>
      <c r="K33" s="48"/>
      <c r="L33" s="1"/>
      <c r="M33"/>
      <c r="N33"/>
      <c r="O33"/>
      <c r="P33"/>
      <c r="Q33"/>
      <c r="R33"/>
      <c r="S33"/>
      <c r="T33"/>
      <c r="U33"/>
    </row>
    <row r="34" spans="2:21" ht="15" customHeight="1">
      <c r="J34" s="31"/>
      <c r="K34"/>
      <c r="L34"/>
      <c r="M34"/>
      <c r="N34"/>
      <c r="O34"/>
      <c r="P34"/>
      <c r="Q34"/>
      <c r="R34"/>
      <c r="S34"/>
      <c r="T34"/>
      <c r="U34"/>
    </row>
    <row r="35" spans="2:21" ht="15" customHeight="1">
      <c r="J35" s="31"/>
      <c r="K35" s="48"/>
      <c r="L35"/>
      <c r="M35"/>
      <c r="N35"/>
      <c r="O35"/>
      <c r="P35"/>
      <c r="Q35"/>
      <c r="R35"/>
      <c r="S35"/>
      <c r="T35"/>
      <c r="U35"/>
    </row>
    <row r="36" spans="2:21" ht="15" customHeight="1">
      <c r="J36" s="31"/>
      <c r="K36"/>
      <c r="L36"/>
      <c r="M36"/>
      <c r="N36"/>
      <c r="O36"/>
      <c r="P36"/>
      <c r="Q36"/>
      <c r="R36"/>
      <c r="S36"/>
      <c r="T36"/>
      <c r="U36"/>
    </row>
    <row r="37" spans="2:21" ht="15" customHeight="1">
      <c r="J37" s="31"/>
      <c r="K37"/>
      <c r="L37"/>
      <c r="M37"/>
      <c r="N37"/>
      <c r="O37"/>
      <c r="P37"/>
      <c r="Q37"/>
      <c r="R37"/>
      <c r="S37"/>
      <c r="T37"/>
      <c r="U37"/>
    </row>
    <row r="38" spans="2:21" ht="15" customHeight="1">
      <c r="J38" s="31"/>
      <c r="K38"/>
      <c r="L38"/>
      <c r="M38"/>
      <c r="N38"/>
      <c r="O38"/>
      <c r="P38"/>
      <c r="Q38"/>
      <c r="R38"/>
      <c r="S38"/>
      <c r="T38"/>
      <c r="U38"/>
    </row>
    <row r="39" spans="2:21" ht="15" customHeight="1">
      <c r="J39" s="31"/>
      <c r="K39"/>
      <c r="L39"/>
      <c r="M39"/>
      <c r="N39"/>
      <c r="O39"/>
      <c r="P39"/>
      <c r="Q39"/>
      <c r="R39"/>
      <c r="S39"/>
      <c r="T39"/>
      <c r="U39"/>
    </row>
    <row r="40" spans="2:21" ht="15" customHeight="1">
      <c r="J40" s="31"/>
      <c r="K40"/>
      <c r="L40"/>
      <c r="M40"/>
      <c r="N40"/>
      <c r="O40"/>
      <c r="P40"/>
      <c r="Q40"/>
      <c r="R40"/>
      <c r="S40"/>
      <c r="T40"/>
      <c r="U40"/>
    </row>
    <row r="41" spans="2:21" ht="15" customHeight="1">
      <c r="J41" s="31"/>
      <c r="K41"/>
      <c r="L41"/>
      <c r="M41"/>
      <c r="N41"/>
      <c r="O41"/>
      <c r="P41"/>
      <c r="Q41"/>
      <c r="R41"/>
      <c r="S41"/>
      <c r="T41"/>
      <c r="U41"/>
    </row>
    <row r="42" spans="2:21" ht="15" customHeight="1">
      <c r="J42" s="31"/>
      <c r="K42"/>
      <c r="L42"/>
      <c r="M42"/>
      <c r="N42"/>
      <c r="O42"/>
      <c r="P42"/>
      <c r="Q42"/>
      <c r="R42"/>
      <c r="S42"/>
      <c r="T42"/>
      <c r="U42"/>
    </row>
    <row r="43" spans="2:21" ht="15" customHeight="1">
      <c r="J43" s="31"/>
      <c r="K43"/>
      <c r="L43"/>
      <c r="M43"/>
      <c r="N43"/>
      <c r="O43"/>
      <c r="P43"/>
      <c r="Q43"/>
      <c r="R43"/>
      <c r="S43"/>
      <c r="T43"/>
      <c r="U43"/>
    </row>
    <row r="44" spans="2:21" ht="15" customHeight="1">
      <c r="J44" s="31"/>
      <c r="K44"/>
      <c r="L44"/>
      <c r="M44"/>
      <c r="N44"/>
      <c r="O44"/>
      <c r="P44"/>
      <c r="Q44"/>
      <c r="R44"/>
      <c r="S44"/>
      <c r="T44"/>
      <c r="U44"/>
    </row>
    <row r="45" spans="2:21" ht="15" customHeight="1">
      <c r="J45" s="31"/>
      <c r="K45"/>
      <c r="L45"/>
      <c r="M45"/>
      <c r="N45"/>
      <c r="O45"/>
      <c r="P45"/>
      <c r="Q45"/>
      <c r="R45"/>
      <c r="S45"/>
      <c r="T45"/>
      <c r="U45"/>
    </row>
    <row r="46" spans="2:21" ht="15" customHeight="1">
      <c r="B46" s="31"/>
      <c r="C46" s="31"/>
      <c r="D46" s="31"/>
      <c r="E46" s="31"/>
      <c r="F46" s="31"/>
      <c r="G46" s="31"/>
      <c r="H46" s="31"/>
      <c r="I46" s="31"/>
      <c r="J46" s="31"/>
      <c r="K46"/>
      <c r="L46"/>
      <c r="M46"/>
      <c r="N46"/>
      <c r="O46"/>
      <c r="P46"/>
      <c r="Q46"/>
      <c r="R46"/>
      <c r="S46"/>
      <c r="T46"/>
      <c r="U46"/>
    </row>
    <row r="47" spans="2:21" ht="15" customHeight="1">
      <c r="B47" s="31"/>
      <c r="C47" s="31"/>
      <c r="D47" s="31"/>
      <c r="E47" s="31"/>
      <c r="F47" s="31"/>
      <c r="G47" s="31"/>
      <c r="H47" s="31"/>
      <c r="I47" s="31"/>
      <c r="J47" s="31"/>
      <c r="K47"/>
      <c r="L47"/>
      <c r="M47"/>
      <c r="N47"/>
      <c r="O47"/>
      <c r="P47"/>
      <c r="Q47"/>
      <c r="R47"/>
      <c r="S47"/>
      <c r="T47"/>
      <c r="U47"/>
    </row>
    <row r="48" spans="2:21" ht="15" customHeight="1">
      <c r="B48" s="31"/>
      <c r="C48" s="31"/>
      <c r="D48" s="31"/>
      <c r="E48" s="31"/>
      <c r="F48" s="31"/>
      <c r="G48" s="31"/>
      <c r="H48" s="31"/>
      <c r="I48" s="31"/>
      <c r="J48" s="31"/>
      <c r="K48"/>
      <c r="L48"/>
      <c r="M48"/>
      <c r="N48"/>
      <c r="O48"/>
      <c r="P48"/>
      <c r="Q48"/>
      <c r="R48"/>
      <c r="S48"/>
      <c r="T48"/>
      <c r="U48"/>
    </row>
    <row r="49" spans="2:21" ht="15" customHeight="1">
      <c r="B49" s="31"/>
      <c r="C49" s="31"/>
      <c r="D49" s="31"/>
      <c r="E49" s="31"/>
      <c r="F49" s="31"/>
      <c r="G49" s="31"/>
      <c r="H49" s="31"/>
      <c r="I49" s="31"/>
      <c r="J49" s="31"/>
      <c r="K49"/>
      <c r="L49"/>
      <c r="M49"/>
      <c r="N49"/>
      <c r="O49"/>
      <c r="P49"/>
      <c r="Q49"/>
      <c r="R49"/>
      <c r="S49"/>
      <c r="T49"/>
      <c r="U49"/>
    </row>
    <row r="50" spans="2:21" ht="15" customHeight="1">
      <c r="B50" s="31"/>
      <c r="C50" s="31"/>
      <c r="D50" s="31"/>
      <c r="E50" s="31"/>
      <c r="F50" s="31"/>
      <c r="G50" s="31"/>
      <c r="H50" s="31"/>
      <c r="I50" s="31"/>
      <c r="J50" s="31"/>
      <c r="K50"/>
      <c r="L50"/>
      <c r="M50"/>
      <c r="N50"/>
      <c r="O50"/>
      <c r="P50"/>
      <c r="Q50"/>
      <c r="R50"/>
      <c r="S50"/>
      <c r="T50"/>
      <c r="U50"/>
    </row>
    <row r="51" spans="2:21" ht="15" customHeight="1">
      <c r="B51" s="31"/>
      <c r="C51" s="31"/>
      <c r="D51" s="31"/>
      <c r="E51" s="31"/>
      <c r="F51" s="31"/>
      <c r="G51" s="31"/>
      <c r="H51" s="31"/>
      <c r="I51" s="31"/>
      <c r="J51" s="31"/>
    </row>
    <row r="52" spans="2:21" ht="15" customHeight="1">
      <c r="B52" s="31"/>
      <c r="C52" s="31"/>
      <c r="D52" s="31"/>
      <c r="E52" s="31"/>
      <c r="F52" s="31"/>
      <c r="G52" s="31"/>
      <c r="H52" s="31"/>
      <c r="I52" s="31"/>
      <c r="J52" s="31"/>
    </row>
    <row r="53" spans="2:21" ht="15" customHeight="1">
      <c r="B53" s="31"/>
      <c r="C53" s="31"/>
      <c r="D53" s="31"/>
      <c r="E53" s="31"/>
      <c r="F53" s="31"/>
      <c r="G53" s="31"/>
      <c r="H53" s="31"/>
      <c r="I53" s="31"/>
      <c r="J53" s="31"/>
    </row>
    <row r="54" spans="2:21" ht="15" customHeight="1">
      <c r="B54" s="31"/>
      <c r="C54" s="31"/>
      <c r="D54" s="31"/>
      <c r="E54" s="31"/>
      <c r="F54" s="31"/>
      <c r="G54" s="31"/>
      <c r="H54" s="31"/>
      <c r="I54" s="31"/>
      <c r="J54" s="31"/>
    </row>
    <row r="55" spans="2:21" ht="15" customHeight="1">
      <c r="B55" s="31"/>
      <c r="C55" s="31"/>
      <c r="D55" s="31"/>
      <c r="E55" s="31"/>
      <c r="F55" s="31"/>
      <c r="G55" s="31"/>
      <c r="H55" s="31"/>
      <c r="I55" s="31"/>
      <c r="J55" s="31"/>
    </row>
    <row r="56" spans="2:21" ht="15" customHeight="1">
      <c r="B56" s="31"/>
      <c r="C56" s="31"/>
      <c r="D56" s="31"/>
      <c r="E56" s="31"/>
      <c r="F56" s="31"/>
      <c r="G56" s="31"/>
      <c r="H56" s="31"/>
      <c r="I56" s="31"/>
      <c r="J56" s="31"/>
    </row>
    <row r="57" spans="2:21" ht="15" customHeight="1">
      <c r="B57" s="31"/>
      <c r="C57" s="31"/>
      <c r="D57" s="31"/>
      <c r="E57" s="31"/>
      <c r="F57" s="31"/>
      <c r="G57" s="31"/>
      <c r="H57" s="31"/>
      <c r="I57" s="31"/>
      <c r="J57" s="31"/>
    </row>
    <row r="58" spans="2:21" ht="15" customHeight="1">
      <c r="B58" s="31"/>
      <c r="C58" s="31"/>
      <c r="D58" s="31"/>
      <c r="E58" s="31"/>
      <c r="F58" s="31"/>
      <c r="G58" s="31"/>
      <c r="H58" s="31"/>
      <c r="I58" s="31"/>
      <c r="J58" s="31"/>
    </row>
    <row r="59" spans="2:21" ht="15" customHeight="1">
      <c r="B59" s="31"/>
      <c r="C59" s="31"/>
      <c r="D59" s="31"/>
      <c r="E59" s="31"/>
      <c r="F59" s="31"/>
      <c r="G59" s="31"/>
      <c r="H59" s="31"/>
      <c r="I59" s="31"/>
      <c r="J59" s="31"/>
    </row>
    <row r="60" spans="2:21" ht="15" customHeight="1">
      <c r="B60" s="31"/>
      <c r="C60" s="31"/>
      <c r="D60" s="31"/>
      <c r="E60" s="31"/>
      <c r="F60" s="31"/>
      <c r="G60" s="31"/>
      <c r="H60" s="31"/>
      <c r="I60" s="31"/>
      <c r="J60" s="31"/>
    </row>
    <row r="61" spans="2:21" ht="15" customHeight="1">
      <c r="B61" s="31"/>
      <c r="C61" s="31"/>
      <c r="D61" s="31"/>
      <c r="E61" s="31"/>
      <c r="F61" s="31"/>
      <c r="G61" s="31"/>
      <c r="H61" s="31"/>
      <c r="I61" s="31"/>
      <c r="J61" s="31"/>
    </row>
    <row r="62" spans="2:21" ht="15" customHeight="1">
      <c r="B62" s="31"/>
      <c r="C62" s="31"/>
      <c r="D62" s="31"/>
      <c r="E62" s="31"/>
      <c r="F62" s="31"/>
      <c r="G62" s="31"/>
      <c r="H62" s="31"/>
      <c r="I62" s="31"/>
      <c r="J62" s="31"/>
    </row>
    <row r="63" spans="2:21" ht="15" customHeight="1">
      <c r="B63" s="31"/>
      <c r="C63" s="31"/>
      <c r="D63" s="31"/>
      <c r="E63" s="31"/>
      <c r="F63" s="31"/>
      <c r="G63" s="31"/>
      <c r="H63" s="31"/>
      <c r="I63" s="31"/>
      <c r="J63" s="31"/>
    </row>
    <row r="64" spans="2:21" ht="15" customHeight="1">
      <c r="B64" s="31"/>
      <c r="C64" s="31"/>
      <c r="D64" s="31"/>
      <c r="E64" s="31"/>
      <c r="F64" s="31"/>
      <c r="G64" s="31"/>
      <c r="H64" s="31"/>
      <c r="I64" s="31"/>
      <c r="J64" s="31"/>
    </row>
    <row r="65" spans="2:10" ht="15" customHeight="1">
      <c r="B65" s="31"/>
      <c r="C65" s="31"/>
      <c r="D65" s="31"/>
      <c r="E65" s="31"/>
      <c r="F65" s="31"/>
      <c r="G65" s="31"/>
      <c r="H65" s="31"/>
      <c r="I65" s="31"/>
      <c r="J65" s="31"/>
    </row>
    <row r="66" spans="2:10" ht="15" customHeight="1">
      <c r="B66" s="31"/>
      <c r="C66" s="31"/>
      <c r="D66" s="31"/>
      <c r="E66" s="31"/>
      <c r="F66" s="31"/>
      <c r="G66" s="31"/>
      <c r="H66" s="31"/>
      <c r="I66" s="31"/>
      <c r="J66" s="31"/>
    </row>
    <row r="67" spans="2:10" ht="15" customHeight="1">
      <c r="B67" s="31"/>
      <c r="C67" s="31"/>
      <c r="D67" s="31"/>
      <c r="E67" s="31"/>
      <c r="F67" s="31"/>
      <c r="G67" s="31"/>
      <c r="H67" s="31"/>
      <c r="I67" s="31"/>
      <c r="J67" s="31"/>
    </row>
    <row r="68" spans="2:10" ht="15" customHeight="1">
      <c r="B68" s="31"/>
      <c r="C68" s="31"/>
      <c r="D68" s="31"/>
      <c r="E68" s="31"/>
      <c r="F68" s="31"/>
      <c r="G68" s="31"/>
      <c r="H68" s="31"/>
      <c r="I68" s="31"/>
      <c r="J68" s="31"/>
    </row>
    <row r="69" spans="2:10" ht="15" customHeight="1">
      <c r="B69" s="31"/>
      <c r="C69" s="31"/>
      <c r="D69" s="31"/>
      <c r="E69" s="31"/>
      <c r="F69" s="31"/>
      <c r="G69" s="31"/>
      <c r="H69" s="31"/>
      <c r="I69" s="31"/>
      <c r="J69" s="31"/>
    </row>
    <row r="70" spans="2:10" ht="15" customHeight="1">
      <c r="B70" s="31"/>
      <c r="C70" s="31"/>
      <c r="D70" s="31"/>
      <c r="E70" s="31"/>
      <c r="F70" s="31"/>
      <c r="G70" s="31"/>
      <c r="H70" s="31"/>
      <c r="I70" s="31"/>
      <c r="J70" s="31"/>
    </row>
    <row r="71" spans="2:10" ht="15" customHeight="1">
      <c r="B71" s="31"/>
      <c r="C71" s="31"/>
      <c r="D71" s="31"/>
      <c r="E71" s="31"/>
      <c r="F71" s="31"/>
      <c r="G71" s="31"/>
      <c r="H71" s="31"/>
      <c r="I71" s="31"/>
      <c r="J71" s="31"/>
    </row>
    <row r="72" spans="2:10" ht="15" customHeight="1">
      <c r="B72" s="31"/>
      <c r="C72" s="31"/>
      <c r="D72" s="31"/>
      <c r="E72" s="31"/>
      <c r="F72" s="31"/>
      <c r="G72" s="31"/>
      <c r="H72" s="31"/>
      <c r="I72" s="31"/>
      <c r="J72" s="31"/>
    </row>
    <row r="73" spans="2:10" ht="15" customHeight="1">
      <c r="B73" s="31"/>
      <c r="C73" s="31"/>
      <c r="D73" s="31"/>
      <c r="E73" s="31"/>
      <c r="F73" s="31"/>
      <c r="G73" s="31"/>
      <c r="H73" s="31"/>
      <c r="I73" s="31"/>
      <c r="J73" s="31"/>
    </row>
    <row r="74" spans="2:10" ht="15" customHeight="1">
      <c r="B74" s="31"/>
      <c r="C74" s="31"/>
      <c r="D74" s="31"/>
      <c r="E74" s="31"/>
      <c r="F74" s="31"/>
      <c r="G74" s="31"/>
      <c r="H74" s="31"/>
      <c r="I74" s="31"/>
      <c r="J74" s="31"/>
    </row>
    <row r="75" spans="2:10" ht="15" customHeight="1">
      <c r="B75" s="31"/>
      <c r="C75" s="31"/>
      <c r="D75" s="31"/>
      <c r="E75" s="31"/>
      <c r="F75" s="31"/>
      <c r="G75" s="31"/>
      <c r="H75" s="31"/>
      <c r="I75" s="31"/>
      <c r="J75" s="31"/>
    </row>
    <row r="76" spans="2:10" ht="15" customHeight="1">
      <c r="B76" s="31"/>
      <c r="C76" s="31"/>
      <c r="D76" s="31"/>
      <c r="E76" s="31"/>
      <c r="F76" s="31"/>
      <c r="G76" s="31"/>
      <c r="H76" s="31"/>
      <c r="I76" s="31"/>
      <c r="J76" s="31"/>
    </row>
    <row r="77" spans="2:10" ht="15" customHeight="1">
      <c r="B77" s="31"/>
      <c r="C77" s="31"/>
      <c r="D77" s="31"/>
      <c r="E77" s="31"/>
      <c r="F77" s="31"/>
      <c r="G77" s="31"/>
      <c r="H77" s="31"/>
      <c r="I77" s="31"/>
      <c r="J77" s="31"/>
    </row>
    <row r="78" spans="2:10" ht="15" customHeight="1">
      <c r="B78" s="31"/>
      <c r="C78" s="31"/>
      <c r="D78" s="31"/>
      <c r="E78" s="31"/>
      <c r="F78" s="31"/>
      <c r="G78" s="31"/>
      <c r="H78" s="31"/>
      <c r="I78" s="31"/>
      <c r="J78" s="31"/>
    </row>
    <row r="79" spans="2:10" ht="15" customHeight="1">
      <c r="B79" s="31"/>
      <c r="C79" s="31"/>
      <c r="D79" s="31"/>
      <c r="E79" s="31"/>
      <c r="F79" s="31"/>
      <c r="G79" s="31"/>
      <c r="H79" s="31"/>
      <c r="I79" s="31"/>
      <c r="J79" s="31"/>
    </row>
    <row r="80" spans="2:10" ht="15" customHeight="1">
      <c r="B80" s="31"/>
      <c r="C80" s="31"/>
      <c r="D80" s="31"/>
      <c r="E80" s="31"/>
      <c r="F80" s="31"/>
      <c r="G80" s="31"/>
      <c r="H80" s="31"/>
      <c r="I80" s="31"/>
      <c r="J80" s="31"/>
    </row>
    <row r="81" spans="2:10" ht="15" customHeight="1">
      <c r="B81" s="31"/>
      <c r="C81" s="31"/>
      <c r="D81" s="31"/>
      <c r="E81" s="31"/>
      <c r="F81" s="31"/>
      <c r="G81" s="31"/>
      <c r="H81" s="31"/>
      <c r="I81" s="31"/>
      <c r="J81" s="31"/>
    </row>
    <row r="82" spans="2:10" ht="15" customHeight="1">
      <c r="B82" s="31"/>
      <c r="C82" s="31"/>
      <c r="D82" s="31"/>
      <c r="E82" s="31"/>
      <c r="F82" s="31"/>
      <c r="G82" s="31"/>
      <c r="H82" s="31"/>
      <c r="I82" s="31"/>
      <c r="J82" s="31"/>
    </row>
    <row r="83" spans="2:10" ht="15" customHeight="1">
      <c r="B83" s="31"/>
      <c r="C83" s="31"/>
      <c r="D83" s="31"/>
      <c r="E83" s="31"/>
      <c r="F83" s="31"/>
      <c r="G83" s="31"/>
      <c r="H83" s="31"/>
      <c r="I83" s="31"/>
      <c r="J83" s="31"/>
    </row>
    <row r="84" spans="2:10" ht="15" customHeight="1">
      <c r="B84" s="31"/>
      <c r="C84" s="31"/>
      <c r="D84" s="31"/>
      <c r="E84" s="31"/>
      <c r="F84" s="31"/>
      <c r="G84" s="31"/>
      <c r="H84" s="31"/>
      <c r="I84" s="31"/>
      <c r="J84" s="31"/>
    </row>
    <row r="85" spans="2:10" ht="15" customHeight="1">
      <c r="B85" s="31"/>
      <c r="C85" s="31"/>
      <c r="D85" s="31"/>
      <c r="E85" s="31"/>
      <c r="F85" s="31"/>
      <c r="G85" s="31"/>
      <c r="H85" s="31"/>
      <c r="I85" s="31"/>
      <c r="J85" s="31"/>
    </row>
    <row r="86" spans="2:10" ht="15" customHeight="1">
      <c r="B86" s="31"/>
      <c r="C86" s="31"/>
      <c r="D86" s="31"/>
      <c r="E86" s="31"/>
      <c r="F86" s="31"/>
      <c r="G86" s="31"/>
      <c r="H86" s="31"/>
      <c r="I86" s="31"/>
      <c r="J86" s="31"/>
    </row>
    <row r="87" spans="2:10" ht="15" customHeight="1">
      <c r="B87" s="31"/>
      <c r="C87" s="31"/>
      <c r="D87" s="31"/>
      <c r="E87" s="31"/>
      <c r="F87" s="31"/>
      <c r="G87" s="31"/>
      <c r="H87" s="31"/>
      <c r="I87" s="31"/>
      <c r="J87" s="31"/>
    </row>
    <row r="88" spans="2:10" ht="15" customHeight="1">
      <c r="B88" s="31"/>
      <c r="C88" s="31"/>
      <c r="D88" s="31"/>
      <c r="E88" s="31"/>
      <c r="F88" s="31"/>
      <c r="G88" s="31"/>
      <c r="H88" s="31"/>
      <c r="I88" s="31"/>
      <c r="J88" s="31"/>
    </row>
    <row r="89" spans="2:10" ht="15" customHeight="1">
      <c r="B89" s="31"/>
      <c r="C89" s="31"/>
      <c r="D89" s="31"/>
      <c r="E89" s="31"/>
      <c r="F89" s="31"/>
      <c r="G89" s="31"/>
      <c r="H89" s="31"/>
      <c r="I89" s="31"/>
      <c r="J89" s="31"/>
    </row>
    <row r="90" spans="2:10" ht="15" customHeight="1">
      <c r="B90" s="31"/>
      <c r="C90" s="31"/>
      <c r="D90" s="31"/>
      <c r="E90" s="31"/>
      <c r="F90" s="31"/>
      <c r="G90" s="31"/>
      <c r="H90" s="31"/>
      <c r="I90" s="31"/>
      <c r="J90" s="31"/>
    </row>
    <row r="91" spans="2:10" ht="15" customHeight="1">
      <c r="B91" s="31"/>
      <c r="C91" s="31"/>
      <c r="D91" s="31"/>
      <c r="E91" s="31"/>
      <c r="F91" s="31"/>
      <c r="G91" s="31"/>
      <c r="H91" s="31"/>
      <c r="I91" s="31"/>
      <c r="J91" s="31"/>
    </row>
    <row r="92" spans="2:10" ht="15" customHeight="1">
      <c r="B92" s="31"/>
      <c r="C92" s="31"/>
      <c r="D92" s="31"/>
      <c r="E92" s="31"/>
      <c r="F92" s="31"/>
      <c r="G92" s="31"/>
      <c r="H92" s="31"/>
      <c r="I92" s="31"/>
      <c r="J92" s="31"/>
    </row>
    <row r="93" spans="2:10" ht="15" customHeight="1">
      <c r="B93" s="31"/>
      <c r="C93" s="31"/>
      <c r="D93" s="31"/>
      <c r="E93" s="31"/>
      <c r="F93" s="31"/>
      <c r="G93" s="31"/>
      <c r="H93" s="31"/>
      <c r="I93" s="31"/>
      <c r="J93" s="31"/>
    </row>
    <row r="94" spans="2:10" ht="15" customHeight="1">
      <c r="B94" s="31"/>
      <c r="C94" s="31"/>
      <c r="D94" s="31"/>
      <c r="E94" s="31"/>
      <c r="F94" s="31"/>
      <c r="G94" s="31"/>
      <c r="H94" s="31"/>
      <c r="I94" s="31"/>
      <c r="J94" s="31"/>
    </row>
    <row r="95" spans="2:10" ht="15" customHeight="1">
      <c r="B95" s="31"/>
      <c r="C95" s="31"/>
      <c r="D95" s="31"/>
      <c r="E95" s="31"/>
      <c r="F95" s="31"/>
      <c r="G95" s="31"/>
      <c r="H95" s="31"/>
      <c r="I95" s="31"/>
      <c r="J95" s="31"/>
    </row>
    <row r="96" spans="2:10" ht="15" customHeight="1">
      <c r="B96" s="31"/>
      <c r="C96" s="31"/>
      <c r="D96" s="31"/>
      <c r="E96" s="31"/>
      <c r="F96" s="31"/>
      <c r="G96" s="31"/>
      <c r="H96" s="31"/>
      <c r="I96" s="31"/>
      <c r="J96" s="31"/>
    </row>
    <row r="97" spans="2:10" ht="15" customHeight="1">
      <c r="B97" s="31"/>
      <c r="C97" s="31"/>
      <c r="D97" s="31"/>
      <c r="E97" s="31"/>
      <c r="F97" s="31"/>
      <c r="G97" s="31"/>
      <c r="H97" s="31"/>
      <c r="I97" s="31"/>
      <c r="J97" s="31"/>
    </row>
    <row r="98" spans="2:10" ht="15" customHeight="1">
      <c r="B98" s="31"/>
      <c r="C98" s="31"/>
      <c r="D98" s="31"/>
      <c r="E98" s="31"/>
      <c r="F98" s="31"/>
      <c r="G98" s="31"/>
      <c r="H98" s="31"/>
      <c r="I98" s="31"/>
      <c r="J98" s="31"/>
    </row>
    <row r="99" spans="2:10" ht="15" customHeight="1">
      <c r="B99" s="31"/>
      <c r="C99" s="31"/>
      <c r="D99" s="31"/>
      <c r="E99" s="31"/>
      <c r="F99" s="31"/>
      <c r="G99" s="31"/>
      <c r="H99" s="31"/>
      <c r="I99" s="31"/>
      <c r="J99" s="31"/>
    </row>
    <row r="100" spans="2:10" ht="15" customHeight="1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2:10" ht="15" customHeight="1">
      <c r="B101" s="31"/>
      <c r="C101" s="31"/>
      <c r="D101" s="31"/>
      <c r="E101" s="31"/>
      <c r="F101" s="31"/>
      <c r="G101" s="31"/>
      <c r="H101" s="31"/>
      <c r="I101" s="31"/>
      <c r="J101" s="31"/>
    </row>
  </sheetData>
  <mergeCells count="1">
    <mergeCell ref="H1:I1"/>
  </mergeCells>
  <conditionalFormatting sqref="B1">
    <cfRule type="cellIs" dxfId="35" priority="1" operator="equal">
      <formula>"Incomplete"</formula>
    </cfRule>
    <cfRule type="cellIs" dxfId="34" priority="2" operator="equal">
      <formula>"Flag for Review"</formula>
    </cfRule>
    <cfRule type="cellIs" dxfId="3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Y153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12" width="11.140625" style="21" customWidth="1"/>
    <col min="13" max="16384" width="9.140625" style="21"/>
  </cols>
  <sheetData>
    <row r="1" spans="1:51">
      <c r="A1" s="7">
        <v>20</v>
      </c>
      <c r="B1" s="27" t="s">
        <v>12</v>
      </c>
      <c r="C1" s="20"/>
      <c r="D1" s="20"/>
      <c r="E1" s="20"/>
      <c r="F1" s="20"/>
      <c r="G1" s="20"/>
      <c r="H1" s="20"/>
      <c r="I1" s="20"/>
      <c r="J1" s="20"/>
      <c r="K1" s="854" t="s">
        <v>24</v>
      </c>
      <c r="L1" s="855"/>
      <c r="N1" s="1" t="s">
        <v>33</v>
      </c>
      <c r="O1" s="52" t="str">
        <f>VLOOKUP(A1,'Point Grid'!$L$8:$T$54,9,FALSE)</f>
        <v>Reserving - Chap 5: Triangles</v>
      </c>
      <c r="P1"/>
      <c r="Q1"/>
      <c r="R1"/>
      <c r="S1"/>
      <c r="T1"/>
      <c r="U1"/>
      <c r="V1"/>
      <c r="W1"/>
      <c r="X1"/>
    </row>
    <row r="2" spans="1:51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23"/>
      <c r="N2" s="1"/>
      <c r="O2"/>
      <c r="P2"/>
      <c r="Q2"/>
      <c r="R2"/>
      <c r="S2"/>
      <c r="T2"/>
      <c r="U2"/>
      <c r="V2"/>
      <c r="W2"/>
      <c r="X2"/>
    </row>
    <row r="3" spans="1:51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8"/>
      <c r="M3" s="31"/>
      <c r="N3" s="424" t="s">
        <v>2</v>
      </c>
      <c r="O3" s="425">
        <f>VLOOKUP(E6,B34:H39,G6/12+1,FALSE)</f>
        <v>41025.930534362793</v>
      </c>
      <c r="P3" s="323" t="s">
        <v>550</v>
      </c>
      <c r="Q3" s="228" t="s">
        <v>551</v>
      </c>
      <c r="R3" s="122"/>
      <c r="S3" s="122"/>
      <c r="T3" s="122"/>
      <c r="U3" s="122"/>
      <c r="V3" s="122"/>
      <c r="W3" s="122"/>
      <c r="X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>
      <c r="A4" s="9">
        <f>INDEX('Point Grid'!B:B,MATCH(A1,'Point Grid'!A:A,0))</f>
        <v>1.5</v>
      </c>
      <c r="B4" s="17" t="s">
        <v>536</v>
      </c>
      <c r="C4" s="17"/>
      <c r="D4" s="17"/>
      <c r="E4" s="17"/>
      <c r="F4" s="17"/>
      <c r="G4" s="17"/>
      <c r="H4" s="17"/>
      <c r="I4" s="17"/>
      <c r="J4" s="17"/>
      <c r="K4" s="17"/>
      <c r="L4" s="18"/>
      <c r="M4" s="31"/>
      <c r="N4"/>
      <c r="O4"/>
      <c r="P4"/>
      <c r="Q4"/>
      <c r="R4"/>
      <c r="S4"/>
      <c r="T4"/>
      <c r="U4"/>
      <c r="V4"/>
      <c r="W4"/>
      <c r="X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1:5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8"/>
      <c r="M5" s="31"/>
      <c r="N5" s="424" t="s">
        <v>3</v>
      </c>
      <c r="O5" s="425">
        <f>Q5-S5</f>
        <v>7488.2280975341801</v>
      </c>
      <c r="P5" s="426" t="s">
        <v>34</v>
      </c>
      <c r="Q5" s="323">
        <f>VLOOKUP(E10,B34:H39,G10/12+1,FALSE)</f>
        <v>7488.2280975341801</v>
      </c>
      <c r="R5" s="426" t="s">
        <v>189</v>
      </c>
      <c r="S5" s="325">
        <f>IF(G10=12,0,VLOOKUP(E10,B34:H39,G10/12,FALSE))</f>
        <v>0</v>
      </c>
      <c r="T5" s="122"/>
      <c r="U5" s="122"/>
      <c r="V5" s="122"/>
      <c r="W5" s="122"/>
      <c r="X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51">
      <c r="A6" s="25" t="s">
        <v>2</v>
      </c>
      <c r="B6" s="231" t="s">
        <v>537</v>
      </c>
      <c r="C6" s="231"/>
      <c r="D6" s="431"/>
      <c r="E6" s="432">
        <v>2023</v>
      </c>
      <c r="F6" s="328" t="s">
        <v>538</v>
      </c>
      <c r="G6" s="433">
        <v>36</v>
      </c>
      <c r="H6" s="328" t="s">
        <v>223</v>
      </c>
      <c r="I6" s="17"/>
      <c r="J6" s="17"/>
      <c r="K6" s="17"/>
      <c r="L6" s="18"/>
      <c r="M6" s="31"/>
      <c r="N6"/>
      <c r="O6"/>
      <c r="P6"/>
      <c r="Q6"/>
      <c r="R6"/>
      <c r="S6"/>
      <c r="T6"/>
      <c r="U6"/>
      <c r="V6"/>
      <c r="W6"/>
      <c r="X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</row>
    <row r="7" spans="1:51" ht="15.75" thickBot="1">
      <c r="A7" s="9">
        <f>INDEX('Point Grid'!$C$8:$I$54,MATCH($A$1,'Point Grid'!$A$8:$A$54,0),MATCH(A6,'Point Grid'!$C$7:$I$7,0))</f>
        <v>0.25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  <c r="M7" s="31"/>
      <c r="N7" s="424" t="s">
        <v>4</v>
      </c>
      <c r="O7" s="425">
        <f>Q7+S7</f>
        <v>96206.399999999994</v>
      </c>
      <c r="P7" s="426" t="s">
        <v>34</v>
      </c>
      <c r="Q7" s="323">
        <f>VLOOKUP(E14,B34:H39,G14/12+1,FALSE)</f>
        <v>77112</v>
      </c>
      <c r="R7" s="426" t="s">
        <v>35</v>
      </c>
      <c r="S7" s="323">
        <f>VLOOKUP(E14,B43:H48,G14/12+1,FALSE)</f>
        <v>19094.400000000001</v>
      </c>
      <c r="T7" s="122"/>
      <c r="U7" s="122"/>
      <c r="V7" s="122"/>
      <c r="W7" s="122"/>
      <c r="X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51" ht="15.75" thickBot="1">
      <c r="A8" s="5"/>
      <c r="B8" s="17"/>
      <c r="C8" s="28"/>
      <c r="D8" s="28"/>
      <c r="E8" s="28"/>
      <c r="F8" s="28"/>
      <c r="G8" s="28"/>
      <c r="H8" s="28"/>
      <c r="I8" s="28"/>
      <c r="J8" s="28"/>
      <c r="K8" s="28"/>
      <c r="L8" s="18"/>
      <c r="M8" s="31"/>
      <c r="N8"/>
      <c r="O8"/>
      <c r="P8"/>
      <c r="Q8"/>
      <c r="R8"/>
      <c r="S8"/>
      <c r="T8"/>
      <c r="U8"/>
      <c r="V8"/>
      <c r="W8"/>
      <c r="X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</row>
    <row r="9" spans="1:51">
      <c r="A9" s="25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  <c r="M9" s="31"/>
      <c r="N9" s="424" t="s">
        <v>5</v>
      </c>
      <c r="O9" s="425">
        <f>Q9+S9-U9-W9</f>
        <v>-1101.5999999999985</v>
      </c>
      <c r="P9" s="426" t="s">
        <v>34</v>
      </c>
      <c r="Q9" s="323">
        <f>VLOOKUP(E18,B34:H39,G18/12+1,FALSE)</f>
        <v>85374</v>
      </c>
      <c r="R9" s="426" t="s">
        <v>35</v>
      </c>
      <c r="S9" s="323">
        <f>VLOOKUP(E18,B43:H48,G18/12+1,FALSE)</f>
        <v>9730.7999999999993</v>
      </c>
      <c r="T9" s="426" t="s">
        <v>189</v>
      </c>
      <c r="U9" s="325">
        <f>IF(G18=12,0,VLOOKUP(E18,B34:H39,G18/12,FALSE))</f>
        <v>77112</v>
      </c>
      <c r="V9" s="426" t="s">
        <v>189</v>
      </c>
      <c r="W9" s="325">
        <f>IF(G18=12,0,VLOOKUP(E18,B43:H48,G18/12,FALSE))</f>
        <v>19094.400000000001</v>
      </c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</row>
    <row r="10" spans="1:51">
      <c r="A10" s="25" t="s">
        <v>3</v>
      </c>
      <c r="B10" s="231" t="s">
        <v>539</v>
      </c>
      <c r="C10" s="231"/>
      <c r="D10" s="431"/>
      <c r="E10" s="432">
        <v>2023</v>
      </c>
      <c r="F10" s="328" t="s">
        <v>538</v>
      </c>
      <c r="G10" s="433">
        <v>12</v>
      </c>
      <c r="H10" s="328" t="s">
        <v>223</v>
      </c>
      <c r="I10" s="17"/>
      <c r="J10" s="17"/>
      <c r="K10" s="17"/>
      <c r="L10" s="18"/>
      <c r="M10" s="31"/>
      <c r="N10"/>
      <c r="O10"/>
      <c r="P10"/>
      <c r="Q10"/>
      <c r="R10"/>
      <c r="S10"/>
      <c r="T10"/>
      <c r="U10"/>
      <c r="V10"/>
      <c r="W10"/>
      <c r="X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1" ht="15.75" thickBot="1">
      <c r="A11" s="9">
        <f>INDEX('Point Grid'!$C$8:$I$54,MATCH($A$1,'Point Grid'!$A$8:$A$54,0),MATCH(A10,'Point Grid'!$C$7:$I$7,0))</f>
        <v>0.25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8"/>
      <c r="M11" s="31"/>
      <c r="N11" s="424" t="s">
        <v>6</v>
      </c>
      <c r="O11" s="427">
        <f>Q11+S11</f>
        <v>186.49</v>
      </c>
      <c r="P11" s="426" t="s">
        <v>34</v>
      </c>
      <c r="Q11" s="323">
        <f>VLOOKUP(E22,B52:H57,G22/12+1,FALSE)</f>
        <v>170</v>
      </c>
      <c r="R11" s="426" t="s">
        <v>35</v>
      </c>
      <c r="S11" s="323">
        <f>VLOOKUP(E22,B61:H66,G22/12+1,FALSE)</f>
        <v>16.489999999999998</v>
      </c>
      <c r="T11" s="122"/>
      <c r="U11" s="122"/>
      <c r="V11" s="122"/>
      <c r="W11" s="122"/>
      <c r="X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</row>
    <row r="12" spans="1:51" ht="15.75" thickBot="1">
      <c r="A12" s="5"/>
      <c r="B12" s="17"/>
      <c r="C12" s="28"/>
      <c r="D12" s="28"/>
      <c r="E12" s="28"/>
      <c r="F12" s="28"/>
      <c r="G12" s="28"/>
      <c r="H12" s="28"/>
      <c r="I12" s="28"/>
      <c r="J12" s="28"/>
      <c r="K12" s="28"/>
      <c r="L12" s="18"/>
      <c r="M12" s="31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</row>
    <row r="13" spans="1:51">
      <c r="A13" s="25"/>
      <c r="B13" s="17"/>
      <c r="C13" s="28"/>
      <c r="D13" s="28"/>
      <c r="E13" s="28"/>
      <c r="F13" s="28"/>
      <c r="G13" s="28"/>
      <c r="H13" s="28"/>
      <c r="I13" s="28"/>
      <c r="J13" s="28"/>
      <c r="K13" s="28"/>
      <c r="L13" s="18"/>
      <c r="M13" s="31"/>
      <c r="N13" s="424" t="s">
        <v>7</v>
      </c>
      <c r="O13" s="425">
        <f>INDEX(P31:U31,E26-B34+1)</f>
        <v>91383.637492065405</v>
      </c>
      <c r="P13" s="323" t="s">
        <v>550</v>
      </c>
      <c r="Q13" s="228" t="s">
        <v>552</v>
      </c>
      <c r="R13" s="122"/>
      <c r="S13" s="122"/>
      <c r="T13" s="122"/>
      <c r="U13" s="122"/>
      <c r="V13" s="122"/>
      <c r="W13" s="122"/>
      <c r="X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1">
      <c r="A14" s="25" t="s">
        <v>4</v>
      </c>
      <c r="B14" s="231" t="s">
        <v>560</v>
      </c>
      <c r="C14" s="231"/>
      <c r="D14" s="431"/>
      <c r="E14" s="432">
        <v>2022</v>
      </c>
      <c r="F14" s="328" t="s">
        <v>538</v>
      </c>
      <c r="G14" s="433">
        <v>36</v>
      </c>
      <c r="H14" s="328" t="s">
        <v>223</v>
      </c>
      <c r="I14" s="17"/>
      <c r="J14" s="17"/>
      <c r="K14" s="17"/>
      <c r="L14" s="18"/>
      <c r="M14" s="31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</row>
    <row r="15" spans="1:51" ht="15.75" thickBot="1">
      <c r="A15" s="9">
        <f>INDEX('Point Grid'!$C$8:$I$54,MATCH($A$1,'Point Grid'!$A$8:$A$54,0),MATCH(A14,'Point Grid'!$C$7:$I$7,0))</f>
        <v>0.25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8"/>
      <c r="M15" s="31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</row>
    <row r="16" spans="1:51" ht="15.75" thickBot="1">
      <c r="A16" s="5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8"/>
      <c r="M16" s="31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</row>
    <row r="17" spans="1:51">
      <c r="A17" s="22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8"/>
      <c r="M17" s="31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1:51" ht="15" customHeight="1">
      <c r="A18" s="25" t="s">
        <v>5</v>
      </c>
      <c r="B18" s="231" t="s">
        <v>540</v>
      </c>
      <c r="C18" s="231"/>
      <c r="D18" s="431"/>
      <c r="E18" s="432">
        <v>2022</v>
      </c>
      <c r="F18" s="328" t="s">
        <v>538</v>
      </c>
      <c r="G18" s="433">
        <v>48</v>
      </c>
      <c r="H18" s="328" t="s">
        <v>223</v>
      </c>
      <c r="I18" s="17"/>
      <c r="J18" s="17"/>
      <c r="K18" s="17"/>
      <c r="L18" s="18"/>
      <c r="M18" s="31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1:51" ht="15" customHeight="1" thickBot="1">
      <c r="A19" s="9">
        <f>INDEX('Point Grid'!$C$8:$I$54,MATCH($A$1,'Point Grid'!$A$8:$A$54,0),MATCH(A18,'Point Grid'!$C$7:$I$7,0))</f>
        <v>0.25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8"/>
      <c r="M19" s="31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1:51" ht="15" customHeight="1" thickBot="1">
      <c r="A20" s="5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8"/>
      <c r="M20" s="31"/>
      <c r="N20" s="218" t="s">
        <v>553</v>
      </c>
      <c r="O20" s="122"/>
      <c r="P20" s="122" t="s">
        <v>554</v>
      </c>
      <c r="Q20" s="122"/>
      <c r="R20" s="122"/>
      <c r="S20" s="122"/>
      <c r="T20" s="122"/>
      <c r="U20" s="122"/>
      <c r="V20" s="122"/>
      <c r="W20" s="122"/>
      <c r="X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</row>
    <row r="21" spans="1:51" ht="15" customHeight="1">
      <c r="A21" s="22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  <c r="M21" s="31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</row>
    <row r="22" spans="1:51" ht="15" customHeight="1">
      <c r="A22" s="25" t="s">
        <v>6</v>
      </c>
      <c r="B22" s="231" t="s">
        <v>561</v>
      </c>
      <c r="C22" s="231"/>
      <c r="D22" s="431"/>
      <c r="E22" s="432">
        <v>2022</v>
      </c>
      <c r="F22" s="328" t="s">
        <v>538</v>
      </c>
      <c r="G22" s="433">
        <v>48</v>
      </c>
      <c r="H22" s="328" t="s">
        <v>223</v>
      </c>
      <c r="I22" s="17"/>
      <c r="J22" s="17"/>
      <c r="K22" s="17"/>
      <c r="L22" s="18"/>
      <c r="M22" s="31"/>
      <c r="N22" s="122"/>
      <c r="O22" s="409" t="s">
        <v>541</v>
      </c>
      <c r="P22" s="410" t="s">
        <v>542</v>
      </c>
      <c r="Q22" s="82"/>
      <c r="R22" s="82" t="s">
        <v>555</v>
      </c>
      <c r="S22" s="82"/>
      <c r="T22" s="82"/>
      <c r="U22" s="82"/>
      <c r="V22" s="122"/>
      <c r="W22" s="122"/>
      <c r="X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ht="15" customHeight="1" thickBot="1">
      <c r="A23" s="9">
        <f>INDEX('Point Grid'!$C$8:$I$54,MATCH($A$1,'Point Grid'!$A$8:$A$54,0),MATCH(A22,'Point Grid'!$C$7:$I$7,0))</f>
        <v>0.25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8"/>
      <c r="M23" s="31"/>
      <c r="N23" s="122"/>
      <c r="O23" s="411" t="s">
        <v>120</v>
      </c>
      <c r="P23" s="412">
        <v>2020</v>
      </c>
      <c r="Q23" s="412">
        <f>P23+1</f>
        <v>2021</v>
      </c>
      <c r="R23" s="412">
        <f>Q23+1</f>
        <v>2022</v>
      </c>
      <c r="S23" s="412">
        <f>R23+1</f>
        <v>2023</v>
      </c>
      <c r="T23" s="412">
        <f>S23+1</f>
        <v>2024</v>
      </c>
      <c r="U23" s="412">
        <f>T23+1</f>
        <v>2025</v>
      </c>
      <c r="V23" s="122"/>
      <c r="W23" s="122"/>
      <c r="X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ht="15" customHeight="1" thickBot="1">
      <c r="A24" s="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8"/>
      <c r="M24" s="31"/>
      <c r="N24" s="122"/>
      <c r="O24" s="413">
        <v>2020</v>
      </c>
      <c r="P24" s="414">
        <f t="shared" ref="P24:U24" si="0">C34</f>
        <v>35251.199999999997</v>
      </c>
      <c r="Q24" s="414">
        <f t="shared" si="0"/>
        <v>79682.399999999994</v>
      </c>
      <c r="R24" s="414">
        <f t="shared" si="0"/>
        <v>133416</v>
      </c>
      <c r="S24" s="414">
        <f t="shared" si="0"/>
        <v>151164</v>
      </c>
      <c r="T24" s="414">
        <f t="shared" si="0"/>
        <v>171360</v>
      </c>
      <c r="U24" s="414">
        <f t="shared" si="0"/>
        <v>213465.60000000001</v>
      </c>
      <c r="V24" s="122"/>
      <c r="W24" s="122"/>
      <c r="X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ht="15" customHeight="1">
      <c r="A25" s="22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8"/>
      <c r="M25" s="31"/>
      <c r="N25" s="122"/>
      <c r="O25" s="413">
        <f>O24+1</f>
        <v>2021</v>
      </c>
      <c r="P25" s="414"/>
      <c r="Q25" s="414">
        <f>C35</f>
        <v>18823.896755371094</v>
      </c>
      <c r="R25" s="414">
        <f>D35</f>
        <v>64539.074589843753</v>
      </c>
      <c r="S25" s="414">
        <f>E35</f>
        <v>99290.883984375003</v>
      </c>
      <c r="T25" s="414">
        <f>F35</f>
        <v>120390.19683105469</v>
      </c>
      <c r="U25" s="414">
        <f>G35</f>
        <v>127733.58512573242</v>
      </c>
      <c r="V25" s="122"/>
      <c r="W25" s="122"/>
      <c r="X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ht="15" customHeight="1">
      <c r="A26" s="25" t="s">
        <v>7</v>
      </c>
      <c r="B26" s="231" t="s">
        <v>562</v>
      </c>
      <c r="C26" s="231"/>
      <c r="D26" s="431"/>
      <c r="E26" s="432">
        <v>2023</v>
      </c>
      <c r="F26" s="328"/>
      <c r="G26" s="17"/>
      <c r="H26" s="17"/>
      <c r="I26" s="17"/>
      <c r="J26" s="17"/>
      <c r="K26" s="17"/>
      <c r="L26" s="18"/>
      <c r="M26" s="31"/>
      <c r="N26" s="122"/>
      <c r="O26" s="413">
        <f>O25+1</f>
        <v>2022</v>
      </c>
      <c r="P26" s="414"/>
      <c r="Q26" s="414"/>
      <c r="R26" s="414">
        <f>C36</f>
        <v>17258.400000000001</v>
      </c>
      <c r="S26" s="414">
        <f>D36</f>
        <v>48654</v>
      </c>
      <c r="T26" s="414">
        <f>E36</f>
        <v>77112</v>
      </c>
      <c r="U26" s="414">
        <f>F36</f>
        <v>85374</v>
      </c>
      <c r="V26" s="122"/>
      <c r="W26" s="122"/>
      <c r="X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ht="15" customHeight="1" thickBot="1">
      <c r="A27" s="9">
        <f>INDEX('Point Grid'!$C$8:$I$54,MATCH($A$1,'Point Grid'!$A$8:$A$54,0),MATCH(A26,'Point Grid'!$C$7:$I$7,0))</f>
        <v>0.25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8"/>
      <c r="M27" s="31"/>
      <c r="N27" s="122"/>
      <c r="O27" s="413">
        <f>O26+1</f>
        <v>2023</v>
      </c>
      <c r="P27" s="414"/>
      <c r="Q27" s="414"/>
      <c r="R27" s="414"/>
      <c r="S27" s="414">
        <f>C37</f>
        <v>7488.2280975341801</v>
      </c>
      <c r="T27" s="414">
        <f>D37</f>
        <v>25093.530326843262</v>
      </c>
      <c r="U27" s="414">
        <f>E37</f>
        <v>41025.930534362793</v>
      </c>
      <c r="V27" s="122"/>
      <c r="W27" s="122"/>
      <c r="X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ht="15" customHeight="1" thickBot="1">
      <c r="A28" s="5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8"/>
      <c r="M28" s="31"/>
      <c r="N28" s="122"/>
      <c r="O28" s="413">
        <f>O27+1</f>
        <v>2024</v>
      </c>
      <c r="P28" s="414"/>
      <c r="Q28" s="414"/>
      <c r="R28" s="414"/>
      <c r="S28" s="414"/>
      <c r="T28" s="414">
        <f>C38</f>
        <v>6104.7</v>
      </c>
      <c r="U28" s="414">
        <f>D38</f>
        <v>19535.04</v>
      </c>
      <c r="V28" s="122"/>
      <c r="W28" s="122"/>
      <c r="X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1" ht="15" customHeight="1" thickBot="1">
      <c r="A29" s="22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8"/>
      <c r="M29" s="31"/>
      <c r="N29" s="122"/>
      <c r="O29" s="413">
        <f>O28+1</f>
        <v>2025</v>
      </c>
      <c r="P29" s="414"/>
      <c r="Q29" s="414"/>
      <c r="R29" s="414"/>
      <c r="S29" s="414"/>
      <c r="T29" s="414"/>
      <c r="U29" s="414">
        <f>C39</f>
        <v>17772.480456542969</v>
      </c>
      <c r="V29" s="122"/>
      <c r="W29" s="122"/>
      <c r="X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1" ht="15" customHeight="1" thickBot="1">
      <c r="A30" s="22"/>
      <c r="B30" s="415" t="s">
        <v>549</v>
      </c>
      <c r="C30" s="416"/>
      <c r="D30" s="417"/>
      <c r="E30" s="17"/>
      <c r="F30" s="17"/>
      <c r="G30" s="17"/>
      <c r="H30" s="17"/>
      <c r="I30" s="17"/>
      <c r="J30" s="17"/>
      <c r="K30" s="17"/>
      <c r="L30" s="18"/>
      <c r="M30" s="31"/>
      <c r="N30" s="122"/>
      <c r="O30" s="428"/>
      <c r="P30" s="428">
        <f t="shared" ref="P30:U30" si="1">SUM(P24:P29)</f>
        <v>35251.199999999997</v>
      </c>
      <c r="Q30" s="428">
        <f t="shared" si="1"/>
        <v>98506.296755371091</v>
      </c>
      <c r="R30" s="428">
        <f t="shared" si="1"/>
        <v>215213.47458984374</v>
      </c>
      <c r="S30" s="428">
        <f t="shared" si="1"/>
        <v>306597.11208190914</v>
      </c>
      <c r="T30" s="428">
        <f t="shared" si="1"/>
        <v>400060.42715789797</v>
      </c>
      <c r="U30" s="428">
        <f t="shared" si="1"/>
        <v>504906.6361166382</v>
      </c>
      <c r="V30" s="122"/>
      <c r="W30" s="122"/>
      <c r="X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1" ht="15" customHeight="1">
      <c r="A31" s="22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8"/>
      <c r="M31" s="31"/>
      <c r="N31" s="122"/>
      <c r="O31" s="378" t="s">
        <v>556</v>
      </c>
      <c r="P31" s="378">
        <f t="shared" ref="P31:U31" si="2">P30-O30</f>
        <v>35251.199999999997</v>
      </c>
      <c r="Q31" s="378">
        <f t="shared" si="2"/>
        <v>63255.096755371094</v>
      </c>
      <c r="R31" s="378">
        <f t="shared" si="2"/>
        <v>116707.17783447265</v>
      </c>
      <c r="S31" s="378">
        <f t="shared" si="2"/>
        <v>91383.637492065405</v>
      </c>
      <c r="T31" s="378">
        <f t="shared" si="2"/>
        <v>93463.315075988823</v>
      </c>
      <c r="U31" s="378">
        <f t="shared" si="2"/>
        <v>104846.20895874023</v>
      </c>
      <c r="V31" s="122"/>
      <c r="W31" s="122"/>
      <c r="X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1" ht="15" customHeight="1">
      <c r="A32" s="22"/>
      <c r="B32" s="418" t="s">
        <v>541</v>
      </c>
      <c r="C32" s="419" t="s">
        <v>542</v>
      </c>
      <c r="D32" s="75"/>
      <c r="E32" s="75" t="s">
        <v>543</v>
      </c>
      <c r="F32" s="75"/>
      <c r="G32" s="75"/>
      <c r="H32" s="75"/>
      <c r="I32" s="231"/>
      <c r="J32" s="231"/>
      <c r="K32" s="231"/>
      <c r="L32" s="18"/>
      <c r="M32" s="31"/>
      <c r="N32" s="122"/>
      <c r="O32" s="122" t="s">
        <v>557</v>
      </c>
      <c r="P32" s="413">
        <v>2020</v>
      </c>
      <c r="Q32" s="413">
        <f>P32+1</f>
        <v>2021</v>
      </c>
      <c r="R32" s="413">
        <f>Q32+1</f>
        <v>2022</v>
      </c>
      <c r="S32" s="413">
        <f>R32+1</f>
        <v>2023</v>
      </c>
      <c r="T32" s="413">
        <f>S32+1</f>
        <v>2024</v>
      </c>
      <c r="U32" s="413">
        <f>T32+1</f>
        <v>2025</v>
      </c>
      <c r="V32" s="122"/>
      <c r="W32" s="122"/>
      <c r="X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1:51" ht="15" customHeight="1">
      <c r="A33" s="22"/>
      <c r="B33" s="420" t="s">
        <v>120</v>
      </c>
      <c r="C33" s="421">
        <v>12</v>
      </c>
      <c r="D33" s="421">
        <f>C33+12</f>
        <v>24</v>
      </c>
      <c r="E33" s="421">
        <f>D33+12</f>
        <v>36</v>
      </c>
      <c r="F33" s="421">
        <f>E33+12</f>
        <v>48</v>
      </c>
      <c r="G33" s="421">
        <f>F33+12</f>
        <v>60</v>
      </c>
      <c r="H33" s="421">
        <f>G33+12</f>
        <v>72</v>
      </c>
      <c r="I33" s="231"/>
      <c r="J33" s="231"/>
      <c r="K33" s="231"/>
      <c r="L33" s="18"/>
      <c r="M33" s="31"/>
      <c r="N33" s="122"/>
      <c r="O33"/>
      <c r="P33"/>
      <c r="Q33"/>
      <c r="R33"/>
      <c r="S33"/>
      <c r="T33"/>
      <c r="U33"/>
      <c r="V33" s="122"/>
      <c r="W33" s="122"/>
      <c r="X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1:51" ht="15" customHeight="1">
      <c r="A34" s="22"/>
      <c r="B34" s="422">
        <v>2020</v>
      </c>
      <c r="C34" s="423">
        <v>35251.199999999997</v>
      </c>
      <c r="D34" s="423">
        <v>79682.399999999994</v>
      </c>
      <c r="E34" s="423">
        <v>133416</v>
      </c>
      <c r="F34" s="423">
        <v>151164</v>
      </c>
      <c r="G34" s="423">
        <v>171360</v>
      </c>
      <c r="H34" s="423">
        <v>213465.60000000001</v>
      </c>
      <c r="I34" s="231"/>
      <c r="J34" s="231"/>
      <c r="K34" s="231"/>
      <c r="L34" s="18"/>
      <c r="M34" s="31"/>
      <c r="N34" s="122"/>
      <c r="O34" s="409" t="s">
        <v>541</v>
      </c>
      <c r="P34" s="410" t="s">
        <v>558</v>
      </c>
      <c r="Q34" s="82"/>
      <c r="R34" s="82" t="s">
        <v>555</v>
      </c>
      <c r="S34" s="82"/>
      <c r="T34" s="82"/>
      <c r="U34" s="82"/>
      <c r="V34" s="122"/>
      <c r="W34" s="122"/>
      <c r="X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1" ht="15" customHeight="1">
      <c r="A35" s="22"/>
      <c r="B35" s="422">
        <f>B34+1</f>
        <v>2021</v>
      </c>
      <c r="C35" s="423">
        <v>18823.896755371094</v>
      </c>
      <c r="D35" s="423">
        <v>64539.074589843753</v>
      </c>
      <c r="E35" s="423">
        <v>99290.883984375003</v>
      </c>
      <c r="F35" s="423">
        <v>120390.19683105469</v>
      </c>
      <c r="G35" s="423">
        <v>127733.58512573242</v>
      </c>
      <c r="H35" s="423"/>
      <c r="I35" s="231"/>
      <c r="J35" s="231"/>
      <c r="K35" s="231"/>
      <c r="L35" s="18"/>
      <c r="M35" s="31"/>
      <c r="N35" s="122"/>
      <c r="O35" s="411" t="s">
        <v>120</v>
      </c>
      <c r="P35" s="412">
        <v>2020</v>
      </c>
      <c r="Q35" s="412">
        <f>P35+1</f>
        <v>2021</v>
      </c>
      <c r="R35" s="412">
        <f>Q35+1</f>
        <v>2022</v>
      </c>
      <c r="S35" s="412">
        <f>R35+1</f>
        <v>2023</v>
      </c>
      <c r="T35" s="412">
        <f>S35+1</f>
        <v>2024</v>
      </c>
      <c r="U35" s="412">
        <f>T35+1</f>
        <v>2025</v>
      </c>
      <c r="V35" s="122"/>
      <c r="W35" s="122"/>
      <c r="X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1" ht="15" customHeight="1">
      <c r="A36" s="22"/>
      <c r="B36" s="422">
        <f>B35+1</f>
        <v>2022</v>
      </c>
      <c r="C36" s="423">
        <v>17258.400000000001</v>
      </c>
      <c r="D36" s="423">
        <v>48654</v>
      </c>
      <c r="E36" s="423">
        <v>77112</v>
      </c>
      <c r="F36" s="423">
        <v>85374</v>
      </c>
      <c r="G36" s="423"/>
      <c r="H36" s="423"/>
      <c r="I36" s="231"/>
      <c r="J36" s="231"/>
      <c r="K36" s="231"/>
      <c r="L36" s="18"/>
      <c r="M36" s="31"/>
      <c r="N36" s="122"/>
      <c r="O36" s="413">
        <v>2020</v>
      </c>
      <c r="P36" s="414">
        <f t="shared" ref="P36:U36" si="3">P24+C43</f>
        <v>100123.2</v>
      </c>
      <c r="Q36" s="414">
        <f t="shared" si="3"/>
        <v>131580</v>
      </c>
      <c r="R36" s="414">
        <f t="shared" si="3"/>
        <v>173073.6</v>
      </c>
      <c r="S36" s="414">
        <f t="shared" si="3"/>
        <v>176623.2</v>
      </c>
      <c r="T36" s="414">
        <f t="shared" si="3"/>
        <v>194126.4</v>
      </c>
      <c r="U36" s="414">
        <f t="shared" si="3"/>
        <v>213465.60000000001</v>
      </c>
      <c r="V36" s="122"/>
      <c r="W36" s="122"/>
      <c r="X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1:51" ht="15" customHeight="1">
      <c r="A37" s="22"/>
      <c r="B37" s="422">
        <f>B36+1</f>
        <v>2023</v>
      </c>
      <c r="C37" s="423">
        <v>7488.2280975341801</v>
      </c>
      <c r="D37" s="423">
        <v>25093.530326843262</v>
      </c>
      <c r="E37" s="423">
        <v>41025.930534362793</v>
      </c>
      <c r="F37" s="423"/>
      <c r="G37" s="423"/>
      <c r="H37" s="423"/>
      <c r="I37" s="231"/>
      <c r="J37" s="231"/>
      <c r="K37" s="231"/>
      <c r="L37" s="18"/>
      <c r="M37" s="31"/>
      <c r="N37" s="122"/>
      <c r="O37" s="413">
        <f>O36+1</f>
        <v>2021</v>
      </c>
      <c r="P37" s="414"/>
      <c r="Q37" s="414">
        <f>Q25+C44</f>
        <v>84604.107395019528</v>
      </c>
      <c r="R37" s="414">
        <f>R25+D44</f>
        <v>112115.95649902345</v>
      </c>
      <c r="S37" s="414">
        <f>S25+E44</f>
        <v>130939.85325439453</v>
      </c>
      <c r="T37" s="414">
        <f>T25+F44</f>
        <v>141489.50967773437</v>
      </c>
      <c r="U37" s="414">
        <f>U25+G44</f>
        <v>146350.62587280275</v>
      </c>
      <c r="V37" s="122"/>
      <c r="W37" s="122"/>
      <c r="X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1:51" ht="15" customHeight="1">
      <c r="A38" s="22"/>
      <c r="B38" s="422">
        <f>B37+1</f>
        <v>2024</v>
      </c>
      <c r="C38" s="423">
        <v>6104.7</v>
      </c>
      <c r="D38" s="423">
        <v>19535.04</v>
      </c>
      <c r="E38" s="423"/>
      <c r="F38" s="423"/>
      <c r="G38" s="423"/>
      <c r="H38" s="423"/>
      <c r="I38" s="231"/>
      <c r="J38" s="231"/>
      <c r="K38" s="231"/>
      <c r="L38" s="18"/>
      <c r="M38" s="31"/>
      <c r="N38" s="122"/>
      <c r="O38" s="413">
        <f>O37+1</f>
        <v>2022</v>
      </c>
      <c r="P38" s="414"/>
      <c r="Q38" s="414"/>
      <c r="R38" s="414">
        <f>R26+C45</f>
        <v>51040.800000000003</v>
      </c>
      <c r="S38" s="414">
        <f>S26+D45</f>
        <v>73715.399999999994</v>
      </c>
      <c r="T38" s="414">
        <f>T26+E45</f>
        <v>96206.399999999994</v>
      </c>
      <c r="U38" s="414">
        <f>U26+F45</f>
        <v>95104.8</v>
      </c>
      <c r="V38" s="122"/>
      <c r="W38" s="122"/>
      <c r="X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1:51" ht="15" customHeight="1">
      <c r="A39" s="22"/>
      <c r="B39" s="422">
        <f>B38+1</f>
        <v>2025</v>
      </c>
      <c r="C39" s="423">
        <v>17772.480456542969</v>
      </c>
      <c r="D39" s="423"/>
      <c r="E39" s="423"/>
      <c r="F39" s="423"/>
      <c r="G39" s="423"/>
      <c r="H39" s="423"/>
      <c r="I39" s="231"/>
      <c r="J39" s="231"/>
      <c r="K39" s="231"/>
      <c r="L39" s="18"/>
      <c r="M39" s="31"/>
      <c r="N39" s="122"/>
      <c r="O39" s="413">
        <f>O38+1</f>
        <v>2023</v>
      </c>
      <c r="P39" s="414"/>
      <c r="Q39" s="414"/>
      <c r="R39" s="414"/>
      <c r="S39" s="414">
        <f>S27+C46</f>
        <v>32820.744427490237</v>
      </c>
      <c r="T39" s="414">
        <f>T27+D46</f>
        <v>49948.074650573733</v>
      </c>
      <c r="U39" s="414">
        <f>U27+E46</f>
        <v>58551.570762634277</v>
      </c>
      <c r="V39" s="122"/>
      <c r="W39" s="122"/>
      <c r="X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1:51" ht="15" customHeight="1">
      <c r="A40" s="22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18"/>
      <c r="M40" s="31"/>
      <c r="N40" s="122"/>
      <c r="O40" s="413">
        <f>O39+1</f>
        <v>2024</v>
      </c>
      <c r="P40" s="414"/>
      <c r="Q40" s="414"/>
      <c r="R40" s="414"/>
      <c r="S40" s="414"/>
      <c r="T40" s="414">
        <f>T28+C47</f>
        <v>27878.13</v>
      </c>
      <c r="U40" s="414">
        <f>U28+D47</f>
        <v>39070.080000000002</v>
      </c>
      <c r="V40" s="122"/>
      <c r="W40" s="122"/>
      <c r="X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1:51" ht="15" customHeight="1">
      <c r="A41" s="22"/>
      <c r="B41" s="418" t="s">
        <v>541</v>
      </c>
      <c r="C41" s="419" t="s">
        <v>544</v>
      </c>
      <c r="D41" s="75"/>
      <c r="E41" s="75" t="s">
        <v>543</v>
      </c>
      <c r="F41" s="75"/>
      <c r="G41" s="75"/>
      <c r="H41" s="75"/>
      <c r="I41" s="328" t="s">
        <v>545</v>
      </c>
      <c r="J41" s="251" t="s">
        <v>546</v>
      </c>
      <c r="K41" s="231"/>
      <c r="L41" s="18"/>
      <c r="M41" s="31"/>
      <c r="N41" s="122"/>
      <c r="O41" s="413">
        <f>O40+1</f>
        <v>2025</v>
      </c>
      <c r="P41" s="414"/>
      <c r="Q41" s="414"/>
      <c r="R41" s="414"/>
      <c r="S41" s="414"/>
      <c r="T41" s="414"/>
      <c r="U41" s="414">
        <f>U29+C48</f>
        <v>33767.712867431641</v>
      </c>
      <c r="V41" s="122"/>
      <c r="W41" s="122"/>
      <c r="X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1:51" ht="15" customHeight="1">
      <c r="A42" s="22"/>
      <c r="B42" s="420" t="s">
        <v>120</v>
      </c>
      <c r="C42" s="421">
        <v>12</v>
      </c>
      <c r="D42" s="421">
        <v>24</v>
      </c>
      <c r="E42" s="421">
        <v>36</v>
      </c>
      <c r="F42" s="421">
        <v>48</v>
      </c>
      <c r="G42" s="421">
        <v>60</v>
      </c>
      <c r="H42" s="421">
        <v>72</v>
      </c>
      <c r="I42" s="231"/>
      <c r="J42" s="231"/>
      <c r="K42" s="231"/>
      <c r="L42" s="18"/>
      <c r="M42" s="31"/>
      <c r="N42" s="122"/>
      <c r="O42" s="428"/>
      <c r="P42" s="428">
        <f t="shared" ref="P42:U42" si="4">SUM(P36:P41)</f>
        <v>100123.2</v>
      </c>
      <c r="Q42" s="428">
        <f t="shared" si="4"/>
        <v>216184.10739501953</v>
      </c>
      <c r="R42" s="428">
        <f t="shared" si="4"/>
        <v>336230.35649902344</v>
      </c>
      <c r="S42" s="428">
        <f t="shared" si="4"/>
        <v>414099.19768188481</v>
      </c>
      <c r="T42" s="428">
        <f t="shared" si="4"/>
        <v>509648.51432830811</v>
      </c>
      <c r="U42" s="428">
        <f t="shared" si="4"/>
        <v>586310.38950286875</v>
      </c>
      <c r="V42" s="122"/>
      <c r="W42" s="122"/>
      <c r="X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1:51" ht="15" customHeight="1">
      <c r="A43" s="22"/>
      <c r="B43" s="422">
        <f t="shared" ref="B43:B48" si="5">B34</f>
        <v>2020</v>
      </c>
      <c r="C43" s="423">
        <v>64872</v>
      </c>
      <c r="D43" s="423">
        <v>51897.599999999999</v>
      </c>
      <c r="E43" s="423">
        <v>39657.599999999999</v>
      </c>
      <c r="F43" s="423">
        <v>25459.200000000001</v>
      </c>
      <c r="G43" s="423">
        <v>22766.400000000001</v>
      </c>
      <c r="H43" s="423">
        <v>0</v>
      </c>
      <c r="I43" s="231"/>
      <c r="J43" s="231"/>
      <c r="K43" s="231"/>
      <c r="L43" s="18"/>
      <c r="M43" s="31"/>
      <c r="N43" s="122"/>
      <c r="O43" s="378" t="s">
        <v>559</v>
      </c>
      <c r="P43" s="378">
        <f t="shared" ref="P43:U43" si="6">P42-O42</f>
        <v>100123.2</v>
      </c>
      <c r="Q43" s="378">
        <f t="shared" si="6"/>
        <v>116060.90739501953</v>
      </c>
      <c r="R43" s="378">
        <f t="shared" si="6"/>
        <v>120046.24910400392</v>
      </c>
      <c r="S43" s="378">
        <f t="shared" si="6"/>
        <v>77868.841182861361</v>
      </c>
      <c r="T43" s="378">
        <f t="shared" si="6"/>
        <v>95549.316646423307</v>
      </c>
      <c r="U43" s="378">
        <f t="shared" si="6"/>
        <v>76661.875174560642</v>
      </c>
      <c r="V43" s="122"/>
      <c r="W43" s="122"/>
      <c r="X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1:51" ht="15" customHeight="1">
      <c r="A44" s="22"/>
      <c r="B44" s="422">
        <f t="shared" si="5"/>
        <v>2021</v>
      </c>
      <c r="C44" s="423">
        <v>65780.210639648431</v>
      </c>
      <c r="D44" s="423">
        <v>47576.88190917969</v>
      </c>
      <c r="E44" s="423">
        <v>31648.96927001953</v>
      </c>
      <c r="F44" s="423">
        <v>21099.312846679688</v>
      </c>
      <c r="G44" s="423">
        <v>18617.040747070314</v>
      </c>
      <c r="H44" s="423"/>
      <c r="I44" s="231"/>
      <c r="J44" s="231"/>
      <c r="K44" s="231"/>
      <c r="L44" s="18"/>
      <c r="M44" s="31"/>
      <c r="N44" s="122"/>
      <c r="O44" s="122" t="s">
        <v>557</v>
      </c>
      <c r="P44" s="413">
        <v>2020</v>
      </c>
      <c r="Q44" s="413">
        <f>P44+1</f>
        <v>2021</v>
      </c>
      <c r="R44" s="413">
        <f>Q44+1</f>
        <v>2022</v>
      </c>
      <c r="S44" s="413">
        <f>R44+1</f>
        <v>2023</v>
      </c>
      <c r="T44" s="413">
        <f>S44+1</f>
        <v>2024</v>
      </c>
      <c r="U44" s="413">
        <f>T44+1</f>
        <v>2025</v>
      </c>
      <c r="V44" s="122"/>
      <c r="W44" s="122"/>
      <c r="X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1:51" ht="15" customHeight="1">
      <c r="A45" s="22"/>
      <c r="B45" s="422">
        <f t="shared" si="5"/>
        <v>2022</v>
      </c>
      <c r="C45" s="423">
        <v>33782.400000000001</v>
      </c>
      <c r="D45" s="423">
        <v>25061.4</v>
      </c>
      <c r="E45" s="423">
        <v>19094.400000000001</v>
      </c>
      <c r="F45" s="423">
        <v>9730.7999999999993</v>
      </c>
      <c r="G45" s="423"/>
      <c r="H45" s="423"/>
      <c r="I45" s="231"/>
      <c r="J45" s="231"/>
      <c r="K45" s="231"/>
      <c r="L45" s="18"/>
      <c r="M45" s="31"/>
      <c r="N45" s="122"/>
      <c r="O45" s="413" t="e">
        <f>#REF!+1</f>
        <v>#REF!</v>
      </c>
      <c r="P45" s="414"/>
      <c r="Q45" s="414" t="e">
        <f>#REF!</f>
        <v>#REF!</v>
      </c>
      <c r="R45" s="414" t="e">
        <f>#REF!</f>
        <v>#REF!</v>
      </c>
      <c r="S45" s="414" t="e">
        <f>#REF!</f>
        <v>#REF!</v>
      </c>
      <c r="T45" s="414" t="e">
        <f>#REF!</f>
        <v>#REF!</v>
      </c>
      <c r="U45" s="414" t="e">
        <f>#REF!</f>
        <v>#REF!</v>
      </c>
      <c r="V45" s="122"/>
      <c r="W45" s="122"/>
      <c r="X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1:51" ht="15" customHeight="1">
      <c r="A46" s="22"/>
      <c r="B46" s="422">
        <f t="shared" si="5"/>
        <v>2023</v>
      </c>
      <c r="C46" s="423">
        <v>25332.516329956055</v>
      </c>
      <c r="D46" s="423">
        <v>24854.544323730468</v>
      </c>
      <c r="E46" s="423">
        <v>17525.640228271484</v>
      </c>
      <c r="F46" s="423"/>
      <c r="G46" s="423"/>
      <c r="H46" s="423"/>
      <c r="I46" s="231"/>
      <c r="J46" s="231"/>
      <c r="K46" s="231"/>
      <c r="L46" s="18"/>
      <c r="M46" s="31"/>
      <c r="N46" s="122"/>
      <c r="O46" s="413" t="e">
        <f>O45+1</f>
        <v>#REF!</v>
      </c>
      <c r="P46" s="414"/>
      <c r="Q46" s="414"/>
      <c r="R46" s="414" t="e">
        <f>#REF!</f>
        <v>#REF!</v>
      </c>
      <c r="S46" s="414" t="e">
        <f>#REF!</f>
        <v>#REF!</v>
      </c>
      <c r="T46" s="414" t="e">
        <f>#REF!</f>
        <v>#REF!</v>
      </c>
      <c r="U46" s="414" t="e">
        <f>#REF!</f>
        <v>#REF!</v>
      </c>
      <c r="V46" s="122"/>
      <c r="W46" s="122"/>
      <c r="X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1:51" ht="15" customHeight="1">
      <c r="A47" s="22"/>
      <c r="B47" s="422">
        <f t="shared" si="5"/>
        <v>2024</v>
      </c>
      <c r="C47" s="423">
        <v>21773.43</v>
      </c>
      <c r="D47" s="423">
        <v>19535.04</v>
      </c>
      <c r="E47" s="423"/>
      <c r="F47" s="423"/>
      <c r="G47" s="423"/>
      <c r="H47" s="423"/>
      <c r="I47" s="231"/>
      <c r="J47" s="231"/>
      <c r="K47" s="231"/>
      <c r="L47" s="18"/>
      <c r="M47" s="31"/>
      <c r="N47" s="122"/>
      <c r="O47" s="413" t="e">
        <f>O46+1</f>
        <v>#REF!</v>
      </c>
      <c r="P47" s="414"/>
      <c r="Q47" s="414"/>
      <c r="R47" s="414"/>
      <c r="S47" s="414" t="e">
        <f>#REF!</f>
        <v>#REF!</v>
      </c>
      <c r="T47" s="414" t="e">
        <f>#REF!</f>
        <v>#REF!</v>
      </c>
      <c r="U47" s="414" t="e">
        <f>#REF!</f>
        <v>#REF!</v>
      </c>
      <c r="V47" s="122"/>
      <c r="W47" s="122"/>
      <c r="X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1:51" ht="15" customHeight="1">
      <c r="A48" s="22"/>
      <c r="B48" s="422">
        <f t="shared" si="5"/>
        <v>2025</v>
      </c>
      <c r="C48" s="423">
        <v>15995.232410888671</v>
      </c>
      <c r="D48" s="423"/>
      <c r="E48" s="423"/>
      <c r="F48" s="423"/>
      <c r="G48" s="423"/>
      <c r="H48" s="423"/>
      <c r="I48" s="231"/>
      <c r="J48" s="231"/>
      <c r="K48" s="231"/>
      <c r="L48" s="18"/>
      <c r="M48" s="31"/>
      <c r="N48" s="122"/>
      <c r="O48" s="413" t="e">
        <f>O47+1</f>
        <v>#REF!</v>
      </c>
      <c r="P48" s="414"/>
      <c r="Q48" s="414"/>
      <c r="R48" s="414"/>
      <c r="S48" s="414"/>
      <c r="T48" s="414" t="e">
        <f>#REF!</f>
        <v>#REF!</v>
      </c>
      <c r="U48" s="414" t="e">
        <f>#REF!</f>
        <v>#REF!</v>
      </c>
      <c r="V48" s="122"/>
      <c r="W48" s="122"/>
      <c r="X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1:51" ht="15" customHeight="1">
      <c r="A49" s="22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18"/>
      <c r="M49" s="31"/>
      <c r="N49" s="122"/>
      <c r="O49" s="413" t="e">
        <f>O48+1</f>
        <v>#REF!</v>
      </c>
      <c r="P49" s="414"/>
      <c r="Q49" s="414"/>
      <c r="R49" s="414"/>
      <c r="S49" s="414"/>
      <c r="T49" s="414"/>
      <c r="U49" s="414" t="e">
        <f>#REF!</f>
        <v>#REF!</v>
      </c>
      <c r="V49" s="122"/>
      <c r="W49" s="122"/>
      <c r="X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1:51" ht="15" customHeight="1">
      <c r="A50" s="22"/>
      <c r="B50" s="418" t="s">
        <v>541</v>
      </c>
      <c r="C50" s="419" t="s">
        <v>547</v>
      </c>
      <c r="D50" s="75"/>
      <c r="E50" s="75" t="s">
        <v>543</v>
      </c>
      <c r="F50" s="75"/>
      <c r="G50" s="75"/>
      <c r="H50" s="75"/>
      <c r="I50" s="231"/>
      <c r="J50" s="231"/>
      <c r="K50" s="231"/>
      <c r="L50" s="18"/>
      <c r="M50" s="31"/>
      <c r="N50" s="122"/>
      <c r="O50" s="428"/>
      <c r="P50" s="428">
        <f t="shared" ref="P50:U50" si="7">SUM(P45:P49)</f>
        <v>0</v>
      </c>
      <c r="Q50" s="428" t="e">
        <f t="shared" si="7"/>
        <v>#REF!</v>
      </c>
      <c r="R50" s="428" t="e">
        <f t="shared" si="7"/>
        <v>#REF!</v>
      </c>
      <c r="S50" s="428" t="e">
        <f t="shared" si="7"/>
        <v>#REF!</v>
      </c>
      <c r="T50" s="428" t="e">
        <f t="shared" si="7"/>
        <v>#REF!</v>
      </c>
      <c r="U50" s="428" t="e">
        <f t="shared" si="7"/>
        <v>#REF!</v>
      </c>
      <c r="V50" s="122"/>
      <c r="W50" s="122"/>
      <c r="X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1:51" ht="15" customHeight="1">
      <c r="A51" s="22"/>
      <c r="B51" s="420" t="s">
        <v>120</v>
      </c>
      <c r="C51" s="421">
        <v>12</v>
      </c>
      <c r="D51" s="421">
        <v>24</v>
      </c>
      <c r="E51" s="421">
        <v>36</v>
      </c>
      <c r="F51" s="421">
        <v>48</v>
      </c>
      <c r="G51" s="421">
        <v>60</v>
      </c>
      <c r="H51" s="421">
        <v>72</v>
      </c>
      <c r="I51" s="231"/>
      <c r="J51" s="231"/>
      <c r="K51" s="231"/>
      <c r="L51" s="18"/>
      <c r="M51" s="31"/>
      <c r="N51" s="122"/>
      <c r="O51" s="378" t="s">
        <v>556</v>
      </c>
      <c r="P51" s="378">
        <f t="shared" ref="P51:U51" si="8">P50-O50</f>
        <v>0</v>
      </c>
      <c r="Q51" s="378" t="e">
        <f t="shared" si="8"/>
        <v>#REF!</v>
      </c>
      <c r="R51" s="378" t="e">
        <f t="shared" si="8"/>
        <v>#REF!</v>
      </c>
      <c r="S51" s="378" t="e">
        <f t="shared" si="8"/>
        <v>#REF!</v>
      </c>
      <c r="T51" s="378" t="e">
        <f t="shared" si="8"/>
        <v>#REF!</v>
      </c>
      <c r="U51" s="378" t="e">
        <f t="shared" si="8"/>
        <v>#REF!</v>
      </c>
      <c r="V51" s="122"/>
      <c r="W51" s="122"/>
      <c r="X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1:51" ht="15" customHeight="1">
      <c r="A52" s="22"/>
      <c r="B52" s="422">
        <f t="shared" ref="B52:B57" si="9">B43</f>
        <v>2020</v>
      </c>
      <c r="C52" s="423">
        <v>45.9</v>
      </c>
      <c r="D52" s="423">
        <v>107.1</v>
      </c>
      <c r="E52" s="423">
        <v>154.69999999999999</v>
      </c>
      <c r="F52" s="423">
        <v>198.9</v>
      </c>
      <c r="G52" s="423">
        <v>252.28</v>
      </c>
      <c r="H52" s="423">
        <v>280.16000000000003</v>
      </c>
      <c r="I52" s="231"/>
      <c r="J52" s="231"/>
      <c r="K52" s="231"/>
      <c r="L52" s="18"/>
      <c r="M52" s="31"/>
      <c r="N52" s="122"/>
      <c r="O52" s="122" t="s">
        <v>557</v>
      </c>
      <c r="P52" s="413">
        <v>2020</v>
      </c>
      <c r="Q52" s="413">
        <f>P52+1</f>
        <v>2021</v>
      </c>
      <c r="R52" s="413">
        <f>Q52+1</f>
        <v>2022</v>
      </c>
      <c r="S52" s="413">
        <f>R52+1</f>
        <v>2023</v>
      </c>
      <c r="T52" s="413">
        <f>S52+1</f>
        <v>2024</v>
      </c>
      <c r="U52" s="413">
        <f>T52+1</f>
        <v>2025</v>
      </c>
      <c r="V52" s="122"/>
      <c r="W52" s="122"/>
      <c r="X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</row>
    <row r="53" spans="1:51" ht="15" customHeight="1">
      <c r="A53" s="22"/>
      <c r="B53" s="422">
        <f t="shared" si="9"/>
        <v>2021</v>
      </c>
      <c r="C53" s="423">
        <v>31.28</v>
      </c>
      <c r="D53" s="423">
        <v>107.1</v>
      </c>
      <c r="E53" s="423">
        <v>178.5</v>
      </c>
      <c r="F53" s="423">
        <v>210.12</v>
      </c>
      <c r="G53" s="423">
        <v>240.89</v>
      </c>
      <c r="H53" s="423"/>
      <c r="I53" s="231"/>
      <c r="J53" s="231"/>
      <c r="K53" s="231"/>
      <c r="L53" s="18"/>
      <c r="M53" s="31"/>
      <c r="N53" s="122"/>
      <c r="O53"/>
      <c r="P53"/>
      <c r="Q53"/>
      <c r="R53"/>
      <c r="S53"/>
      <c r="T53"/>
      <c r="U53"/>
      <c r="V53" s="122"/>
      <c r="W53" s="122"/>
      <c r="X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</row>
    <row r="54" spans="1:51" ht="15" customHeight="1">
      <c r="A54" s="22"/>
      <c r="B54" s="422">
        <f t="shared" si="9"/>
        <v>2022</v>
      </c>
      <c r="C54" s="423">
        <v>35.36</v>
      </c>
      <c r="D54" s="423">
        <v>87.55</v>
      </c>
      <c r="E54" s="423">
        <v>130.56</v>
      </c>
      <c r="F54" s="423">
        <v>170</v>
      </c>
      <c r="G54" s="423"/>
      <c r="H54" s="423"/>
      <c r="I54" s="231"/>
      <c r="J54" s="231"/>
      <c r="K54" s="231"/>
      <c r="L54" s="18"/>
      <c r="M54" s="31"/>
      <c r="N54" s="122"/>
      <c r="O54" s="409" t="s">
        <v>541</v>
      </c>
      <c r="P54" s="410" t="s">
        <v>558</v>
      </c>
      <c r="Q54" s="82"/>
      <c r="R54" s="82" t="s">
        <v>555</v>
      </c>
      <c r="S54" s="82"/>
      <c r="T54" s="82"/>
      <c r="U54" s="82"/>
      <c r="V54" s="122"/>
      <c r="W54" s="122"/>
      <c r="X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</row>
    <row r="55" spans="1:51" ht="15" customHeight="1">
      <c r="A55" s="22"/>
      <c r="B55" s="422">
        <f t="shared" si="9"/>
        <v>2023</v>
      </c>
      <c r="C55" s="423">
        <v>15.98</v>
      </c>
      <c r="D55" s="423">
        <v>55.59</v>
      </c>
      <c r="E55" s="423">
        <v>90.1</v>
      </c>
      <c r="F55" s="423"/>
      <c r="G55" s="423"/>
      <c r="H55" s="423"/>
      <c r="I55" s="231"/>
      <c r="J55" s="231"/>
      <c r="K55" s="231"/>
      <c r="L55" s="18"/>
      <c r="M55" s="31"/>
      <c r="N55" s="122"/>
      <c r="O55" s="411" t="s">
        <v>120</v>
      </c>
      <c r="P55" s="412">
        <v>2020</v>
      </c>
      <c r="Q55" s="412">
        <f>P55+1</f>
        <v>2021</v>
      </c>
      <c r="R55" s="412">
        <f>Q55+1</f>
        <v>2022</v>
      </c>
      <c r="S55" s="412">
        <f>R55+1</f>
        <v>2023</v>
      </c>
      <c r="T55" s="412">
        <f>S55+1</f>
        <v>2024</v>
      </c>
      <c r="U55" s="412">
        <f>T55+1</f>
        <v>2025</v>
      </c>
      <c r="V55" s="122"/>
      <c r="W55" s="122"/>
      <c r="X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</row>
    <row r="56" spans="1:51" ht="15" customHeight="1">
      <c r="A56" s="22"/>
      <c r="B56" s="422">
        <f t="shared" si="9"/>
        <v>2024</v>
      </c>
      <c r="C56" s="423">
        <v>18.53</v>
      </c>
      <c r="D56" s="423">
        <v>55.08</v>
      </c>
      <c r="E56" s="423"/>
      <c r="F56" s="423"/>
      <c r="G56" s="423"/>
      <c r="H56" s="423"/>
      <c r="I56" s="231"/>
      <c r="J56" s="231"/>
      <c r="K56" s="231"/>
      <c r="L56" s="18"/>
      <c r="M56" s="31"/>
      <c r="N56" s="122"/>
      <c r="O56" s="413">
        <v>2020</v>
      </c>
      <c r="P56" s="414" t="e">
        <f>#REF!+#REF!</f>
        <v>#REF!</v>
      </c>
      <c r="Q56" s="414" t="e">
        <f>#REF!+#REF!</f>
        <v>#REF!</v>
      </c>
      <c r="R56" s="414" t="e">
        <f>#REF!+#REF!</f>
        <v>#REF!</v>
      </c>
      <c r="S56" s="414" t="e">
        <f>#REF!+#REF!</f>
        <v>#REF!</v>
      </c>
      <c r="T56" s="414" t="e">
        <f>#REF!+#REF!</f>
        <v>#REF!</v>
      </c>
      <c r="U56" s="414" t="e">
        <f>#REF!+#REF!</f>
        <v>#REF!</v>
      </c>
      <c r="V56" s="122"/>
      <c r="W56" s="122"/>
      <c r="X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</row>
    <row r="57" spans="1:51" ht="15" customHeight="1">
      <c r="A57" s="22"/>
      <c r="B57" s="422">
        <f t="shared" si="9"/>
        <v>2025</v>
      </c>
      <c r="C57" s="423">
        <v>35.700000000000003</v>
      </c>
      <c r="D57" s="423"/>
      <c r="E57" s="423"/>
      <c r="F57" s="423"/>
      <c r="G57" s="423"/>
      <c r="H57" s="423"/>
      <c r="I57" s="231"/>
      <c r="J57" s="231"/>
      <c r="K57" s="231"/>
      <c r="L57" s="18"/>
      <c r="M57" s="31"/>
      <c r="N57" s="122"/>
      <c r="O57" s="413">
        <f>O56+1</f>
        <v>2021</v>
      </c>
      <c r="P57" s="414"/>
      <c r="Q57" s="414" t="e">
        <f>Q45+#REF!</f>
        <v>#REF!</v>
      </c>
      <c r="R57" s="414" t="e">
        <f>R45+#REF!</f>
        <v>#REF!</v>
      </c>
      <c r="S57" s="414" t="e">
        <f>S45+#REF!</f>
        <v>#REF!</v>
      </c>
      <c r="T57" s="414" t="e">
        <f>T45+#REF!</f>
        <v>#REF!</v>
      </c>
      <c r="U57" s="414" t="e">
        <f>U45+#REF!</f>
        <v>#REF!</v>
      </c>
      <c r="V57" s="122"/>
      <c r="W57" s="122"/>
      <c r="X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</row>
    <row r="58" spans="1:51" ht="15" customHeight="1">
      <c r="A58" s="22"/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18"/>
      <c r="M58" s="31"/>
      <c r="N58" s="122"/>
      <c r="O58" s="413">
        <f>O57+1</f>
        <v>2022</v>
      </c>
      <c r="P58" s="414"/>
      <c r="Q58" s="414"/>
      <c r="R58" s="414" t="e">
        <f>R46+#REF!</f>
        <v>#REF!</v>
      </c>
      <c r="S58" s="414" t="e">
        <f>S46+#REF!</f>
        <v>#REF!</v>
      </c>
      <c r="T58" s="414" t="e">
        <f>T46+#REF!</f>
        <v>#REF!</v>
      </c>
      <c r="U58" s="414" t="e">
        <f>U46+#REF!</f>
        <v>#REF!</v>
      </c>
      <c r="V58" s="122"/>
      <c r="W58" s="122"/>
      <c r="X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</row>
    <row r="59" spans="1:51" ht="15" customHeight="1">
      <c r="A59" s="22"/>
      <c r="B59" s="418" t="s">
        <v>541</v>
      </c>
      <c r="C59" s="419" t="s">
        <v>548</v>
      </c>
      <c r="D59" s="75"/>
      <c r="E59" s="75" t="s">
        <v>543</v>
      </c>
      <c r="F59" s="75"/>
      <c r="G59" s="75"/>
      <c r="H59" s="75"/>
      <c r="I59" s="231"/>
      <c r="J59" s="231"/>
      <c r="K59" s="231"/>
      <c r="L59" s="18"/>
      <c r="M59" s="31"/>
      <c r="N59" s="122"/>
      <c r="O59" s="413">
        <f>O58+1</f>
        <v>2023</v>
      </c>
      <c r="P59" s="414"/>
      <c r="Q59" s="414"/>
      <c r="R59" s="414"/>
      <c r="S59" s="414" t="e">
        <f>S47+#REF!</f>
        <v>#REF!</v>
      </c>
      <c r="T59" s="414" t="e">
        <f>T47+#REF!</f>
        <v>#REF!</v>
      </c>
      <c r="U59" s="414" t="e">
        <f>U47+#REF!</f>
        <v>#REF!</v>
      </c>
      <c r="V59" s="122"/>
      <c r="W59" s="122"/>
      <c r="X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</row>
    <row r="60" spans="1:51" ht="15" customHeight="1">
      <c r="A60" s="22"/>
      <c r="B60" s="420" t="s">
        <v>120</v>
      </c>
      <c r="C60" s="421">
        <v>12</v>
      </c>
      <c r="D60" s="421">
        <v>24</v>
      </c>
      <c r="E60" s="421">
        <v>36</v>
      </c>
      <c r="F60" s="421">
        <v>48</v>
      </c>
      <c r="G60" s="421">
        <v>60</v>
      </c>
      <c r="H60" s="421">
        <v>72</v>
      </c>
      <c r="I60" s="231"/>
      <c r="J60" s="231"/>
      <c r="K60" s="231"/>
      <c r="L60" s="18"/>
      <c r="M60" s="31"/>
      <c r="N60" s="122"/>
      <c r="O60" s="413">
        <f>O59+1</f>
        <v>2024</v>
      </c>
      <c r="P60" s="414"/>
      <c r="Q60" s="414"/>
      <c r="R60" s="414"/>
      <c r="S60" s="414"/>
      <c r="T60" s="414" t="e">
        <f>T48+#REF!</f>
        <v>#REF!</v>
      </c>
      <c r="U60" s="414" t="e">
        <f>U48+#REF!</f>
        <v>#REF!</v>
      </c>
      <c r="V60" s="122"/>
      <c r="W60" s="122"/>
      <c r="X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</row>
    <row r="61" spans="1:51" ht="15" customHeight="1">
      <c r="A61" s="22"/>
      <c r="B61" s="422">
        <f t="shared" ref="B61:B66" si="10">B52</f>
        <v>2020</v>
      </c>
      <c r="C61" s="423">
        <v>79.900000000000006</v>
      </c>
      <c r="D61" s="423">
        <v>70.72</v>
      </c>
      <c r="E61" s="423">
        <v>51.51</v>
      </c>
      <c r="F61" s="423">
        <v>37.4</v>
      </c>
      <c r="G61" s="423">
        <v>36.380000000000003</v>
      </c>
      <c r="H61" s="423">
        <v>0</v>
      </c>
      <c r="I61" s="231"/>
      <c r="J61" s="231"/>
      <c r="K61" s="231"/>
      <c r="L61" s="18"/>
      <c r="M61" s="31"/>
      <c r="N61" s="122"/>
      <c r="O61" s="413">
        <f>O60+1</f>
        <v>2025</v>
      </c>
      <c r="P61" s="414"/>
      <c r="Q61" s="414"/>
      <c r="R61" s="414"/>
      <c r="S61" s="414"/>
      <c r="T61" s="414"/>
      <c r="U61" s="414" t="e">
        <f>U49+#REF!</f>
        <v>#REF!</v>
      </c>
      <c r="V61" s="122"/>
      <c r="W61" s="122"/>
      <c r="X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</row>
    <row r="62" spans="1:51" ht="15" customHeight="1">
      <c r="A62" s="22"/>
      <c r="B62" s="422">
        <f t="shared" si="10"/>
        <v>2021</v>
      </c>
      <c r="C62" s="423">
        <v>104.04</v>
      </c>
      <c r="D62" s="423">
        <v>83.3</v>
      </c>
      <c r="E62" s="423">
        <v>51</v>
      </c>
      <c r="F62" s="423">
        <v>31.28</v>
      </c>
      <c r="G62" s="423">
        <v>36.04</v>
      </c>
      <c r="H62" s="423"/>
      <c r="I62" s="231"/>
      <c r="J62" s="231"/>
      <c r="K62" s="231"/>
      <c r="L62" s="18"/>
      <c r="M62" s="31"/>
      <c r="N62" s="122"/>
      <c r="O62" s="428"/>
      <c r="P62" s="428" t="e">
        <f t="shared" ref="P62:U62" si="11">SUM(P56:P61)</f>
        <v>#REF!</v>
      </c>
      <c r="Q62" s="428" t="e">
        <f t="shared" si="11"/>
        <v>#REF!</v>
      </c>
      <c r="R62" s="428" t="e">
        <f t="shared" si="11"/>
        <v>#REF!</v>
      </c>
      <c r="S62" s="428" t="e">
        <f t="shared" si="11"/>
        <v>#REF!</v>
      </c>
      <c r="T62" s="428" t="e">
        <f t="shared" si="11"/>
        <v>#REF!</v>
      </c>
      <c r="U62" s="428" t="e">
        <f t="shared" si="11"/>
        <v>#REF!</v>
      </c>
      <c r="V62" s="122"/>
      <c r="W62" s="122"/>
      <c r="X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</row>
    <row r="63" spans="1:51" ht="15" customHeight="1">
      <c r="A63" s="22"/>
      <c r="B63" s="422">
        <f t="shared" si="10"/>
        <v>2022</v>
      </c>
      <c r="C63" s="423">
        <v>61.2</v>
      </c>
      <c r="D63" s="423">
        <v>56.1</v>
      </c>
      <c r="E63" s="423">
        <v>34.68</v>
      </c>
      <c r="F63" s="423">
        <v>16.489999999999998</v>
      </c>
      <c r="G63" s="423"/>
      <c r="H63" s="423"/>
      <c r="I63" s="231"/>
      <c r="J63" s="231"/>
      <c r="K63" s="231"/>
      <c r="L63" s="18"/>
      <c r="M63" s="31"/>
      <c r="N63" s="122"/>
      <c r="O63" s="378" t="s">
        <v>559</v>
      </c>
      <c r="P63" s="378" t="e">
        <f t="shared" ref="P63:U63" si="12">P62-O62</f>
        <v>#REF!</v>
      </c>
      <c r="Q63" s="378" t="e">
        <f t="shared" si="12"/>
        <v>#REF!</v>
      </c>
      <c r="R63" s="378" t="e">
        <f t="shared" si="12"/>
        <v>#REF!</v>
      </c>
      <c r="S63" s="378" t="e">
        <f t="shared" si="12"/>
        <v>#REF!</v>
      </c>
      <c r="T63" s="378" t="e">
        <f t="shared" si="12"/>
        <v>#REF!</v>
      </c>
      <c r="U63" s="378" t="e">
        <f t="shared" si="12"/>
        <v>#REF!</v>
      </c>
      <c r="V63" s="122"/>
      <c r="W63" s="122"/>
      <c r="X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</row>
    <row r="64" spans="1:51" ht="15" customHeight="1">
      <c r="A64" s="22"/>
      <c r="B64" s="422">
        <f t="shared" si="10"/>
        <v>2023</v>
      </c>
      <c r="C64" s="423">
        <v>46.92</v>
      </c>
      <c r="D64" s="423">
        <v>53.55</v>
      </c>
      <c r="E64" s="423">
        <v>31.28</v>
      </c>
      <c r="F64" s="423"/>
      <c r="G64" s="423"/>
      <c r="H64" s="423"/>
      <c r="I64" s="231"/>
      <c r="J64" s="231"/>
      <c r="K64" s="231"/>
      <c r="L64" s="18"/>
      <c r="M64" s="31"/>
      <c r="N64" s="122"/>
      <c r="O64" s="122" t="s">
        <v>557</v>
      </c>
      <c r="P64" s="413">
        <v>2020</v>
      </c>
      <c r="Q64" s="413">
        <f>P64+1</f>
        <v>2021</v>
      </c>
      <c r="R64" s="413">
        <f>Q64+1</f>
        <v>2022</v>
      </c>
      <c r="S64" s="413">
        <f>R64+1</f>
        <v>2023</v>
      </c>
      <c r="T64" s="413">
        <f>S64+1</f>
        <v>2024</v>
      </c>
      <c r="U64" s="413">
        <f>T64+1</f>
        <v>2025</v>
      </c>
      <c r="V64" s="122"/>
      <c r="W64" s="122"/>
      <c r="X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</row>
    <row r="65" spans="1:51" ht="15" customHeight="1">
      <c r="A65" s="22"/>
      <c r="B65" s="422">
        <f t="shared" si="10"/>
        <v>2024</v>
      </c>
      <c r="C65" s="423">
        <v>52.02</v>
      </c>
      <c r="D65" s="423">
        <v>45.9</v>
      </c>
      <c r="E65" s="423"/>
      <c r="F65" s="423"/>
      <c r="G65" s="423"/>
      <c r="H65" s="423"/>
      <c r="I65" s="231"/>
      <c r="J65" s="231"/>
      <c r="K65" s="231"/>
      <c r="L65" s="18"/>
      <c r="M65" s="31"/>
      <c r="N65"/>
      <c r="O65"/>
      <c r="P65"/>
      <c r="Q65"/>
      <c r="R65"/>
      <c r="S65"/>
      <c r="T65"/>
      <c r="U65"/>
      <c r="V65"/>
      <c r="W65"/>
      <c r="X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</row>
    <row r="66" spans="1:51" ht="15" customHeight="1">
      <c r="A66" s="22"/>
      <c r="B66" s="422">
        <f t="shared" si="10"/>
        <v>2025</v>
      </c>
      <c r="C66" s="423">
        <v>36.380000000000003</v>
      </c>
      <c r="D66" s="423"/>
      <c r="E66" s="423"/>
      <c r="F66" s="423"/>
      <c r="G66" s="423"/>
      <c r="H66" s="423"/>
      <c r="I66" s="231"/>
      <c r="J66" s="231"/>
      <c r="K66" s="231"/>
      <c r="L66" s="18"/>
      <c r="M66" s="31"/>
      <c r="N66"/>
      <c r="O66"/>
      <c r="P66"/>
      <c r="Q66"/>
      <c r="R66"/>
      <c r="S66"/>
      <c r="T66"/>
      <c r="U66"/>
      <c r="V66"/>
      <c r="W66"/>
      <c r="X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</row>
    <row r="67" spans="1:51" ht="15" customHeight="1">
      <c r="A67" s="22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8"/>
      <c r="M67" s="31"/>
      <c r="N67"/>
      <c r="O67"/>
      <c r="P67"/>
      <c r="Q67"/>
      <c r="R67"/>
      <c r="S67"/>
      <c r="T67"/>
      <c r="U67"/>
      <c r="V67"/>
      <c r="W67"/>
      <c r="X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</row>
    <row r="68" spans="1:51" ht="15" customHeight="1">
      <c r="A68" s="22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8"/>
      <c r="M68" s="31"/>
      <c r="N68"/>
      <c r="O68"/>
      <c r="P68"/>
      <c r="Q68"/>
      <c r="R68"/>
      <c r="S68"/>
      <c r="T68"/>
      <c r="U68"/>
      <c r="V68"/>
      <c r="W68"/>
      <c r="X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</row>
    <row r="69" spans="1:51" ht="15" customHeight="1">
      <c r="A69" s="22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8"/>
      <c r="M69" s="31"/>
      <c r="N69"/>
      <c r="O69"/>
      <c r="P69"/>
      <c r="Q69"/>
      <c r="R69"/>
      <c r="S69"/>
      <c r="T69"/>
      <c r="U69"/>
      <c r="V69"/>
      <c r="W69"/>
      <c r="X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</row>
    <row r="70" spans="1:51" ht="15" customHeight="1">
      <c r="A70" s="22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8"/>
      <c r="M70" s="31"/>
      <c r="N70"/>
      <c r="O70"/>
      <c r="P70"/>
      <c r="Q70"/>
      <c r="R70"/>
      <c r="S70"/>
      <c r="T70"/>
      <c r="U70"/>
      <c r="V70"/>
      <c r="W70"/>
      <c r="X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</row>
    <row r="71" spans="1:51" ht="15" customHeight="1">
      <c r="A71" s="22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8"/>
      <c r="M71" s="31"/>
      <c r="N71"/>
      <c r="O71"/>
      <c r="P71"/>
      <c r="Q71"/>
      <c r="R71"/>
      <c r="S71"/>
      <c r="T71"/>
      <c r="U71"/>
      <c r="V71"/>
      <c r="W71"/>
      <c r="X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</row>
    <row r="72" spans="1:51" ht="15" customHeight="1">
      <c r="A72" s="22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8"/>
      <c r="M72" s="31"/>
      <c r="N72"/>
      <c r="O72"/>
      <c r="P72"/>
      <c r="Q72"/>
      <c r="R72"/>
      <c r="S72"/>
      <c r="T72"/>
      <c r="U72"/>
      <c r="V72"/>
      <c r="W72"/>
      <c r="X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</row>
    <row r="73" spans="1:51" ht="15" customHeight="1">
      <c r="A73" s="22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8"/>
      <c r="M73" s="31"/>
      <c r="N73"/>
      <c r="O73"/>
      <c r="P73"/>
      <c r="Q73"/>
      <c r="R73"/>
      <c r="S73"/>
      <c r="T73"/>
      <c r="U73"/>
      <c r="V73"/>
      <c r="W73"/>
      <c r="X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</row>
    <row r="74" spans="1:51" ht="15" customHeight="1">
      <c r="A74" s="22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8"/>
      <c r="M74" s="31"/>
      <c r="N74"/>
      <c r="O74"/>
      <c r="P74"/>
      <c r="Q74"/>
      <c r="R74"/>
      <c r="S74"/>
      <c r="T74"/>
      <c r="U74"/>
      <c r="V74"/>
      <c r="W74"/>
      <c r="X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</row>
    <row r="75" spans="1:51" ht="15" customHeight="1">
      <c r="A75" s="22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8"/>
      <c r="M75" s="31"/>
      <c r="N75"/>
      <c r="O75"/>
      <c r="P75"/>
      <c r="Q75"/>
      <c r="R75"/>
      <c r="S75"/>
      <c r="T75"/>
      <c r="U75"/>
      <c r="V75"/>
      <c r="W75"/>
      <c r="X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</row>
    <row r="76" spans="1:51" ht="15" customHeight="1">
      <c r="A76" s="22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8"/>
      <c r="M76" s="31"/>
      <c r="N76"/>
      <c r="O76"/>
      <c r="P76"/>
      <c r="Q76"/>
      <c r="R76"/>
      <c r="S76"/>
      <c r="T76"/>
      <c r="U76"/>
      <c r="V76"/>
      <c r="W76"/>
      <c r="X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</row>
    <row r="77" spans="1:51" ht="15" customHeight="1">
      <c r="A77" s="22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8"/>
      <c r="M77" s="31"/>
      <c r="N77"/>
      <c r="O77"/>
      <c r="P77"/>
      <c r="Q77"/>
      <c r="R77"/>
      <c r="S77"/>
      <c r="T77"/>
      <c r="U77"/>
      <c r="V77"/>
      <c r="W77"/>
      <c r="X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</row>
    <row r="78" spans="1:51" ht="15" customHeight="1">
      <c r="A78" s="22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8"/>
      <c r="M78" s="31"/>
      <c r="N78"/>
      <c r="O78"/>
      <c r="P78"/>
      <c r="Q78"/>
      <c r="R78"/>
      <c r="S78"/>
      <c r="T78"/>
      <c r="U78"/>
      <c r="V78"/>
      <c r="W78"/>
      <c r="X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</row>
    <row r="79" spans="1:51" ht="15" customHeight="1">
      <c r="A79" s="22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8"/>
      <c r="M79" s="31"/>
      <c r="N79"/>
      <c r="O79"/>
      <c r="P79"/>
      <c r="Q79"/>
      <c r="R79"/>
      <c r="S79"/>
      <c r="T79"/>
      <c r="U79"/>
      <c r="V79"/>
      <c r="W79"/>
      <c r="X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</row>
    <row r="80" spans="1:51" ht="15" customHeight="1">
      <c r="A80" s="22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8"/>
      <c r="M80" s="31"/>
      <c r="N80"/>
      <c r="O80"/>
      <c r="P80"/>
      <c r="Q80"/>
      <c r="R80"/>
      <c r="S80"/>
      <c r="T80"/>
      <c r="U80"/>
      <c r="V80"/>
      <c r="W80"/>
      <c r="X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</row>
    <row r="81" spans="1:51" ht="15" customHeight="1">
      <c r="A81" s="22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8"/>
      <c r="M81" s="31"/>
      <c r="N81"/>
      <c r="O81"/>
      <c r="P81"/>
      <c r="Q81"/>
      <c r="R81"/>
      <c r="S81"/>
      <c r="T81"/>
      <c r="U81"/>
      <c r="V81"/>
      <c r="W81"/>
      <c r="X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</row>
    <row r="82" spans="1:51" ht="15" customHeight="1" thickBot="1">
      <c r="A82" s="24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3"/>
      <c r="M82" s="31"/>
      <c r="N82"/>
      <c r="O82"/>
      <c r="P82"/>
      <c r="Q82"/>
      <c r="R82"/>
      <c r="S82"/>
      <c r="T82"/>
      <c r="U82"/>
      <c r="V82"/>
      <c r="W82"/>
      <c r="X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</row>
    <row r="83" spans="1:51" ht="15" customHeight="1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/>
      <c r="O83"/>
      <c r="P83"/>
      <c r="Q83"/>
      <c r="R83"/>
      <c r="S83"/>
      <c r="T83"/>
      <c r="U83"/>
      <c r="V83"/>
      <c r="W83"/>
      <c r="X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</row>
    <row r="84" spans="1:51" ht="15" customHeight="1">
      <c r="M84" s="31"/>
      <c r="N84"/>
      <c r="O84"/>
      <c r="P84"/>
      <c r="Q84"/>
      <c r="R84"/>
      <c r="S84"/>
      <c r="T84"/>
      <c r="U84"/>
      <c r="V84"/>
      <c r="W84"/>
      <c r="X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</row>
    <row r="85" spans="1:51" ht="15" customHeight="1">
      <c r="M85" s="31"/>
      <c r="N85" s="48"/>
      <c r="O85" s="1"/>
      <c r="P85"/>
      <c r="Q85"/>
      <c r="R85"/>
      <c r="S85"/>
      <c r="T85"/>
      <c r="U85"/>
      <c r="V85"/>
      <c r="W85"/>
      <c r="X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</row>
    <row r="86" spans="1:51" ht="15" customHeight="1">
      <c r="M86" s="31"/>
      <c r="N86"/>
      <c r="O86"/>
      <c r="P86"/>
      <c r="Q86"/>
      <c r="R86"/>
      <c r="S86"/>
      <c r="T86"/>
      <c r="U86"/>
      <c r="V86"/>
      <c r="W86"/>
      <c r="X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</row>
    <row r="87" spans="1:51" ht="15" customHeight="1">
      <c r="M87" s="31"/>
      <c r="N87" s="48"/>
      <c r="O87"/>
      <c r="P87"/>
      <c r="Q87"/>
      <c r="R87"/>
      <c r="S87"/>
      <c r="T87"/>
      <c r="U87"/>
      <c r="V87"/>
      <c r="W87"/>
      <c r="X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</row>
    <row r="88" spans="1:51" ht="15" customHeight="1">
      <c r="M88" s="31"/>
      <c r="N88"/>
      <c r="O88"/>
      <c r="P88"/>
      <c r="Q88"/>
      <c r="R88"/>
      <c r="S88"/>
      <c r="T88"/>
      <c r="U88"/>
      <c r="V88"/>
      <c r="W88"/>
      <c r="X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</row>
    <row r="89" spans="1:51" ht="15" customHeight="1">
      <c r="M89" s="31"/>
      <c r="N89"/>
      <c r="O89"/>
      <c r="P89"/>
      <c r="Q89"/>
      <c r="R89"/>
      <c r="S89"/>
      <c r="T89"/>
      <c r="U89"/>
      <c r="V89"/>
      <c r="W89"/>
      <c r="X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</row>
    <row r="90" spans="1:51" ht="15" customHeight="1">
      <c r="M90" s="31"/>
      <c r="N90"/>
      <c r="O90"/>
      <c r="P90"/>
      <c r="Q90"/>
      <c r="R90"/>
      <c r="S90"/>
      <c r="T90"/>
      <c r="U90"/>
      <c r="V90"/>
      <c r="W90"/>
      <c r="X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</row>
    <row r="91" spans="1:51" ht="15" customHeight="1">
      <c r="M91" s="31"/>
      <c r="N91"/>
      <c r="O91"/>
      <c r="P91"/>
      <c r="Q91"/>
      <c r="R91"/>
      <c r="S91"/>
      <c r="T91"/>
      <c r="U91"/>
      <c r="V91"/>
      <c r="W91"/>
      <c r="X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</row>
    <row r="92" spans="1:51" ht="15" customHeight="1">
      <c r="M92" s="31"/>
      <c r="N92"/>
      <c r="O92"/>
      <c r="P92"/>
      <c r="Q92"/>
      <c r="R92"/>
      <c r="S92"/>
      <c r="T92"/>
      <c r="U92"/>
      <c r="V92"/>
      <c r="W92"/>
      <c r="X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</row>
    <row r="93" spans="1:51" ht="15" customHeight="1">
      <c r="M93" s="31"/>
      <c r="N93"/>
      <c r="O93"/>
      <c r="P93"/>
      <c r="Q93"/>
      <c r="R93"/>
      <c r="S93"/>
      <c r="T93"/>
      <c r="U93"/>
      <c r="V93"/>
      <c r="W93"/>
      <c r="X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</row>
    <row r="94" spans="1:51" ht="15" customHeight="1">
      <c r="M94" s="31"/>
      <c r="N94"/>
      <c r="O94"/>
      <c r="P94"/>
      <c r="Q94"/>
      <c r="R94"/>
      <c r="S94"/>
      <c r="T94"/>
      <c r="U94"/>
      <c r="V94"/>
      <c r="W94"/>
      <c r="X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</row>
    <row r="95" spans="1:51" ht="15" customHeight="1">
      <c r="M95" s="31"/>
      <c r="N95"/>
      <c r="O95"/>
      <c r="P95"/>
      <c r="Q95"/>
      <c r="R95"/>
      <c r="S95"/>
      <c r="T95"/>
      <c r="U95"/>
      <c r="V95"/>
      <c r="W95"/>
      <c r="X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</row>
    <row r="96" spans="1:51" ht="15" customHeight="1">
      <c r="M96" s="31"/>
      <c r="N96"/>
      <c r="O96"/>
      <c r="P96"/>
      <c r="Q96"/>
      <c r="R96"/>
      <c r="S96"/>
      <c r="T96"/>
      <c r="U96"/>
      <c r="V96"/>
      <c r="W96"/>
      <c r="X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</row>
    <row r="97" spans="2:51" ht="15" customHeight="1">
      <c r="M97" s="31"/>
      <c r="N97"/>
      <c r="O97"/>
      <c r="P97"/>
      <c r="Q97"/>
      <c r="R97"/>
      <c r="S97"/>
      <c r="T97"/>
      <c r="U97"/>
      <c r="V97"/>
      <c r="W97"/>
      <c r="X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</row>
    <row r="98" spans="2:51" ht="15" customHeight="1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/>
      <c r="O98"/>
      <c r="P98"/>
      <c r="Q98"/>
      <c r="R98"/>
      <c r="S98"/>
      <c r="T98"/>
      <c r="U98"/>
      <c r="V98"/>
      <c r="W98"/>
      <c r="X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</row>
    <row r="99" spans="2:51" ht="15" customHeight="1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/>
      <c r="O99"/>
      <c r="P99"/>
      <c r="Q99"/>
      <c r="R99"/>
      <c r="S99"/>
      <c r="T99"/>
      <c r="U99"/>
      <c r="V99"/>
      <c r="W99"/>
      <c r="X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</row>
    <row r="100" spans="2:51" ht="15" customHeight="1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/>
      <c r="O100"/>
      <c r="P100"/>
      <c r="Q100"/>
      <c r="R100"/>
      <c r="S100"/>
      <c r="T100"/>
      <c r="U100"/>
      <c r="V100"/>
      <c r="W100"/>
      <c r="X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</row>
    <row r="101" spans="2:51" ht="15" customHeight="1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/>
      <c r="O101"/>
      <c r="P101"/>
      <c r="Q101"/>
      <c r="R101"/>
      <c r="S101"/>
      <c r="T101"/>
      <c r="U101"/>
      <c r="V101"/>
      <c r="W101"/>
      <c r="X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</row>
    <row r="102" spans="2:51" ht="15" customHeight="1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/>
      <c r="O102"/>
      <c r="P102"/>
      <c r="Q102"/>
      <c r="R102"/>
      <c r="S102"/>
      <c r="T102"/>
      <c r="U102"/>
      <c r="V102"/>
      <c r="W102"/>
      <c r="X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</row>
    <row r="103" spans="2:51" ht="15" customHeight="1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</row>
    <row r="104" spans="2:51" ht="15" customHeight="1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</row>
    <row r="105" spans="2:51" ht="15" customHeight="1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</row>
    <row r="106" spans="2:51" ht="15" customHeight="1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</row>
    <row r="107" spans="2:51" ht="15" customHeight="1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</row>
    <row r="108" spans="2:51" ht="15" customHeight="1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</row>
    <row r="109" spans="2:51" ht="15" customHeight="1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</row>
    <row r="110" spans="2:51" ht="15" customHeight="1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</row>
    <row r="111" spans="2:51" ht="15" customHeight="1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</row>
    <row r="112" spans="2:51" ht="15" customHeight="1"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</row>
    <row r="113" spans="2:51" ht="15" customHeight="1"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</row>
    <row r="114" spans="2:51" ht="15" customHeight="1"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</row>
    <row r="115" spans="2:51" ht="15" customHeight="1"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</row>
    <row r="116" spans="2:51" ht="15" customHeight="1"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</row>
    <row r="117" spans="2:51" ht="15" customHeight="1"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</row>
    <row r="118" spans="2:51" ht="15" customHeight="1"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</row>
    <row r="119" spans="2:51" ht="15" customHeight="1"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</row>
    <row r="120" spans="2:51" ht="15" customHeight="1"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</row>
    <row r="121" spans="2:51" ht="15" customHeight="1"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</row>
    <row r="122" spans="2:51" ht="15" customHeight="1"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</row>
    <row r="123" spans="2:51" ht="15" customHeight="1"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</row>
    <row r="124" spans="2:51" ht="15" customHeight="1"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</row>
    <row r="125" spans="2:51" ht="15" customHeight="1"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</row>
    <row r="126" spans="2:51" ht="15" customHeight="1"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</row>
    <row r="127" spans="2:51" ht="15" customHeight="1"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</row>
    <row r="128" spans="2:51" ht="15" customHeight="1"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</row>
    <row r="129" spans="2:51" ht="15" customHeight="1"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</row>
    <row r="130" spans="2:51" ht="15" customHeight="1"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</row>
    <row r="131" spans="2:51" ht="15" customHeight="1"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</row>
    <row r="132" spans="2:51" ht="15" customHeight="1"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</row>
    <row r="133" spans="2:51" ht="15" customHeight="1"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</row>
    <row r="134" spans="2:51" ht="15" customHeight="1"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</row>
    <row r="135" spans="2:51" ht="15" customHeight="1"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</row>
    <row r="136" spans="2:51" ht="15" customHeight="1"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</row>
    <row r="137" spans="2:51" ht="15" customHeight="1"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</row>
    <row r="138" spans="2:51" ht="15" customHeight="1"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</row>
    <row r="139" spans="2:51" ht="15" customHeight="1"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</row>
    <row r="140" spans="2:51" ht="15" customHeight="1"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</row>
    <row r="141" spans="2:51" ht="15" customHeight="1"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</row>
    <row r="142" spans="2:51" ht="15" customHeight="1"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</row>
    <row r="143" spans="2:51" ht="15" customHeight="1"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</row>
    <row r="144" spans="2:51" ht="15" customHeight="1"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</row>
    <row r="145" spans="2:51" ht="15" customHeight="1"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</row>
    <row r="146" spans="2:51" ht="15" customHeight="1"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</row>
    <row r="147" spans="2:51" ht="15" customHeight="1"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</row>
    <row r="148" spans="2:51" ht="15" customHeight="1"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</row>
    <row r="149" spans="2:51" ht="15" customHeight="1"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</row>
    <row r="150" spans="2:51" ht="15" customHeight="1"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</row>
    <row r="151" spans="2:51" ht="15" customHeight="1"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</row>
    <row r="152" spans="2:51" ht="15" customHeight="1"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</row>
    <row r="153" spans="2:51" ht="15" customHeight="1"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</row>
  </sheetData>
  <mergeCells count="1">
    <mergeCell ref="K1:L1"/>
  </mergeCells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H106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12" width="11.140625" style="21" customWidth="1"/>
    <col min="13" max="14" width="9.140625" style="21"/>
    <col min="15" max="15" width="11.85546875" style="21" customWidth="1"/>
    <col min="16" max="16" width="12.7109375" style="21" customWidth="1"/>
    <col min="17" max="16384" width="9.140625" style="21"/>
  </cols>
  <sheetData>
    <row r="1" spans="1:34">
      <c r="A1" s="7">
        <v>21</v>
      </c>
      <c r="B1" s="27" t="s">
        <v>12</v>
      </c>
      <c r="C1" s="20"/>
      <c r="D1" s="20"/>
      <c r="E1" s="20"/>
      <c r="F1" s="20"/>
      <c r="G1" s="20"/>
      <c r="H1" s="20"/>
      <c r="I1" s="20"/>
      <c r="J1" s="20"/>
      <c r="K1" s="854" t="s">
        <v>24</v>
      </c>
      <c r="L1" s="855"/>
      <c r="N1" s="1" t="s">
        <v>33</v>
      </c>
      <c r="O1" s="52" t="str">
        <f>VLOOKUP(A1,'Point Grid'!$L$8:$T$54,9,FALSE)</f>
        <v>Reserving - Chap 7: Development Method</v>
      </c>
      <c r="P1"/>
      <c r="Q1"/>
      <c r="R1"/>
      <c r="S1"/>
      <c r="T1"/>
      <c r="U1"/>
      <c r="V1"/>
      <c r="W1"/>
      <c r="X1"/>
    </row>
    <row r="2" spans="1:34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23"/>
      <c r="N2" s="1"/>
      <c r="O2"/>
      <c r="P2"/>
      <c r="Q2"/>
      <c r="R2"/>
      <c r="S2"/>
      <c r="T2"/>
      <c r="U2"/>
      <c r="V2"/>
      <c r="W2"/>
      <c r="X2"/>
    </row>
    <row r="3" spans="1:34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8"/>
      <c r="M3" s="31"/>
      <c r="N3" s="48" t="s">
        <v>2</v>
      </c>
      <c r="O3" s="196" t="s">
        <v>577</v>
      </c>
      <c r="P3" s="435" t="s">
        <v>578</v>
      </c>
      <c r="Q3" s="1" t="s">
        <v>579</v>
      </c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34">
      <c r="A4" s="9">
        <f>INDEX('Point Grid'!B:B,MATCH(A1,'Point Grid'!A:A,0))</f>
        <v>2.25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31"/>
      <c r="N4" s="48"/>
      <c r="O4" s="37"/>
      <c r="P4" s="37"/>
      <c r="Q4" s="159" t="s">
        <v>120</v>
      </c>
      <c r="R4" s="436" t="str">
        <f>C10&amp;"-"&amp;D10</f>
        <v>12-24</v>
      </c>
      <c r="S4" s="437" t="str">
        <f>D10&amp;"-"&amp;E10</f>
        <v>24-36</v>
      </c>
      <c r="T4" s="438" t="str">
        <f>E10&amp;"-"&amp;F10</f>
        <v>36-48</v>
      </c>
      <c r="U4" s="439" t="s">
        <v>580</v>
      </c>
      <c r="V4" s="37"/>
      <c r="W4" s="440" t="s">
        <v>581</v>
      </c>
      <c r="X4" s="201"/>
      <c r="Y4" s="201"/>
      <c r="Z4" s="201"/>
      <c r="AA4" s="202"/>
    </row>
    <row r="5" spans="1:34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8"/>
      <c r="M5" s="31"/>
      <c r="N5" s="48"/>
      <c r="O5" s="37"/>
      <c r="P5" s="37"/>
      <c r="Q5" s="222">
        <f>B11</f>
        <v>2020</v>
      </c>
      <c r="R5" s="441">
        <f>D11/C11</f>
        <v>1.5</v>
      </c>
      <c r="S5" s="442">
        <f>E11/D11</f>
        <v>1.2</v>
      </c>
      <c r="T5" s="443">
        <f>F11/E11</f>
        <v>1.1000000000000001</v>
      </c>
      <c r="U5" s="37"/>
      <c r="V5" s="37"/>
      <c r="W5" s="444" t="s">
        <v>582</v>
      </c>
      <c r="X5" s="169"/>
      <c r="Y5" s="169"/>
      <c r="Z5" s="169"/>
      <c r="AA5" s="170"/>
    </row>
    <row r="6" spans="1:34">
      <c r="A6" s="25" t="s">
        <v>2</v>
      </c>
      <c r="B6" s="178" t="s">
        <v>598</v>
      </c>
      <c r="C6" s="178"/>
      <c r="D6" s="178"/>
      <c r="E6" s="178"/>
      <c r="F6" s="477"/>
      <c r="G6" s="477"/>
      <c r="H6" s="477"/>
      <c r="I6" s="486">
        <f>B14</f>
        <v>2023</v>
      </c>
      <c r="J6" s="178"/>
      <c r="K6" s="17"/>
      <c r="L6" s="18"/>
      <c r="M6" s="31"/>
      <c r="N6" s="48"/>
      <c r="O6" s="158"/>
      <c r="P6" s="158"/>
      <c r="Q6" s="222">
        <f>Q5+1</f>
        <v>2021</v>
      </c>
      <c r="R6" s="445">
        <f>D12/C12</f>
        <v>1.5003236245954692</v>
      </c>
      <c r="S6" s="446">
        <f>E12/D12</f>
        <v>1.2001725625539259</v>
      </c>
      <c r="T6" s="447"/>
      <c r="U6" s="158"/>
      <c r="V6" s="158"/>
      <c r="W6" s="448" t="s">
        <v>583</v>
      </c>
      <c r="X6" s="172"/>
      <c r="Y6" s="172"/>
      <c r="Z6" s="172"/>
      <c r="AA6" s="173"/>
    </row>
    <row r="7" spans="1:34" ht="15.75" thickBot="1">
      <c r="A7" s="9">
        <f>INDEX('Point Grid'!$C$8:$I$54,MATCH($A$1,'Point Grid'!$A$8:$A$54,0),MATCH(A6,'Point Grid'!$C$7:$I$7,0))</f>
        <v>1</v>
      </c>
      <c r="B7" s="178"/>
      <c r="C7" s="178"/>
      <c r="D7" s="178"/>
      <c r="E7" s="178"/>
      <c r="F7" s="178"/>
      <c r="G7" s="178"/>
      <c r="H7" s="178"/>
      <c r="I7" s="178"/>
      <c r="J7" s="178"/>
      <c r="K7" s="17"/>
      <c r="L7" s="18"/>
      <c r="M7" s="31"/>
      <c r="N7" s="48"/>
      <c r="O7" s="158"/>
      <c r="P7" s="158"/>
      <c r="Q7" s="222">
        <f>Q6+1</f>
        <v>2022</v>
      </c>
      <c r="R7" s="445">
        <f>D13/C13</f>
        <v>1.5003142677561283</v>
      </c>
      <c r="S7" s="449"/>
      <c r="T7" s="447"/>
      <c r="U7" s="158"/>
      <c r="V7" s="158"/>
      <c r="W7" s="158"/>
      <c r="X7" s="158"/>
      <c r="Y7" s="158"/>
      <c r="Z7" s="158"/>
      <c r="AA7" s="158"/>
    </row>
    <row r="8" spans="1:34" ht="15.75" thickBot="1">
      <c r="A8" s="5"/>
      <c r="B8" s="178"/>
      <c r="C8" s="178"/>
      <c r="D8" s="178"/>
      <c r="E8" s="178"/>
      <c r="F8" s="178"/>
      <c r="G8" s="178"/>
      <c r="H8" s="178"/>
      <c r="I8" s="178"/>
      <c r="J8" s="178"/>
      <c r="K8" s="28"/>
      <c r="L8" s="18"/>
      <c r="M8" s="31"/>
      <c r="N8"/>
      <c r="O8" s="158"/>
      <c r="P8" s="158"/>
      <c r="Q8" s="224">
        <f>Q7+1</f>
        <v>2023</v>
      </c>
      <c r="R8" s="450"/>
      <c r="S8" s="451"/>
      <c r="T8" s="452"/>
      <c r="U8" s="158"/>
      <c r="V8" s="158"/>
      <c r="W8" s="158"/>
      <c r="X8" s="158"/>
      <c r="Y8" s="158"/>
      <c r="Z8" s="158"/>
      <c r="AA8" s="158"/>
    </row>
    <row r="9" spans="1:34">
      <c r="A9" s="25"/>
      <c r="B9" s="229" t="s">
        <v>574</v>
      </c>
      <c r="C9" s="178"/>
      <c r="D9" s="178"/>
      <c r="E9" s="178"/>
      <c r="F9" s="178"/>
      <c r="G9" s="178"/>
      <c r="H9" s="178"/>
      <c r="I9" s="178"/>
      <c r="J9" s="178"/>
      <c r="K9" s="17"/>
      <c r="L9" s="18"/>
      <c r="M9" s="31"/>
      <c r="N9" s="48"/>
      <c r="O9" s="196" t="s">
        <v>584</v>
      </c>
      <c r="P9" s="435" t="s">
        <v>578</v>
      </c>
      <c r="Q9" s="453" t="s">
        <v>585</v>
      </c>
      <c r="R9" s="454">
        <f>AVERAGE(R5:R7)</f>
        <v>1.5002126307838661</v>
      </c>
      <c r="S9" s="455">
        <f>AVERAGE(S5:S7)</f>
        <v>1.2000862812769628</v>
      </c>
      <c r="T9" s="456">
        <f>AVERAGE(T5:T7)</f>
        <v>1.1000000000000001</v>
      </c>
      <c r="U9" s="457">
        <v>1</v>
      </c>
      <c r="V9" s="194"/>
      <c r="W9" s="192"/>
      <c r="X9" s="194"/>
      <c r="Y9" s="192"/>
      <c r="Z9" s="158"/>
      <c r="AA9" s="158"/>
    </row>
    <row r="10" spans="1:34">
      <c r="A10" s="25"/>
      <c r="B10" s="319" t="s">
        <v>120</v>
      </c>
      <c r="C10" s="478">
        <v>12</v>
      </c>
      <c r="D10" s="478">
        <v>24</v>
      </c>
      <c r="E10" s="478">
        <v>36</v>
      </c>
      <c r="F10" s="479">
        <v>48</v>
      </c>
      <c r="G10" s="178"/>
      <c r="H10" s="178"/>
      <c r="I10" s="178"/>
      <c r="J10" s="178"/>
      <c r="K10" s="154"/>
      <c r="L10" s="18"/>
      <c r="M10" s="31"/>
      <c r="N10"/>
      <c r="O10" s="158"/>
      <c r="P10" s="158"/>
      <c r="Q10" s="37"/>
      <c r="R10" s="37"/>
      <c r="S10" s="37"/>
      <c r="T10" s="37"/>
      <c r="U10" s="37"/>
      <c r="V10" s="158"/>
      <c r="W10" s="158"/>
      <c r="X10" s="158"/>
      <c r="Y10" s="158"/>
      <c r="Z10" s="158"/>
      <c r="AA10" s="158"/>
    </row>
    <row r="11" spans="1:34">
      <c r="A11" s="25"/>
      <c r="B11" s="480">
        <v>2020</v>
      </c>
      <c r="C11" s="180">
        <v>1500</v>
      </c>
      <c r="D11" s="180">
        <f>ROUND(C11*1.5,0)</f>
        <v>2250</v>
      </c>
      <c r="E11" s="180">
        <f>ROUND(D11*1.2,0)</f>
        <v>2700</v>
      </c>
      <c r="F11" s="481">
        <f>ROUND(E11*1.1,0)</f>
        <v>2970</v>
      </c>
      <c r="G11" s="178"/>
      <c r="H11" s="229"/>
      <c r="I11" s="178"/>
      <c r="J11" s="178"/>
      <c r="K11" s="154"/>
      <c r="L11" s="18"/>
      <c r="M11" s="31"/>
      <c r="N11"/>
      <c r="O11" s="196" t="s">
        <v>586</v>
      </c>
      <c r="P11" s="435" t="s">
        <v>578</v>
      </c>
      <c r="Q11" s="1" t="s">
        <v>587</v>
      </c>
      <c r="R11" s="1"/>
      <c r="S11" s="37"/>
      <c r="T11" s="37"/>
      <c r="U11" s="37"/>
      <c r="V11" s="158"/>
      <c r="W11" s="305"/>
      <c r="X11" s="158"/>
      <c r="Y11" s="158"/>
      <c r="Z11" s="305"/>
      <c r="AA11" s="158"/>
    </row>
    <row r="12" spans="1:34">
      <c r="A12" s="25"/>
      <c r="B12" s="480">
        <f>B11+1</f>
        <v>2021</v>
      </c>
      <c r="C12" s="180">
        <f>ROUND(C11*1.03,0)</f>
        <v>1545</v>
      </c>
      <c r="D12" s="180">
        <f>ROUND(C12*1.5,0)</f>
        <v>2318</v>
      </c>
      <c r="E12" s="482">
        <f>ROUND(D12*1.2,0)</f>
        <v>2782</v>
      </c>
      <c r="F12" s="181"/>
      <c r="G12" s="178"/>
      <c r="H12" s="229"/>
      <c r="I12" s="229"/>
      <c r="J12" s="229"/>
      <c r="K12" s="154"/>
      <c r="L12" s="18"/>
      <c r="M12" s="31"/>
      <c r="N12"/>
      <c r="O12" s="158"/>
      <c r="P12" s="158"/>
      <c r="Q12" s="458"/>
      <c r="R12" s="459" t="str">
        <f>C10&amp;"-ult"</f>
        <v>12-ult</v>
      </c>
      <c r="S12" s="460" t="str">
        <f>D10&amp;"-ult"</f>
        <v>24-ult</v>
      </c>
      <c r="T12" s="460" t="str">
        <f>E10&amp;"-ult"</f>
        <v>36-ult</v>
      </c>
      <c r="U12" s="461" t="str">
        <f>F10&amp;"-ult"</f>
        <v>48-ult</v>
      </c>
      <c r="V12" s="158"/>
      <c r="W12" s="158"/>
      <c r="X12" s="158"/>
      <c r="Y12" s="305"/>
      <c r="Z12" s="158"/>
      <c r="AA12" s="158"/>
      <c r="AH12" s="158"/>
    </row>
    <row r="13" spans="1:34">
      <c r="A13" s="25"/>
      <c r="B13" s="480">
        <f>B12+1</f>
        <v>2022</v>
      </c>
      <c r="C13" s="180">
        <f>ROUND(C12*1.03,0)</f>
        <v>1591</v>
      </c>
      <c r="D13" s="482">
        <f>ROUND(C13*1.5,0)</f>
        <v>2387</v>
      </c>
      <c r="E13" s="180"/>
      <c r="F13" s="181"/>
      <c r="G13" s="178"/>
      <c r="H13" s="229"/>
      <c r="I13" s="229"/>
      <c r="J13" s="229"/>
      <c r="K13" s="154"/>
      <c r="L13" s="18"/>
      <c r="M13" s="31"/>
      <c r="N13" s="48"/>
      <c r="O13" s="158"/>
      <c r="P13" s="158"/>
      <c r="Q13" s="462" t="s">
        <v>588</v>
      </c>
      <c r="R13" s="463">
        <f>S13*R9</f>
        <v>1.9804230569223533</v>
      </c>
      <c r="S13" s="463">
        <f>T13*S9</f>
        <v>1.3200949094046592</v>
      </c>
      <c r="T13" s="463">
        <f>U13*T9</f>
        <v>1.1000000000000001</v>
      </c>
      <c r="U13" s="464">
        <f>U9</f>
        <v>1</v>
      </c>
      <c r="V13" s="465" t="s">
        <v>589</v>
      </c>
      <c r="W13" s="466" t="s">
        <v>590</v>
      </c>
      <c r="X13" s="282"/>
      <c r="Y13" s="227"/>
      <c r="Z13" s="158"/>
      <c r="AA13" s="158"/>
      <c r="AH13" s="158"/>
    </row>
    <row r="14" spans="1:34">
      <c r="A14" s="25"/>
      <c r="B14" s="483">
        <f>B13+1</f>
        <v>2023</v>
      </c>
      <c r="C14" s="484">
        <f>ROUND(C13*1.03,0)</f>
        <v>1639</v>
      </c>
      <c r="D14" s="187"/>
      <c r="E14" s="187"/>
      <c r="F14" s="188"/>
      <c r="G14" s="178"/>
      <c r="H14" s="229"/>
      <c r="I14" s="229"/>
      <c r="J14" s="229"/>
      <c r="K14" s="154"/>
      <c r="L14" s="18"/>
      <c r="M14" s="31"/>
      <c r="N14"/>
      <c r="O14" s="158"/>
      <c r="P14" s="158"/>
      <c r="Q14" s="37"/>
      <c r="R14" s="37"/>
      <c r="S14" s="37"/>
      <c r="T14" s="37"/>
      <c r="U14" s="37"/>
      <c r="V14" s="158"/>
      <c r="W14" s="467" t="s">
        <v>591</v>
      </c>
      <c r="X14" s="158"/>
      <c r="Y14" s="158"/>
      <c r="Z14" s="158"/>
      <c r="AA14" s="158"/>
      <c r="AH14" s="158"/>
    </row>
    <row r="15" spans="1:34">
      <c r="A15" s="25"/>
      <c r="B15" s="230"/>
      <c r="C15" s="230"/>
      <c r="D15" s="230"/>
      <c r="E15" s="230"/>
      <c r="F15" s="230"/>
      <c r="G15" s="178"/>
      <c r="H15" s="229"/>
      <c r="I15" s="229"/>
      <c r="J15" s="229"/>
      <c r="K15" s="154"/>
      <c r="L15" s="18"/>
      <c r="M15" s="31"/>
      <c r="N15"/>
      <c r="O15" s="196" t="s">
        <v>592</v>
      </c>
      <c r="P15" s="435" t="s">
        <v>578</v>
      </c>
      <c r="Q15" s="1" t="s">
        <v>593</v>
      </c>
      <c r="R15" s="37"/>
      <c r="S15" s="37"/>
      <c r="T15" s="37"/>
      <c r="U15" s="37"/>
      <c r="V15" s="158"/>
      <c r="W15" s="158"/>
      <c r="X15" s="158"/>
      <c r="Y15" s="158"/>
      <c r="Z15" s="158"/>
      <c r="AA15" s="158"/>
      <c r="AH15" s="158"/>
    </row>
    <row r="16" spans="1:34">
      <c r="A16" s="25"/>
      <c r="B16" s="485" t="s">
        <v>575</v>
      </c>
      <c r="C16" s="230"/>
      <c r="D16" s="230"/>
      <c r="E16" s="230"/>
      <c r="F16" s="230"/>
      <c r="G16" s="178"/>
      <c r="H16" s="229"/>
      <c r="I16" s="229"/>
      <c r="J16" s="229"/>
      <c r="K16" s="154"/>
      <c r="L16" s="18"/>
      <c r="M16" s="31"/>
      <c r="N16" s="48"/>
      <c r="O16" s="158"/>
      <c r="P16" s="158"/>
      <c r="Q16" s="458"/>
      <c r="R16" s="468" t="str">
        <f>"'"&amp;RIGHT($C30,2)&amp;"@"&amp;C10</f>
        <v>'23@12</v>
      </c>
      <c r="S16" s="469" t="str">
        <f>"'"&amp;RIGHT($C29,2)&amp;"@"&amp;D10</f>
        <v>'22@24</v>
      </c>
      <c r="T16" s="469" t="str">
        <f>"'"&amp;RIGHT($C28,2)&amp;"@"&amp;E10</f>
        <v>'21@36</v>
      </c>
      <c r="U16" s="470" t="str">
        <f>"'"&amp;RIGHT($C27,2)&amp;"@"&amp;F10</f>
        <v>'20@48</v>
      </c>
      <c r="V16" s="158"/>
      <c r="W16" s="158"/>
      <c r="X16" s="158"/>
      <c r="Y16" s="158"/>
      <c r="Z16" s="158"/>
      <c r="AA16" s="158"/>
      <c r="AH16" s="158"/>
    </row>
    <row r="17" spans="1:34">
      <c r="A17" s="25"/>
      <c r="B17" s="178"/>
      <c r="C17" s="178"/>
      <c r="D17" s="178"/>
      <c r="E17" s="178"/>
      <c r="F17" s="178"/>
      <c r="G17" s="178"/>
      <c r="H17" s="178"/>
      <c r="I17" s="231"/>
      <c r="J17" s="231"/>
      <c r="K17" s="154"/>
      <c r="L17" s="18"/>
      <c r="M17" s="31"/>
      <c r="N17"/>
      <c r="O17" s="158"/>
      <c r="P17" s="158"/>
      <c r="Q17" s="471" t="s">
        <v>594</v>
      </c>
      <c r="R17" s="472">
        <f>C14</f>
        <v>1639</v>
      </c>
      <c r="S17" s="472">
        <f>D13</f>
        <v>2387</v>
      </c>
      <c r="T17" s="472">
        <f>E12</f>
        <v>2782</v>
      </c>
      <c r="U17" s="473">
        <f>F11</f>
        <v>2970</v>
      </c>
      <c r="V17" s="158"/>
      <c r="W17" s="158"/>
      <c r="X17" s="158"/>
      <c r="Y17" s="158"/>
      <c r="Z17" s="158"/>
      <c r="AA17" s="158"/>
      <c r="AH17" s="158"/>
    </row>
    <row r="18" spans="1:34" ht="15" customHeight="1">
      <c r="A18" s="25"/>
      <c r="B18" s="251" t="s">
        <v>576</v>
      </c>
      <c r="C18" s="178"/>
      <c r="D18" s="178"/>
      <c r="E18" s="178"/>
      <c r="F18" s="178"/>
      <c r="G18" s="178"/>
      <c r="H18" s="178"/>
      <c r="I18" s="231"/>
      <c r="J18" s="231"/>
      <c r="K18" s="154"/>
      <c r="L18" s="18"/>
      <c r="M18" s="31"/>
      <c r="N18"/>
      <c r="O18" s="305" t="s">
        <v>595</v>
      </c>
      <c r="P18" s="158"/>
      <c r="Q18" s="474" t="s">
        <v>596</v>
      </c>
      <c r="R18" s="475">
        <f>R17*R13</f>
        <v>3245.9133902957369</v>
      </c>
      <c r="S18" s="476">
        <f>S17*S13</f>
        <v>3151.0665487489214</v>
      </c>
      <c r="T18" s="160">
        <f>T17*T13</f>
        <v>3060.2000000000003</v>
      </c>
      <c r="U18" s="161">
        <f>U17*U13</f>
        <v>2970</v>
      </c>
      <c r="V18" s="465" t="s">
        <v>589</v>
      </c>
      <c r="W18" s="466" t="s">
        <v>597</v>
      </c>
      <c r="X18" s="282"/>
      <c r="Y18" s="227"/>
      <c r="Z18" s="158"/>
      <c r="AA18" s="158"/>
      <c r="AH18" s="218"/>
    </row>
    <row r="19" spans="1:34" ht="15" customHeight="1">
      <c r="A19" s="25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8"/>
      <c r="M19" s="31"/>
      <c r="N19"/>
      <c r="O19"/>
      <c r="P19"/>
      <c r="Q19"/>
      <c r="R19"/>
      <c r="S19"/>
      <c r="T19"/>
      <c r="U19"/>
      <c r="V19"/>
      <c r="W19"/>
      <c r="X19"/>
    </row>
    <row r="20" spans="1:34" ht="15" customHeight="1">
      <c r="A20" s="25" t="s">
        <v>3</v>
      </c>
      <c r="B20" s="17" t="s">
        <v>599</v>
      </c>
      <c r="C20" s="17"/>
      <c r="D20" s="17"/>
      <c r="E20" s="17"/>
      <c r="F20" s="17"/>
      <c r="G20" s="17"/>
      <c r="H20" s="17"/>
      <c r="I20" s="17"/>
      <c r="J20" s="17"/>
      <c r="K20" s="17"/>
      <c r="L20" s="18"/>
      <c r="M20" s="31"/>
      <c r="N20" s="48" t="s">
        <v>3</v>
      </c>
      <c r="O20" s="96" t="s">
        <v>600</v>
      </c>
      <c r="P20"/>
      <c r="Q20"/>
      <c r="R20"/>
      <c r="S20"/>
      <c r="T20"/>
      <c r="U20"/>
      <c r="V20"/>
      <c r="W20"/>
      <c r="X20"/>
    </row>
    <row r="21" spans="1:34" ht="15" customHeight="1" thickBot="1">
      <c r="A21" s="9">
        <f>INDEX('Point Grid'!$C$8:$I$54,MATCH($A$1,'Point Grid'!$A$8:$A$54,0),MATCH(A20,'Point Grid'!$C$7:$I$7,0))</f>
        <v>0.25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  <c r="M21" s="31"/>
      <c r="N21"/>
      <c r="O21"/>
      <c r="P21"/>
      <c r="Q21"/>
      <c r="R21"/>
      <c r="S21"/>
      <c r="T21"/>
      <c r="U21"/>
      <c r="V21"/>
      <c r="W21"/>
      <c r="X21"/>
    </row>
    <row r="22" spans="1:34" ht="15" customHeight="1" thickBot="1">
      <c r="A22" s="5"/>
      <c r="B22" s="17"/>
      <c r="C22" s="28"/>
      <c r="D22" s="28"/>
      <c r="E22" s="28"/>
      <c r="F22" s="28"/>
      <c r="G22" s="28"/>
      <c r="H22" s="28"/>
      <c r="I22" s="28"/>
      <c r="J22" s="28"/>
      <c r="K22" s="28"/>
      <c r="L22" s="18"/>
      <c r="M22" s="31"/>
      <c r="N22" s="48" t="s">
        <v>4</v>
      </c>
      <c r="O22" s="1" t="s">
        <v>608</v>
      </c>
      <c r="P22" s="37"/>
      <c r="Q22" s="37"/>
      <c r="R22" s="37"/>
      <c r="S22" s="37"/>
      <c r="T22" s="37"/>
      <c r="U22" s="37"/>
      <c r="V22" s="37"/>
      <c r="W22" s="37"/>
      <c r="X22" s="37"/>
    </row>
    <row r="23" spans="1:34" ht="15" customHeight="1">
      <c r="A23" s="25"/>
      <c r="B23" s="17"/>
      <c r="C23" s="28"/>
      <c r="D23" s="28"/>
      <c r="E23" s="28"/>
      <c r="F23" s="28"/>
      <c r="G23" s="28"/>
      <c r="H23" s="28"/>
      <c r="I23" s="28"/>
      <c r="J23" s="28"/>
      <c r="K23" s="28"/>
      <c r="L23" s="18"/>
      <c r="M23" s="31"/>
      <c r="N23"/>
      <c r="O23" s="37"/>
      <c r="P23" s="37"/>
      <c r="Q23" s="37"/>
      <c r="R23" s="37"/>
      <c r="S23" s="37"/>
      <c r="T23" s="37"/>
      <c r="U23" s="37"/>
      <c r="V23" s="37"/>
      <c r="W23" s="37"/>
      <c r="X23" s="37"/>
    </row>
    <row r="24" spans="1:34" ht="15" customHeight="1">
      <c r="A24" s="25" t="s">
        <v>4</v>
      </c>
      <c r="B24" s="17" t="s">
        <v>613</v>
      </c>
      <c r="C24" s="17"/>
      <c r="D24" s="17"/>
      <c r="E24" s="17"/>
      <c r="F24" s="17"/>
      <c r="G24" s="17"/>
      <c r="H24" s="17"/>
      <c r="I24" s="17"/>
      <c r="J24" s="17"/>
      <c r="K24" s="17"/>
      <c r="L24" s="18"/>
      <c r="M24" s="31"/>
      <c r="N24"/>
      <c r="O24" s="496" t="s">
        <v>609</v>
      </c>
      <c r="P24" s="37"/>
      <c r="Q24" s="37"/>
      <c r="R24" s="37"/>
      <c r="S24" s="37"/>
      <c r="T24" s="37"/>
      <c r="U24" s="37"/>
      <c r="V24" s="37"/>
      <c r="W24" s="37"/>
      <c r="X24" s="37"/>
    </row>
    <row r="25" spans="1:34" ht="15" customHeight="1" thickBot="1">
      <c r="A25" s="9">
        <f>INDEX('Point Grid'!$C$8:$I$54,MATCH($A$1,'Point Grid'!$A$8:$A$54,0),MATCH(A24,'Point Grid'!$C$7:$I$7,0))</f>
        <v>1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8"/>
      <c r="M25" s="31"/>
      <c r="N25"/>
      <c r="O25" s="37"/>
      <c r="P25" s="37"/>
      <c r="Q25" s="37"/>
      <c r="R25" s="37"/>
      <c r="S25" s="37"/>
      <c r="T25" s="37"/>
      <c r="U25" s="37"/>
      <c r="V25" s="37"/>
      <c r="W25" s="37"/>
      <c r="X25" s="37"/>
    </row>
    <row r="26" spans="1:34" ht="15" customHeight="1" thickBot="1">
      <c r="A26" s="5"/>
      <c r="B26" s="17"/>
      <c r="C26" s="487" t="s">
        <v>601</v>
      </c>
      <c r="D26" s="494">
        <v>12</v>
      </c>
      <c r="E26" s="494">
        <v>24</v>
      </c>
      <c r="F26" s="494">
        <v>36</v>
      </c>
      <c r="G26" s="494">
        <v>48</v>
      </c>
      <c r="H26" s="17"/>
      <c r="I26" s="17"/>
      <c r="J26" s="17"/>
      <c r="K26" s="17"/>
      <c r="L26" s="18"/>
      <c r="M26" s="31"/>
      <c r="N26" s="48"/>
      <c r="O26" s="37"/>
      <c r="P26" s="497" t="s">
        <v>601</v>
      </c>
      <c r="Q26" s="498" t="s">
        <v>607</v>
      </c>
      <c r="R26" s="498" t="s">
        <v>605</v>
      </c>
      <c r="S26" s="498" t="s">
        <v>606</v>
      </c>
      <c r="T26" s="37"/>
      <c r="U26" s="37"/>
      <c r="V26" s="37"/>
      <c r="W26" s="37"/>
      <c r="X26" s="37"/>
    </row>
    <row r="27" spans="1:34" ht="15" customHeight="1" thickBot="1">
      <c r="A27" s="22"/>
      <c r="B27" s="17"/>
      <c r="C27" s="487">
        <v>2020</v>
      </c>
      <c r="D27" s="488">
        <v>48.1</v>
      </c>
      <c r="E27" s="488">
        <v>141.19999999999999</v>
      </c>
      <c r="F27" s="488">
        <v>200.7</v>
      </c>
      <c r="G27" s="489">
        <v>240</v>
      </c>
      <c r="H27" s="17"/>
      <c r="I27" s="17"/>
      <c r="J27" s="17"/>
      <c r="K27" s="17"/>
      <c r="L27" s="18"/>
      <c r="M27" s="31"/>
      <c r="N27"/>
      <c r="O27" s="37"/>
      <c r="P27" s="497">
        <v>2020</v>
      </c>
      <c r="Q27" s="499">
        <v>2.9359999999999999</v>
      </c>
      <c r="R27" s="499">
        <v>1.421</v>
      </c>
      <c r="S27" s="499">
        <v>1.196</v>
      </c>
      <c r="T27" s="37"/>
      <c r="U27" s="37"/>
      <c r="V27" s="37"/>
      <c r="W27" s="37"/>
      <c r="X27" s="37"/>
    </row>
    <row r="28" spans="1:34" ht="15" customHeight="1" thickBot="1">
      <c r="A28" s="22"/>
      <c r="B28" s="17"/>
      <c r="C28" s="487">
        <v>2021</v>
      </c>
      <c r="D28" s="488">
        <v>47.4</v>
      </c>
      <c r="E28" s="488">
        <v>140.5</v>
      </c>
      <c r="F28" s="489">
        <v>201</v>
      </c>
      <c r="G28" s="492"/>
      <c r="H28" s="17"/>
      <c r="I28" s="17"/>
      <c r="J28" s="17"/>
      <c r="K28" s="17"/>
      <c r="L28" s="18"/>
      <c r="M28" s="31"/>
      <c r="N28"/>
      <c r="O28" s="1"/>
      <c r="P28" s="497">
        <v>2021</v>
      </c>
      <c r="Q28" s="499">
        <v>2.9630000000000001</v>
      </c>
      <c r="R28" s="504">
        <v>1.43</v>
      </c>
      <c r="S28" s="500"/>
      <c r="T28" s="37"/>
      <c r="U28" s="37"/>
      <c r="V28" s="37"/>
      <c r="W28" s="37"/>
      <c r="X28" s="37"/>
    </row>
    <row r="29" spans="1:34" ht="15" customHeight="1" thickBot="1">
      <c r="A29" s="22"/>
      <c r="B29" s="17"/>
      <c r="C29" s="487">
        <v>2022</v>
      </c>
      <c r="D29" s="488">
        <v>48.2</v>
      </c>
      <c r="E29" s="489">
        <v>139.6</v>
      </c>
      <c r="F29" s="490"/>
      <c r="G29" s="492"/>
      <c r="H29" s="17"/>
      <c r="I29" s="17"/>
      <c r="J29" s="17"/>
      <c r="K29" s="17"/>
      <c r="L29" s="18"/>
      <c r="M29" s="31"/>
      <c r="N29"/>
      <c r="O29" s="37"/>
      <c r="P29" s="497">
        <v>2022</v>
      </c>
      <c r="Q29" s="499">
        <v>2.8969999999999998</v>
      </c>
      <c r="R29" s="501"/>
      <c r="S29" s="502"/>
      <c r="T29" s="37"/>
      <c r="U29" s="37"/>
      <c r="V29" s="37"/>
      <c r="W29" s="37"/>
      <c r="X29" s="37"/>
    </row>
    <row r="30" spans="1:34" ht="15" customHeight="1" thickBot="1">
      <c r="A30" s="22"/>
      <c r="B30" s="17"/>
      <c r="C30" s="487">
        <v>2023</v>
      </c>
      <c r="D30" s="489">
        <v>48</v>
      </c>
      <c r="E30" s="491"/>
      <c r="F30" s="491"/>
      <c r="G30" s="493"/>
      <c r="H30" s="17"/>
      <c r="I30" s="17"/>
      <c r="J30" s="17"/>
      <c r="K30" s="17"/>
      <c r="L30" s="18"/>
      <c r="M30" s="31"/>
      <c r="N30"/>
      <c r="O30" s="37"/>
      <c r="P30" s="37"/>
      <c r="Q30" s="37"/>
      <c r="R30" s="37"/>
      <c r="S30" s="37"/>
      <c r="T30" s="37"/>
      <c r="U30" s="37"/>
      <c r="V30" s="37"/>
      <c r="W30" s="37"/>
      <c r="X30" s="37"/>
    </row>
    <row r="31" spans="1:34" ht="15" customHeight="1" thickBot="1">
      <c r="A31" s="22"/>
      <c r="B31" s="17"/>
      <c r="C31" s="75"/>
      <c r="D31" s="495"/>
      <c r="E31" s="495"/>
      <c r="F31" s="495"/>
      <c r="G31" s="495"/>
      <c r="H31" s="17"/>
      <c r="I31" s="17"/>
      <c r="J31" s="17"/>
      <c r="K31" s="17"/>
      <c r="L31" s="18"/>
      <c r="M31" s="31"/>
      <c r="N31"/>
      <c r="O31" s="496" t="s">
        <v>610</v>
      </c>
      <c r="P31" s="37"/>
      <c r="Q31" s="37"/>
      <c r="R31" s="37"/>
      <c r="S31" s="37"/>
      <c r="T31" s="37"/>
      <c r="U31" s="37"/>
      <c r="V31" s="37"/>
      <c r="W31" s="37"/>
      <c r="X31" s="37"/>
    </row>
    <row r="32" spans="1:34" ht="15" customHeight="1" thickBot="1">
      <c r="A32" s="22"/>
      <c r="B32" s="17"/>
      <c r="C32" s="487" t="s">
        <v>602</v>
      </c>
      <c r="D32" s="494">
        <v>12</v>
      </c>
      <c r="E32" s="494">
        <v>24</v>
      </c>
      <c r="F32" s="494">
        <v>36</v>
      </c>
      <c r="G32" s="494">
        <v>48</v>
      </c>
      <c r="H32" s="17"/>
      <c r="I32" s="17"/>
      <c r="J32" s="17"/>
      <c r="K32" s="17"/>
      <c r="L32" s="18"/>
      <c r="M32" s="31"/>
      <c r="N32"/>
      <c r="O32" s="37"/>
      <c r="P32" s="37"/>
      <c r="Q32" s="37"/>
      <c r="R32" s="37"/>
      <c r="S32" s="37"/>
      <c r="T32" s="37"/>
      <c r="U32" s="37"/>
      <c r="V32" s="37"/>
      <c r="W32" s="37"/>
      <c r="X32" s="37"/>
    </row>
    <row r="33" spans="1:24" ht="15" customHeight="1" thickBot="1">
      <c r="A33" s="22"/>
      <c r="B33" s="17"/>
      <c r="C33" s="487">
        <v>2020</v>
      </c>
      <c r="D33" s="488">
        <v>48</v>
      </c>
      <c r="E33" s="488">
        <v>140.4</v>
      </c>
      <c r="F33" s="488">
        <v>200.7</v>
      </c>
      <c r="G33" s="489">
        <v>240</v>
      </c>
      <c r="H33" s="17"/>
      <c r="I33" s="17"/>
      <c r="J33" s="17"/>
      <c r="K33" s="17"/>
      <c r="L33" s="18"/>
      <c r="M33" s="31"/>
      <c r="N33"/>
      <c r="O33" s="37"/>
      <c r="P33" s="497" t="s">
        <v>602</v>
      </c>
      <c r="Q33" s="498" t="s">
        <v>607</v>
      </c>
      <c r="R33" s="498" t="s">
        <v>605</v>
      </c>
      <c r="S33" s="498" t="s">
        <v>606</v>
      </c>
      <c r="T33" s="37"/>
      <c r="U33" s="37"/>
      <c r="V33" s="37"/>
      <c r="W33" s="37"/>
      <c r="X33" s="37"/>
    </row>
    <row r="34" spans="1:24" ht="15" customHeight="1" thickBot="1">
      <c r="A34" s="22"/>
      <c r="B34" s="17"/>
      <c r="C34" s="487">
        <v>2021</v>
      </c>
      <c r="D34" s="488">
        <v>43.6</v>
      </c>
      <c r="E34" s="488">
        <v>136</v>
      </c>
      <c r="F34" s="489">
        <v>198.6</v>
      </c>
      <c r="G34" s="492"/>
      <c r="H34" s="17"/>
      <c r="I34" s="17"/>
      <c r="J34" s="17"/>
      <c r="K34" s="17"/>
      <c r="L34" s="18"/>
      <c r="M34" s="31"/>
      <c r="N34"/>
      <c r="O34" s="37"/>
      <c r="P34" s="497">
        <v>2020</v>
      </c>
      <c r="Q34" s="499">
        <v>2.9239999999999999</v>
      </c>
      <c r="R34" s="504">
        <v>1.43</v>
      </c>
      <c r="S34" s="499">
        <v>1.196</v>
      </c>
      <c r="T34" s="37"/>
      <c r="U34" s="37"/>
      <c r="V34" s="37"/>
      <c r="W34" s="37"/>
      <c r="X34" s="37"/>
    </row>
    <row r="35" spans="1:24" ht="15" customHeight="1" thickBot="1">
      <c r="A35" s="22"/>
      <c r="B35" s="17"/>
      <c r="C35" s="487">
        <v>2022</v>
      </c>
      <c r="D35" s="488">
        <v>40</v>
      </c>
      <c r="E35" s="489">
        <v>132.1</v>
      </c>
      <c r="F35" s="490"/>
      <c r="G35" s="492"/>
      <c r="H35" s="17"/>
      <c r="I35" s="17"/>
      <c r="J35" s="17"/>
      <c r="K35" s="17"/>
      <c r="L35" s="18"/>
      <c r="M35" s="31"/>
      <c r="N35"/>
      <c r="O35" s="37"/>
      <c r="P35" s="497">
        <v>2021</v>
      </c>
      <c r="Q35" s="499">
        <v>3.1160000000000001</v>
      </c>
      <c r="R35" s="499">
        <v>1.4610000000000001</v>
      </c>
      <c r="S35" s="500"/>
      <c r="T35" s="37"/>
      <c r="U35" s="37"/>
      <c r="V35" s="37"/>
      <c r="W35" s="37"/>
      <c r="X35" s="37"/>
    </row>
    <row r="36" spans="1:24" ht="15" customHeight="1" thickBot="1">
      <c r="A36" s="22"/>
      <c r="B36" s="17"/>
      <c r="C36" s="487">
        <v>2023</v>
      </c>
      <c r="D36" s="489">
        <v>39.6</v>
      </c>
      <c r="E36" s="491"/>
      <c r="F36" s="491"/>
      <c r="G36" s="493"/>
      <c r="H36" s="17"/>
      <c r="I36" s="17"/>
      <c r="J36" s="17"/>
      <c r="K36" s="17"/>
      <c r="L36" s="18"/>
      <c r="M36" s="31"/>
      <c r="N36"/>
      <c r="O36" s="37"/>
      <c r="P36" s="497">
        <v>2022</v>
      </c>
      <c r="Q36" s="499">
        <v>3.302</v>
      </c>
      <c r="R36" s="501"/>
      <c r="S36" s="502"/>
      <c r="T36" s="37"/>
      <c r="U36" s="37"/>
      <c r="V36" s="37"/>
      <c r="W36" s="37"/>
      <c r="X36" s="37"/>
    </row>
    <row r="37" spans="1:24" ht="15" customHeight="1" thickBot="1">
      <c r="A37" s="22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8"/>
      <c r="M37" s="31"/>
      <c r="N37"/>
      <c r="O37" s="37"/>
      <c r="P37" s="37"/>
      <c r="Q37" s="37"/>
      <c r="R37" s="37"/>
      <c r="S37" s="37"/>
      <c r="T37" s="37"/>
      <c r="U37" s="37"/>
      <c r="V37" s="37"/>
      <c r="W37" s="37"/>
      <c r="X37" s="37"/>
    </row>
    <row r="38" spans="1:24" ht="15" customHeight="1" thickBot="1">
      <c r="A38" s="22"/>
      <c r="B38" s="17"/>
      <c r="C38" s="487" t="s">
        <v>603</v>
      </c>
      <c r="D38" s="494">
        <v>12</v>
      </c>
      <c r="E38" s="494">
        <v>24</v>
      </c>
      <c r="F38" s="494">
        <v>36</v>
      </c>
      <c r="G38" s="494">
        <v>48</v>
      </c>
      <c r="H38" s="17"/>
      <c r="I38" s="17"/>
      <c r="J38" s="17"/>
      <c r="K38" s="17"/>
      <c r="L38" s="18"/>
      <c r="M38" s="31"/>
      <c r="N38"/>
      <c r="O38" s="496" t="s">
        <v>611</v>
      </c>
      <c r="P38" s="37"/>
      <c r="Q38" s="37"/>
      <c r="R38" s="37"/>
      <c r="S38" s="37"/>
      <c r="T38" s="37"/>
      <c r="U38" s="37"/>
      <c r="V38" s="37"/>
      <c r="W38" s="37"/>
      <c r="X38" s="37"/>
    </row>
    <row r="39" spans="1:24" ht="15" customHeight="1" thickBot="1">
      <c r="A39" s="22"/>
      <c r="B39" s="17"/>
      <c r="C39" s="487">
        <v>2020</v>
      </c>
      <c r="D39" s="488">
        <v>46.8</v>
      </c>
      <c r="E39" s="488">
        <v>144.30000000000001</v>
      </c>
      <c r="F39" s="488">
        <v>196.9</v>
      </c>
      <c r="G39" s="489">
        <v>240</v>
      </c>
      <c r="H39" s="17"/>
      <c r="I39" s="17"/>
      <c r="J39" s="17"/>
      <c r="K39" s="17"/>
      <c r="L39" s="18"/>
      <c r="M39" s="31"/>
      <c r="N39"/>
      <c r="O39" s="37"/>
      <c r="P39" s="37"/>
      <c r="Q39" s="37"/>
      <c r="R39" s="37"/>
      <c r="S39" s="37"/>
      <c r="T39" s="37"/>
      <c r="U39" s="37"/>
      <c r="V39" s="37"/>
      <c r="W39" s="37"/>
      <c r="X39" s="37"/>
    </row>
    <row r="40" spans="1:24" ht="15" customHeight="1" thickBot="1">
      <c r="A40" s="22"/>
      <c r="B40" s="17"/>
      <c r="C40" s="487">
        <v>2021</v>
      </c>
      <c r="D40" s="488">
        <v>53.3</v>
      </c>
      <c r="E40" s="488">
        <v>145.4</v>
      </c>
      <c r="F40" s="489">
        <v>203.1</v>
      </c>
      <c r="G40" s="492"/>
      <c r="H40" s="17"/>
      <c r="I40" s="17"/>
      <c r="J40" s="17"/>
      <c r="K40" s="17"/>
      <c r="L40" s="18"/>
      <c r="M40" s="31"/>
      <c r="N40"/>
      <c r="O40" s="37"/>
      <c r="P40" s="497" t="s">
        <v>603</v>
      </c>
      <c r="Q40" s="498" t="s">
        <v>607</v>
      </c>
      <c r="R40" s="498" t="s">
        <v>605</v>
      </c>
      <c r="S40" s="498" t="s">
        <v>606</v>
      </c>
      <c r="T40" s="37"/>
      <c r="U40" s="37"/>
      <c r="V40" s="37"/>
      <c r="W40" s="37"/>
      <c r="X40" s="37"/>
    </row>
    <row r="41" spans="1:24" ht="15" customHeight="1" thickBot="1">
      <c r="A41" s="22"/>
      <c r="B41" s="17"/>
      <c r="C41" s="487">
        <v>2022</v>
      </c>
      <c r="D41" s="488">
        <v>60</v>
      </c>
      <c r="E41" s="489">
        <v>151.19999999999999</v>
      </c>
      <c r="F41" s="490"/>
      <c r="G41" s="492"/>
      <c r="H41" s="17"/>
      <c r="I41" s="17"/>
      <c r="J41" s="17"/>
      <c r="K41" s="17"/>
      <c r="L41" s="18"/>
      <c r="M41" s="31"/>
      <c r="N41"/>
      <c r="O41" s="37"/>
      <c r="P41" s="497">
        <v>2020</v>
      </c>
      <c r="Q41" s="499">
        <v>3.085</v>
      </c>
      <c r="R41" s="499">
        <v>1.3640000000000001</v>
      </c>
      <c r="S41" s="499">
        <v>1.2190000000000001</v>
      </c>
      <c r="T41" s="37"/>
      <c r="U41" s="37"/>
      <c r="V41" s="37"/>
      <c r="W41" s="37"/>
      <c r="X41" s="37"/>
    </row>
    <row r="42" spans="1:24" ht="15" customHeight="1" thickBot="1">
      <c r="A42" s="22"/>
      <c r="B42" s="17"/>
      <c r="C42" s="487">
        <v>2023</v>
      </c>
      <c r="D42" s="489">
        <v>68.599999999999994</v>
      </c>
      <c r="E42" s="491"/>
      <c r="F42" s="491"/>
      <c r="G42" s="493"/>
      <c r="H42" s="17"/>
      <c r="I42" s="17"/>
      <c r="J42" s="17"/>
      <c r="K42" s="17"/>
      <c r="L42" s="18"/>
      <c r="M42" s="31"/>
      <c r="N42"/>
      <c r="O42" s="37"/>
      <c r="P42" s="497">
        <v>2021</v>
      </c>
      <c r="Q42" s="499">
        <v>2.726</v>
      </c>
      <c r="R42" s="499">
        <v>1.397</v>
      </c>
      <c r="S42" s="500"/>
      <c r="T42" s="37"/>
      <c r="U42" s="37"/>
      <c r="V42" s="37"/>
      <c r="W42" s="37"/>
      <c r="X42" s="37"/>
    </row>
    <row r="43" spans="1:24" ht="15" customHeight="1" thickBot="1">
      <c r="A43" s="22"/>
      <c r="B43" s="17"/>
      <c r="C43" s="75"/>
      <c r="D43" s="495"/>
      <c r="E43" s="495"/>
      <c r="F43" s="495"/>
      <c r="G43" s="495"/>
      <c r="H43" s="17"/>
      <c r="I43" s="17"/>
      <c r="J43" s="17"/>
      <c r="K43" s="17"/>
      <c r="L43" s="18"/>
      <c r="M43" s="31"/>
      <c r="N43"/>
      <c r="O43" s="37"/>
      <c r="P43" s="497">
        <v>2022</v>
      </c>
      <c r="Q43" s="504">
        <v>2.52</v>
      </c>
      <c r="R43" s="501"/>
      <c r="S43" s="502"/>
      <c r="T43" s="37"/>
      <c r="U43" s="37"/>
      <c r="V43" s="37"/>
      <c r="W43" s="37"/>
      <c r="X43" s="37"/>
    </row>
    <row r="44" spans="1:24" ht="15" customHeight="1" thickBot="1">
      <c r="A44" s="22"/>
      <c r="B44" s="17"/>
      <c r="C44" s="487" t="s">
        <v>604</v>
      </c>
      <c r="D44" s="494">
        <v>12</v>
      </c>
      <c r="E44" s="494">
        <v>24</v>
      </c>
      <c r="F44" s="494">
        <v>36</v>
      </c>
      <c r="G44" s="494">
        <v>48</v>
      </c>
      <c r="H44" s="17"/>
      <c r="I44" s="17"/>
      <c r="J44" s="17"/>
      <c r="K44" s="17"/>
      <c r="L44" s="18"/>
      <c r="M44" s="31"/>
      <c r="N44"/>
      <c r="O44" s="37"/>
      <c r="P44" s="37"/>
      <c r="Q44" s="37"/>
      <c r="R44" s="37"/>
      <c r="S44" s="37"/>
      <c r="T44" s="37"/>
      <c r="U44" s="37"/>
      <c r="V44" s="37"/>
      <c r="W44" s="37"/>
      <c r="X44" s="37"/>
    </row>
    <row r="45" spans="1:24" ht="15" customHeight="1" thickBot="1">
      <c r="A45" s="22"/>
      <c r="B45" s="17"/>
      <c r="C45" s="487">
        <v>2020</v>
      </c>
      <c r="D45" s="488">
        <v>48</v>
      </c>
      <c r="E45" s="488">
        <v>140</v>
      </c>
      <c r="F45" s="488">
        <v>201</v>
      </c>
      <c r="G45" s="489">
        <v>240</v>
      </c>
      <c r="H45" s="17"/>
      <c r="I45" s="17"/>
      <c r="J45" s="17"/>
      <c r="K45" s="17"/>
      <c r="L45" s="18"/>
      <c r="M45" s="31"/>
      <c r="N45"/>
      <c r="O45" s="496" t="s">
        <v>612</v>
      </c>
      <c r="P45" s="37"/>
      <c r="Q45" s="37"/>
      <c r="R45" s="37"/>
      <c r="S45" s="37"/>
      <c r="T45" s="37"/>
      <c r="U45" s="37"/>
      <c r="V45" s="37"/>
      <c r="W45" s="37"/>
      <c r="X45" s="37"/>
    </row>
    <row r="46" spans="1:24" ht="15" customHeight="1" thickBot="1">
      <c r="A46" s="22"/>
      <c r="B46" s="17"/>
      <c r="C46" s="487">
        <v>2021</v>
      </c>
      <c r="D46" s="488">
        <v>52</v>
      </c>
      <c r="E46" s="488">
        <v>152</v>
      </c>
      <c r="F46" s="489">
        <v>217</v>
      </c>
      <c r="G46" s="492"/>
      <c r="H46" s="17"/>
      <c r="I46" s="17"/>
      <c r="J46" s="17"/>
      <c r="K46" s="17"/>
      <c r="L46" s="18"/>
      <c r="M46" s="31"/>
      <c r="N46"/>
      <c r="O46" s="37"/>
      <c r="P46" s="37"/>
      <c r="Q46" s="37"/>
      <c r="R46" s="37"/>
      <c r="S46" s="37"/>
      <c r="T46" s="37"/>
      <c r="U46" s="37"/>
      <c r="V46" s="37"/>
      <c r="W46" s="37"/>
      <c r="X46" s="37"/>
    </row>
    <row r="47" spans="1:24" ht="15" customHeight="1" thickBot="1">
      <c r="A47" s="22"/>
      <c r="B47" s="17"/>
      <c r="C47" s="487">
        <v>2022</v>
      </c>
      <c r="D47" s="488">
        <v>56</v>
      </c>
      <c r="E47" s="489">
        <v>164</v>
      </c>
      <c r="F47" s="490"/>
      <c r="G47" s="492"/>
      <c r="H47" s="17"/>
      <c r="I47" s="17"/>
      <c r="J47" s="17"/>
      <c r="K47" s="17"/>
      <c r="L47" s="18"/>
      <c r="M47" s="31"/>
      <c r="N47"/>
      <c r="O47" s="37"/>
      <c r="P47" s="497" t="s">
        <v>604</v>
      </c>
      <c r="Q47" s="498" t="s">
        <v>607</v>
      </c>
      <c r="R47" s="498" t="s">
        <v>605</v>
      </c>
      <c r="S47" s="498" t="s">
        <v>606</v>
      </c>
      <c r="T47" s="37"/>
      <c r="U47" s="37"/>
      <c r="V47" s="37"/>
      <c r="W47" s="37"/>
      <c r="X47" s="37"/>
    </row>
    <row r="48" spans="1:24" ht="15" customHeight="1" thickBot="1">
      <c r="A48" s="22"/>
      <c r="B48" s="17"/>
      <c r="C48" s="487">
        <v>2023</v>
      </c>
      <c r="D48" s="489">
        <v>60</v>
      </c>
      <c r="E48" s="491"/>
      <c r="F48" s="491"/>
      <c r="G48" s="493"/>
      <c r="H48" s="17"/>
      <c r="I48" s="17"/>
      <c r="J48" s="17"/>
      <c r="K48" s="17"/>
      <c r="L48" s="18"/>
      <c r="M48" s="31"/>
      <c r="N48"/>
      <c r="O48" s="37"/>
      <c r="P48" s="497">
        <v>2020</v>
      </c>
      <c r="Q48" s="499">
        <v>2.9239999999999999</v>
      </c>
      <c r="R48" s="499">
        <v>1.43</v>
      </c>
      <c r="S48" s="499">
        <v>1.196</v>
      </c>
      <c r="T48" s="37"/>
      <c r="U48" s="37"/>
      <c r="V48" s="37"/>
      <c r="W48" s="37"/>
      <c r="X48" s="37"/>
    </row>
    <row r="49" spans="1:34" ht="15" customHeight="1" thickBot="1">
      <c r="A49" s="22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8"/>
      <c r="M49" s="31"/>
      <c r="N49"/>
      <c r="O49" s="37"/>
      <c r="P49" s="497">
        <v>2021</v>
      </c>
      <c r="Q49" s="499">
        <v>2.9239999999999999</v>
      </c>
      <c r="R49" s="499">
        <v>1.43</v>
      </c>
      <c r="S49" s="500"/>
      <c r="T49" s="37"/>
      <c r="U49" s="37"/>
      <c r="V49" s="37"/>
      <c r="W49" s="37"/>
      <c r="X49" s="37"/>
    </row>
    <row r="50" spans="1:34" ht="15" customHeight="1" thickBot="1">
      <c r="A50" s="22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8"/>
      <c r="M50" s="31"/>
      <c r="N50"/>
      <c r="O50" s="37"/>
      <c r="P50" s="497">
        <v>2022</v>
      </c>
      <c r="Q50" s="499">
        <v>2.9239999999999999</v>
      </c>
      <c r="R50" s="501"/>
      <c r="S50" s="502"/>
      <c r="T50" s="37"/>
      <c r="U50" s="37"/>
      <c r="V50" s="37"/>
      <c r="W50" s="37"/>
      <c r="X50" s="37"/>
    </row>
    <row r="51" spans="1:34" ht="15" customHeight="1">
      <c r="A51" s="22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8"/>
      <c r="M51" s="31"/>
      <c r="N51"/>
      <c r="O51" s="37"/>
      <c r="P51" s="37"/>
      <c r="Q51" s="37"/>
      <c r="R51" s="37"/>
      <c r="S51" s="37"/>
      <c r="T51" s="37"/>
      <c r="U51" s="37"/>
      <c r="V51" s="37"/>
      <c r="W51" s="37"/>
      <c r="X51" s="37"/>
    </row>
    <row r="52" spans="1:34" ht="15" customHeight="1" thickBot="1">
      <c r="A52" s="24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3"/>
      <c r="M52" s="31"/>
      <c r="N52"/>
      <c r="O52" s="37"/>
      <c r="P52" s="37"/>
      <c r="Q52" s="37"/>
      <c r="R52" s="37"/>
      <c r="S52" s="37"/>
      <c r="T52" s="37"/>
      <c r="U52" s="37"/>
      <c r="V52" s="37"/>
      <c r="W52" s="37"/>
      <c r="X52" s="37"/>
    </row>
    <row r="53" spans="1:34" ht="15" customHeight="1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/>
      <c r="O53" s="37"/>
      <c r="P53" s="37"/>
      <c r="Q53" s="37"/>
      <c r="R53" s="37"/>
      <c r="S53" s="37"/>
      <c r="T53" s="37"/>
      <c r="U53" s="37"/>
      <c r="V53" s="37"/>
      <c r="W53" s="37"/>
      <c r="X53" s="37"/>
    </row>
    <row r="54" spans="1:34" ht="15" customHeight="1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/>
      <c r="O54" s="37"/>
      <c r="P54" s="503"/>
      <c r="Q54" s="503"/>
      <c r="R54" s="503"/>
      <c r="S54" s="503"/>
      <c r="T54" s="37"/>
      <c r="U54" s="37"/>
      <c r="V54" s="37"/>
      <c r="W54" s="37"/>
      <c r="X54" s="37"/>
    </row>
    <row r="55" spans="1:34" ht="15" customHeight="1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/>
      <c r="O55" s="37"/>
      <c r="P55" s="37"/>
      <c r="Q55" s="37"/>
      <c r="R55" s="37"/>
      <c r="S55" s="37"/>
      <c r="T55" s="37"/>
      <c r="U55" s="37"/>
      <c r="V55" s="37"/>
      <c r="W55" s="37"/>
      <c r="X55" s="37"/>
    </row>
    <row r="56" spans="1:34" ht="15" customHeight="1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/>
      <c r="O56" s="37"/>
      <c r="P56" s="37"/>
      <c r="Q56" s="37"/>
      <c r="R56" s="37"/>
      <c r="S56" s="37"/>
      <c r="T56" s="37"/>
    </row>
    <row r="57" spans="1:34" ht="15" customHeight="1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ht="15" customHeight="1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 ht="15" customHeight="1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 ht="15" customHeight="1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ht="15" customHeight="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ht="15" customHeight="1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 ht="15" customHeight="1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ht="15" customHeight="1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2:34" ht="15" customHeight="1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2:34" ht="15" customHeight="1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2:34" ht="15" customHeight="1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2:34" ht="15" customHeight="1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2:34" ht="15" customHeight="1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2:34" ht="15" customHeight="1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2:34" ht="15" customHeight="1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2:34" ht="15" customHeight="1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2:34" ht="15" customHeight="1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</row>
    <row r="74" spans="2:34" ht="15" customHeight="1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</row>
    <row r="75" spans="2:34" ht="15" customHeight="1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</row>
    <row r="76" spans="2:34" ht="15" customHeight="1"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</row>
    <row r="77" spans="2:34" ht="15" customHeight="1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</row>
    <row r="78" spans="2:34" ht="15" customHeight="1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pans="2:34" ht="15" customHeight="1"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</row>
    <row r="80" spans="2:34" ht="15" customHeight="1"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</row>
    <row r="81" spans="2:34" ht="15" customHeight="1"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2:34" ht="15" customHeight="1"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2:34" ht="15" customHeight="1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</row>
    <row r="84" spans="2:34" ht="15" customHeight="1"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2:34" ht="15" customHeight="1"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</row>
    <row r="86" spans="2:34" ht="15" customHeight="1"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2:34" ht="15" customHeight="1"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</row>
    <row r="88" spans="2:34" ht="15" customHeight="1"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2:34" ht="15" customHeight="1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</row>
    <row r="90" spans="2:34" ht="15" customHeight="1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</row>
    <row r="91" spans="2:34" ht="15" customHeight="1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2:34" ht="15" customHeight="1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2:34" ht="15" customHeight="1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</row>
    <row r="94" spans="2:34" ht="15" customHeight="1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2:34" ht="15" customHeight="1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</row>
    <row r="96" spans="2:34" ht="15" customHeight="1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2:34" ht="15" customHeight="1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2:34" ht="15" customHeight="1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2:34" ht="15" customHeight="1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</row>
    <row r="100" spans="2:34" ht="15" customHeight="1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2:34" ht="15" customHeight="1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2:34" ht="15" customHeight="1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</row>
    <row r="103" spans="2:34" ht="15" customHeight="1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2:34" ht="15" customHeight="1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05" spans="2:34" ht="15" customHeight="1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2:34" ht="15" customHeight="1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</row>
  </sheetData>
  <mergeCells count="1">
    <mergeCell ref="K1:L1"/>
  </mergeCells>
  <conditionalFormatting sqref="B1">
    <cfRule type="cellIs" dxfId="29" priority="1" operator="equal">
      <formula>"Incomplete"</formula>
    </cfRule>
    <cfRule type="cellIs" dxfId="28" priority="2" operator="equal">
      <formula>"Flag for Review"</formula>
    </cfRule>
    <cfRule type="cellIs" dxfId="27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I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11" width="11.140625" style="21" customWidth="1"/>
    <col min="12" max="16384" width="9.140625" style="21"/>
  </cols>
  <sheetData>
    <row r="1" spans="1:23">
      <c r="A1" s="7">
        <v>22</v>
      </c>
      <c r="B1" s="27" t="s">
        <v>12</v>
      </c>
      <c r="C1" s="20"/>
      <c r="D1" s="20"/>
      <c r="E1" s="20"/>
      <c r="F1" s="20"/>
      <c r="G1" s="20"/>
      <c r="H1" s="20"/>
      <c r="I1" s="20"/>
      <c r="J1" s="854" t="s">
        <v>24</v>
      </c>
      <c r="K1" s="855"/>
      <c r="M1" s="1" t="s">
        <v>33</v>
      </c>
      <c r="N1" s="52" t="str">
        <f>VLOOKUP(A1,'Point Grid'!$L$8:$T$54,9,FALSE)</f>
        <v>Reserving - Chap 9: Bornhuetter Ferguson Method</v>
      </c>
      <c r="O1"/>
      <c r="P1"/>
      <c r="Q1"/>
      <c r="R1"/>
      <c r="S1"/>
      <c r="T1"/>
      <c r="U1"/>
      <c r="V1"/>
      <c r="W1"/>
    </row>
    <row r="2" spans="1:23">
      <c r="A2" s="22"/>
      <c r="B2" s="19"/>
      <c r="C2" s="19"/>
      <c r="D2" s="19"/>
      <c r="E2" s="19"/>
      <c r="F2" s="19"/>
      <c r="G2" s="19"/>
      <c r="H2" s="19"/>
      <c r="I2" s="19"/>
      <c r="J2" s="19"/>
      <c r="K2" s="23"/>
      <c r="M2" s="1"/>
      <c r="N2"/>
      <c r="O2"/>
      <c r="P2"/>
      <c r="Q2"/>
      <c r="R2"/>
      <c r="S2"/>
      <c r="T2"/>
      <c r="U2"/>
      <c r="V2"/>
      <c r="W2"/>
    </row>
    <row r="3" spans="1:23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8"/>
      <c r="L3" s="31"/>
      <c r="M3" s="48" t="s">
        <v>2</v>
      </c>
      <c r="N3" t="s">
        <v>614</v>
      </c>
      <c r="O3"/>
      <c r="P3"/>
      <c r="Q3"/>
      <c r="R3"/>
      <c r="S3"/>
      <c r="T3"/>
      <c r="U3"/>
      <c r="V3"/>
      <c r="W3"/>
    </row>
    <row r="4" spans="1:23">
      <c r="A4" s="9">
        <f>INDEX('Point Grid'!B:B,MATCH(A1,'Point Grid'!A:A,0))</f>
        <v>1.75</v>
      </c>
      <c r="B4" s="17"/>
      <c r="C4" s="17"/>
      <c r="D4" s="17"/>
      <c r="E4" s="17"/>
      <c r="F4" s="17"/>
      <c r="G4" s="17"/>
      <c r="H4" s="17"/>
      <c r="I4" s="17"/>
      <c r="J4" s="17"/>
      <c r="K4" s="18"/>
      <c r="L4" s="31"/>
      <c r="M4" s="48"/>
      <c r="N4"/>
      <c r="O4"/>
      <c r="P4"/>
      <c r="Q4"/>
      <c r="R4"/>
      <c r="S4"/>
      <c r="T4"/>
      <c r="U4"/>
      <c r="V4"/>
      <c r="W4"/>
    </row>
    <row r="5" spans="1:23">
      <c r="A5" s="16"/>
      <c r="B5" s="17"/>
      <c r="C5" s="17"/>
      <c r="D5" s="17"/>
      <c r="E5" s="17"/>
      <c r="F5" s="17"/>
      <c r="G5" s="17"/>
      <c r="H5" s="17"/>
      <c r="I5" s="17"/>
      <c r="J5" s="17"/>
      <c r="K5" s="18"/>
      <c r="L5" s="31"/>
      <c r="M5" s="48" t="s">
        <v>3</v>
      </c>
      <c r="N5" t="s">
        <v>618</v>
      </c>
      <c r="O5"/>
      <c r="P5"/>
      <c r="Q5"/>
      <c r="R5"/>
      <c r="S5"/>
      <c r="T5"/>
      <c r="U5"/>
      <c r="V5"/>
      <c r="W5"/>
    </row>
    <row r="6" spans="1:23">
      <c r="A6" s="25" t="s">
        <v>2</v>
      </c>
      <c r="B6" s="17" t="s">
        <v>615</v>
      </c>
      <c r="C6" s="17"/>
      <c r="D6" s="17"/>
      <c r="E6" s="17"/>
      <c r="F6" s="17"/>
      <c r="G6" s="17"/>
      <c r="H6" s="17"/>
      <c r="I6" s="17"/>
      <c r="J6" s="17"/>
      <c r="K6" s="18"/>
      <c r="L6" s="31"/>
      <c r="M6" s="48"/>
      <c r="N6" s="37" t="s">
        <v>619</v>
      </c>
      <c r="O6"/>
      <c r="P6"/>
      <c r="Q6"/>
      <c r="R6"/>
      <c r="S6"/>
      <c r="T6"/>
      <c r="U6"/>
      <c r="V6"/>
      <c r="W6"/>
    </row>
    <row r="7" spans="1:23" ht="15.75" thickBot="1">
      <c r="A7" s="9">
        <f>INDEX('Point Grid'!$C$8:$I$54,MATCH($A$1,'Point Grid'!$A$8:$A$54,0),MATCH(A6,'Point Grid'!$C$7:$I$7,0))</f>
        <v>0.25</v>
      </c>
      <c r="B7" s="17"/>
      <c r="C7" s="17"/>
      <c r="D7" s="17"/>
      <c r="E7" s="17"/>
      <c r="F7" s="17"/>
      <c r="G7" s="17"/>
      <c r="H7" s="17"/>
      <c r="I7" s="17"/>
      <c r="J7" s="17"/>
      <c r="K7" s="18"/>
      <c r="L7" s="31"/>
      <c r="M7" s="48"/>
      <c r="N7" s="37" t="s">
        <v>621</v>
      </c>
      <c r="O7"/>
      <c r="P7"/>
      <c r="Q7"/>
      <c r="R7"/>
      <c r="S7"/>
      <c r="T7"/>
      <c r="U7"/>
      <c r="V7"/>
      <c r="W7"/>
    </row>
    <row r="8" spans="1:23" ht="15.75" thickBot="1">
      <c r="A8" s="5"/>
      <c r="B8" s="17"/>
      <c r="C8" s="28"/>
      <c r="D8" s="28"/>
      <c r="E8" s="28"/>
      <c r="F8" s="28"/>
      <c r="G8" s="28"/>
      <c r="H8" s="28"/>
      <c r="I8" s="28"/>
      <c r="J8" s="28"/>
      <c r="K8" s="18"/>
      <c r="L8" s="31"/>
      <c r="M8"/>
      <c r="N8" s="37" t="s">
        <v>620</v>
      </c>
      <c r="O8"/>
      <c r="P8"/>
      <c r="Q8"/>
      <c r="R8"/>
      <c r="S8"/>
      <c r="T8"/>
      <c r="U8"/>
      <c r="V8"/>
      <c r="W8"/>
    </row>
    <row r="9" spans="1:23">
      <c r="A9" s="25"/>
      <c r="B9" s="17"/>
      <c r="C9" s="17"/>
      <c r="D9" s="17"/>
      <c r="E9" s="17"/>
      <c r="F9" s="17"/>
      <c r="G9" s="17"/>
      <c r="H9" s="17"/>
      <c r="I9" s="17"/>
      <c r="J9" s="17"/>
      <c r="K9" s="18"/>
      <c r="L9" s="31"/>
      <c r="M9" s="48"/>
      <c r="N9"/>
      <c r="O9"/>
      <c r="P9"/>
      <c r="Q9"/>
      <c r="R9"/>
      <c r="S9"/>
      <c r="T9"/>
      <c r="U9"/>
    </row>
    <row r="10" spans="1:23">
      <c r="A10" s="25" t="s">
        <v>3</v>
      </c>
      <c r="B10" s="17" t="s">
        <v>616</v>
      </c>
      <c r="C10" s="17"/>
      <c r="D10" s="17"/>
      <c r="E10" s="17"/>
      <c r="F10" s="17"/>
      <c r="G10" s="17"/>
      <c r="H10" s="17"/>
      <c r="I10" s="17"/>
      <c r="J10" s="17"/>
      <c r="K10" s="18"/>
      <c r="L10" s="31"/>
      <c r="M10" s="48" t="s">
        <v>4</v>
      </c>
      <c r="N10" s="505" t="s">
        <v>169</v>
      </c>
      <c r="O10" s="51" t="s">
        <v>622</v>
      </c>
      <c r="P10" s="506"/>
      <c r="Q10" s="323" t="s">
        <v>34</v>
      </c>
      <c r="R10" s="323" t="s">
        <v>623</v>
      </c>
      <c r="S10" s="323" t="s">
        <v>363</v>
      </c>
      <c r="T10" s="323" t="s">
        <v>624</v>
      </c>
      <c r="U10" s="122"/>
      <c r="V10" s="122"/>
      <c r="W10"/>
    </row>
    <row r="11" spans="1:23" ht="15.75" thickBot="1">
      <c r="A11" s="9">
        <f>INDEX('Point Grid'!$C$8:$I$54,MATCH($A$1,'Point Grid'!$A$8:$A$54,0),MATCH(A10,'Point Grid'!$C$7:$I$7,0))</f>
        <v>0.5</v>
      </c>
      <c r="B11" s="17" t="s">
        <v>617</v>
      </c>
      <c r="C11" s="17"/>
      <c r="D11" s="17"/>
      <c r="E11" s="17"/>
      <c r="F11" s="17"/>
      <c r="G11" s="17"/>
      <c r="H11" s="17"/>
      <c r="I11" s="17"/>
      <c r="J11" s="17"/>
      <c r="K11" s="18"/>
      <c r="L11" s="31"/>
      <c r="M11"/>
      <c r="N11" s="122"/>
      <c r="O11" s="323"/>
      <c r="P11" s="122"/>
      <c r="Q11" s="323" t="s">
        <v>34</v>
      </c>
      <c r="R11" s="56">
        <f>IF(F14=2024,D20,D22)</f>
        <v>0.7</v>
      </c>
      <c r="S11" s="323" t="s">
        <v>363</v>
      </c>
      <c r="T11" s="323">
        <f>IF(F14=2024,D19,D21)</f>
        <v>1700</v>
      </c>
      <c r="U11" s="122"/>
      <c r="V11" s="122"/>
      <c r="W11"/>
    </row>
    <row r="12" spans="1:23" ht="15.75" thickBot="1">
      <c r="A12" s="5"/>
      <c r="B12" s="17"/>
      <c r="C12" s="28"/>
      <c r="D12" s="28"/>
      <c r="E12" s="28"/>
      <c r="F12" s="28"/>
      <c r="G12" s="28"/>
      <c r="H12" s="28"/>
      <c r="I12" s="28"/>
      <c r="J12" s="28"/>
      <c r="K12" s="18"/>
      <c r="L12" s="31"/>
      <c r="M12"/>
      <c r="N12" s="122"/>
      <c r="O12" s="122"/>
      <c r="P12" s="122"/>
      <c r="Q12" s="323" t="s">
        <v>34</v>
      </c>
      <c r="R12" s="397">
        <f>R11*T11</f>
        <v>1190</v>
      </c>
      <c r="S12" s="323"/>
      <c r="T12" s="323"/>
      <c r="U12" s="122"/>
      <c r="V12" s="122"/>
      <c r="W12"/>
    </row>
    <row r="13" spans="1:23">
      <c r="A13" s="25"/>
      <c r="B13" s="17"/>
      <c r="C13" s="28"/>
      <c r="D13" s="28"/>
      <c r="E13" s="28"/>
      <c r="F13" s="28"/>
      <c r="G13" s="28"/>
      <c r="H13" s="28"/>
      <c r="I13" s="28"/>
      <c r="J13" s="28"/>
      <c r="K13" s="18"/>
      <c r="L13" s="31"/>
      <c r="M13" s="48"/>
      <c r="N13" s="122"/>
      <c r="O13" s="122"/>
      <c r="P13" s="122"/>
      <c r="Q13" s="122"/>
      <c r="R13" s="122"/>
      <c r="S13" s="122"/>
      <c r="T13" s="122"/>
      <c r="U13" s="122"/>
      <c r="V13" s="122"/>
      <c r="W13"/>
    </row>
    <row r="14" spans="1:23">
      <c r="A14" s="25" t="s">
        <v>4</v>
      </c>
      <c r="B14" s="231" t="s">
        <v>625</v>
      </c>
      <c r="C14" s="231"/>
      <c r="D14" s="328" t="s">
        <v>644</v>
      </c>
      <c r="E14" s="328" t="s">
        <v>626</v>
      </c>
      <c r="F14" s="511">
        <v>2024</v>
      </c>
      <c r="G14" s="231" t="s">
        <v>627</v>
      </c>
      <c r="H14" s="231"/>
      <c r="I14" s="231"/>
      <c r="J14" s="231"/>
      <c r="K14" s="18"/>
      <c r="L14" s="31"/>
      <c r="M14"/>
      <c r="N14" s="507" t="s">
        <v>474</v>
      </c>
      <c r="O14" t="s">
        <v>628</v>
      </c>
      <c r="P14"/>
      <c r="Q14" s="508">
        <f>IF(F14=2024,I22,I19)</f>
        <v>1.4</v>
      </c>
      <c r="R14" s="434" t="str">
        <f>" (" &amp; IF(F14=2024,G22&amp;" "&amp;H21,G19&amp;" "&amp;H19) &amp;")"</f>
        <v xml:space="preserve"> (paid CDF for  24 mths)</v>
      </c>
      <c r="S14"/>
      <c r="T14"/>
      <c r="U14"/>
      <c r="V14"/>
      <c r="W14"/>
    </row>
    <row r="15" spans="1:23" ht="15.75" thickBot="1">
      <c r="A15" s="9">
        <f>INDEX('Point Grid'!$C$8:$I$54,MATCH($A$1,'Point Grid'!$A$8:$A$54,0),MATCH(A14,'Point Grid'!$C$7:$I$7,0))</f>
        <v>1</v>
      </c>
      <c r="B15" s="231"/>
      <c r="C15" s="231"/>
      <c r="D15" s="231"/>
      <c r="E15" s="231"/>
      <c r="F15" s="231"/>
      <c r="G15" s="231"/>
      <c r="H15" s="231"/>
      <c r="I15" s="231"/>
      <c r="J15" s="231"/>
      <c r="K15" s="18"/>
      <c r="L15" s="31"/>
      <c r="M15"/>
      <c r="N15"/>
      <c r="O15"/>
      <c r="P15"/>
      <c r="Q15"/>
      <c r="R15"/>
      <c r="S15"/>
      <c r="T15"/>
      <c r="U15"/>
      <c r="V15"/>
      <c r="W15"/>
    </row>
    <row r="16" spans="1:23" ht="15.75" thickBot="1">
      <c r="A16" s="5"/>
      <c r="B16" s="231"/>
      <c r="C16" s="231"/>
      <c r="D16" s="231"/>
      <c r="E16" s="231"/>
      <c r="F16" s="231"/>
      <c r="G16" s="231"/>
      <c r="H16" s="231"/>
      <c r="I16" s="231"/>
      <c r="J16" s="231"/>
      <c r="K16" s="18"/>
      <c r="L16" s="31"/>
      <c r="M16" s="48"/>
      <c r="N16"/>
      <c r="O16"/>
      <c r="P16"/>
      <c r="Q16"/>
      <c r="R16"/>
      <c r="S16"/>
      <c r="T16"/>
      <c r="U16"/>
      <c r="V16"/>
      <c r="W16"/>
    </row>
    <row r="17" spans="1:35">
      <c r="A17" s="22"/>
      <c r="B17" s="75" t="s">
        <v>629</v>
      </c>
      <c r="C17" s="75"/>
      <c r="D17" s="75"/>
      <c r="E17" s="75"/>
      <c r="F17" s="512"/>
      <c r="G17" s="513" t="s">
        <v>630</v>
      </c>
      <c r="H17" s="514" t="s">
        <v>631</v>
      </c>
      <c r="I17" s="515">
        <v>640</v>
      </c>
      <c r="J17" s="231"/>
      <c r="K17" s="18"/>
      <c r="L17" s="31"/>
      <c r="M17"/>
      <c r="N17"/>
      <c r="O17"/>
      <c r="P17"/>
      <c r="Q17"/>
      <c r="R17"/>
      <c r="S17"/>
      <c r="T17"/>
      <c r="U17"/>
      <c r="V17"/>
      <c r="W17"/>
    </row>
    <row r="18" spans="1:35" ht="15" customHeight="1">
      <c r="A18" s="22"/>
      <c r="B18" s="75"/>
      <c r="C18" s="75"/>
      <c r="D18" s="75"/>
      <c r="E18" s="75"/>
      <c r="F18" s="516"/>
      <c r="G18" s="517" t="s">
        <v>632</v>
      </c>
      <c r="H18" s="518" t="s">
        <v>631</v>
      </c>
      <c r="I18" s="519">
        <v>1040</v>
      </c>
      <c r="J18" s="520"/>
      <c r="K18" s="18"/>
      <c r="L18" s="31"/>
      <c r="M18"/>
      <c r="N18" s="507" t="s">
        <v>635</v>
      </c>
      <c r="O18" s="51" t="str">
        <f>IF(LEFT(G19,1)="p","  paid BF ultimate","  reported BF ultimate")</f>
        <v xml:space="preserve">  paid BF ultimate</v>
      </c>
      <c r="P18" s="506"/>
      <c r="Q18" s="323"/>
      <c r="R18" s="122"/>
      <c r="S18" s="122"/>
      <c r="T18" s="122"/>
      <c r="U18" s="122"/>
      <c r="V18" s="122"/>
      <c r="W18"/>
    </row>
    <row r="19" spans="1:35" ht="15" customHeight="1">
      <c r="A19" s="22"/>
      <c r="B19" s="521" t="s">
        <v>633</v>
      </c>
      <c r="C19" s="522">
        <v>2024</v>
      </c>
      <c r="D19" s="523">
        <v>1700</v>
      </c>
      <c r="E19" s="75"/>
      <c r="F19" s="524"/>
      <c r="G19" s="525" t="s">
        <v>647</v>
      </c>
      <c r="H19" s="526" t="s">
        <v>634</v>
      </c>
      <c r="I19" s="527">
        <v>1.7</v>
      </c>
      <c r="J19" s="75"/>
      <c r="K19" s="18"/>
      <c r="L19" s="31"/>
      <c r="M19"/>
      <c r="N19" s="122"/>
      <c r="O19" s="122"/>
      <c r="P19" s="323" t="s">
        <v>34</v>
      </c>
      <c r="Q19" s="51" t="str">
        <f>IF(LEFT(G19,1)="p","paid loss","rptd loss") &amp; IF(F14=2024," @ 24 mths"," @ 12 mths")</f>
        <v>paid loss @ 24 mths</v>
      </c>
      <c r="R19" s="122"/>
      <c r="S19" s="323" t="s">
        <v>35</v>
      </c>
      <c r="T19" s="426" t="s">
        <v>638</v>
      </c>
      <c r="U19" s="323" t="s">
        <v>363</v>
      </c>
      <c r="V19" s="122" t="s">
        <v>639</v>
      </c>
      <c r="W19"/>
    </row>
    <row r="20" spans="1:35" ht="15" customHeight="1">
      <c r="A20" s="22"/>
      <c r="B20" s="528" t="s">
        <v>636</v>
      </c>
      <c r="C20" s="529">
        <v>2024</v>
      </c>
      <c r="D20" s="384">
        <v>0.7</v>
      </c>
      <c r="E20" s="231"/>
      <c r="F20" s="530"/>
      <c r="G20" s="517" t="s">
        <v>630</v>
      </c>
      <c r="H20" s="518" t="s">
        <v>637</v>
      </c>
      <c r="I20" s="519">
        <v>930</v>
      </c>
      <c r="J20" s="231"/>
      <c r="K20" s="18"/>
      <c r="L20" s="31"/>
      <c r="M20"/>
      <c r="N20" s="122"/>
      <c r="O20" s="122"/>
      <c r="P20" s="323" t="s">
        <v>34</v>
      </c>
      <c r="Q20" s="323">
        <f>IF(F14=2024,IF(LEFT(G19,1)="p",I20,I21),IF(LEFT(G19,1)="p",I17,I18))</f>
        <v>930</v>
      </c>
      <c r="R20" s="122"/>
      <c r="S20" s="323" t="s">
        <v>35</v>
      </c>
      <c r="T20" s="509">
        <f>1-1/IF(F14=2024,I22,I19)</f>
        <v>0.2857142857142857</v>
      </c>
      <c r="U20" s="323" t="s">
        <v>363</v>
      </c>
      <c r="V20" s="122">
        <f>R12</f>
        <v>1190</v>
      </c>
      <c r="W20"/>
    </row>
    <row r="21" spans="1:35" ht="15" customHeight="1">
      <c r="A21" s="22"/>
      <c r="B21" s="521" t="s">
        <v>633</v>
      </c>
      <c r="C21" s="522">
        <v>2025</v>
      </c>
      <c r="D21" s="523">
        <v>800</v>
      </c>
      <c r="E21" s="231"/>
      <c r="F21" s="516"/>
      <c r="G21" s="517" t="s">
        <v>632</v>
      </c>
      <c r="H21" s="518" t="s">
        <v>637</v>
      </c>
      <c r="I21" s="519">
        <v>1640</v>
      </c>
      <c r="J21" s="231"/>
      <c r="K21" s="18"/>
      <c r="L21" s="31"/>
      <c r="M21"/>
      <c r="N21" s="122"/>
      <c r="O21" s="122"/>
      <c r="P21" s="323" t="s">
        <v>34</v>
      </c>
      <c r="Q21" s="397">
        <f>Q20+T20*V20</f>
        <v>1270</v>
      </c>
      <c r="R21" s="122"/>
      <c r="S21" s="122"/>
      <c r="T21" s="122"/>
      <c r="U21" s="122"/>
      <c r="V21" s="122"/>
      <c r="W21"/>
    </row>
    <row r="22" spans="1:35" ht="15" customHeight="1">
      <c r="A22" s="22"/>
      <c r="B22" s="528" t="s">
        <v>636</v>
      </c>
      <c r="C22" s="529">
        <v>2025</v>
      </c>
      <c r="D22" s="384">
        <v>0.75</v>
      </c>
      <c r="E22" s="231"/>
      <c r="F22" s="524"/>
      <c r="G22" s="525" t="s">
        <v>647</v>
      </c>
      <c r="H22" s="526" t="s">
        <v>640</v>
      </c>
      <c r="I22" s="527">
        <v>1.4</v>
      </c>
      <c r="J22" s="231"/>
      <c r="K22" s="18"/>
      <c r="L22" s="31"/>
      <c r="M22"/>
      <c r="N22" s="122"/>
      <c r="O22" s="122"/>
      <c r="P22" s="122"/>
      <c r="Q22" s="122"/>
      <c r="R22" s="122"/>
      <c r="S22" s="122"/>
      <c r="T22" s="122"/>
      <c r="U22" s="122"/>
      <c r="V22" s="122"/>
      <c r="W22"/>
    </row>
    <row r="23" spans="1:35" ht="15" customHeight="1">
      <c r="A23" s="22"/>
      <c r="B23" s="17"/>
      <c r="C23" s="17"/>
      <c r="D23" s="17"/>
      <c r="E23" s="17"/>
      <c r="F23" s="17"/>
      <c r="G23" s="17"/>
      <c r="H23" s="17"/>
      <c r="I23" s="17"/>
      <c r="J23" s="17"/>
      <c r="K23" s="18"/>
      <c r="L23" s="31"/>
      <c r="M23"/>
      <c r="N23" s="280" t="s">
        <v>641</v>
      </c>
      <c r="O23" s="323" t="str">
        <f>D14</f>
        <v>unpaid</v>
      </c>
      <c r="P23" s="323" t="str">
        <f>E14</f>
        <v>for AY</v>
      </c>
      <c r="Q23" s="510">
        <f>F14</f>
        <v>2024</v>
      </c>
      <c r="R23" s="323" t="s">
        <v>34</v>
      </c>
      <c r="S23" s="280">
        <f>IF(D14="ultimate",Q21,IF(D14="unpaid",Q21-IF(F14=2024,I20,I17),Q21-IF(F14=2024,I21,I18)))</f>
        <v>340</v>
      </c>
      <c r="T23" s="122"/>
      <c r="U23" s="122"/>
      <c r="V23" s="122"/>
      <c r="W23"/>
    </row>
    <row r="24" spans="1:35" ht="15" customHeight="1">
      <c r="A24" s="22"/>
      <c r="B24" s="17"/>
      <c r="C24" s="17"/>
      <c r="D24" s="17"/>
      <c r="E24" s="17"/>
      <c r="F24" s="17"/>
      <c r="G24" s="17"/>
      <c r="H24" s="17"/>
      <c r="I24" s="17"/>
      <c r="J24" s="17"/>
      <c r="K24" s="18"/>
      <c r="L24" s="31"/>
      <c r="M24"/>
      <c r="N24" s="280" t="s">
        <v>642</v>
      </c>
      <c r="O24" s="122"/>
      <c r="P24" s="122"/>
      <c r="Q24" s="122"/>
      <c r="R24" s="122"/>
      <c r="S24" s="122"/>
      <c r="T24" s="122"/>
      <c r="U24" s="122"/>
      <c r="V24" s="122"/>
      <c r="W24"/>
    </row>
    <row r="25" spans="1:35" ht="15" customHeight="1">
      <c r="A25" s="22"/>
      <c r="B25" s="17"/>
      <c r="C25" s="17"/>
      <c r="D25" s="17"/>
      <c r="E25" s="17"/>
      <c r="F25" s="17"/>
      <c r="G25" s="17"/>
      <c r="H25" s="17"/>
      <c r="I25" s="17"/>
      <c r="J25" s="17"/>
      <c r="K25" s="18"/>
      <c r="L25" s="31"/>
      <c r="M25"/>
      <c r="N25" s="122"/>
      <c r="O25" s="122"/>
      <c r="P25" s="122"/>
      <c r="Q25" s="122"/>
      <c r="R25" s="122"/>
      <c r="S25" s="122"/>
      <c r="T25" s="122"/>
      <c r="U25" s="122"/>
      <c r="V25" s="122"/>
      <c r="W25"/>
    </row>
    <row r="26" spans="1:35" ht="15" customHeight="1">
      <c r="A26" s="22"/>
      <c r="B26" s="17"/>
      <c r="C26" s="17"/>
      <c r="D26" s="17"/>
      <c r="E26" s="17"/>
      <c r="F26" s="17"/>
      <c r="G26" s="17"/>
      <c r="H26" s="17"/>
      <c r="I26" s="17"/>
      <c r="J26" s="17"/>
      <c r="K26" s="18"/>
      <c r="L26" s="31"/>
      <c r="M26"/>
      <c r="N26" s="122"/>
      <c r="O26" s="122" t="s">
        <v>643</v>
      </c>
      <c r="P26" s="122"/>
      <c r="Q26" s="122"/>
      <c r="R26" s="122"/>
      <c r="S26" s="122"/>
      <c r="T26" s="122"/>
      <c r="U26" s="122"/>
      <c r="V26" s="122"/>
      <c r="W26"/>
    </row>
    <row r="27" spans="1:35" ht="15" customHeight="1">
      <c r="A27" s="22"/>
      <c r="B27" s="17"/>
      <c r="C27" s="17"/>
      <c r="D27" s="17"/>
      <c r="E27" s="17"/>
      <c r="F27" s="17"/>
      <c r="G27" s="17"/>
      <c r="H27" s="17"/>
      <c r="I27" s="17"/>
      <c r="J27" s="17"/>
      <c r="K27" s="18"/>
      <c r="L27" s="31"/>
      <c r="M27"/>
      <c r="N27" s="122"/>
      <c r="O27" s="122" t="s">
        <v>644</v>
      </c>
      <c r="P27" s="323" t="s">
        <v>34</v>
      </c>
      <c r="Q27" s="323" t="s">
        <v>596</v>
      </c>
      <c r="R27" s="426" t="s">
        <v>189</v>
      </c>
      <c r="S27" s="323" t="s">
        <v>645</v>
      </c>
      <c r="T27" s="122"/>
      <c r="U27" s="122"/>
      <c r="V27" s="122"/>
      <c r="W27"/>
    </row>
    <row r="28" spans="1:35" ht="15" customHeight="1">
      <c r="A28" s="22"/>
      <c r="B28" s="17"/>
      <c r="C28" s="17"/>
      <c r="D28" s="17"/>
      <c r="E28" s="17"/>
      <c r="F28" s="17"/>
      <c r="G28" s="17"/>
      <c r="H28" s="17"/>
      <c r="I28" s="17"/>
      <c r="J28" s="17"/>
      <c r="K28" s="18"/>
      <c r="L28" s="31"/>
      <c r="M28"/>
      <c r="N28" s="122"/>
      <c r="O28" s="122" t="s">
        <v>646</v>
      </c>
      <c r="P28" s="323" t="s">
        <v>34</v>
      </c>
      <c r="Q28" s="323" t="s">
        <v>596</v>
      </c>
      <c r="R28" s="426" t="s">
        <v>189</v>
      </c>
      <c r="S28" s="323" t="s">
        <v>121</v>
      </c>
      <c r="T28" s="122"/>
      <c r="U28" s="122"/>
      <c r="V28" s="122"/>
      <c r="W28"/>
    </row>
    <row r="29" spans="1:35" ht="15" customHeight="1">
      <c r="A29" s="22"/>
      <c r="B29" s="17"/>
      <c r="C29" s="17"/>
      <c r="D29" s="17"/>
      <c r="E29" s="17"/>
      <c r="F29" s="17"/>
      <c r="G29" s="17"/>
      <c r="H29" s="17"/>
      <c r="I29" s="17"/>
      <c r="J29" s="17"/>
      <c r="K29" s="18"/>
      <c r="L29" s="31"/>
      <c r="M29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92" t="s">
        <v>230</v>
      </c>
      <c r="AI29" s="122"/>
    </row>
    <row r="30" spans="1:35" ht="15" customHeight="1" thickBot="1">
      <c r="A30" s="24"/>
      <c r="B30" s="32"/>
      <c r="C30" s="32"/>
      <c r="D30" s="32"/>
      <c r="E30" s="32"/>
      <c r="F30" s="32"/>
      <c r="G30" s="32"/>
      <c r="H30" s="32"/>
      <c r="I30" s="32"/>
      <c r="J30" s="32"/>
      <c r="K30" s="33"/>
      <c r="L30" s="31"/>
      <c r="M30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92" t="s">
        <v>230</v>
      </c>
      <c r="AI30" s="122"/>
    </row>
    <row r="31" spans="1:35" ht="15" customHeight="1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92" t="s">
        <v>230</v>
      </c>
      <c r="AI31" s="122"/>
    </row>
    <row r="32" spans="1:35" ht="15" customHeight="1">
      <c r="L32" s="31"/>
      <c r="M32"/>
      <c r="W32" s="122"/>
      <c r="X32" s="122"/>
      <c r="Y32" s="192" t="s">
        <v>230</v>
      </c>
      <c r="AI32" s="122"/>
    </row>
    <row r="33" spans="2:35" ht="15" customHeight="1">
      <c r="L33" s="31"/>
      <c r="M33" s="48"/>
      <c r="W33" s="122"/>
      <c r="X33" s="122"/>
      <c r="Y33" s="192" t="s">
        <v>230</v>
      </c>
      <c r="AI33"/>
    </row>
    <row r="34" spans="2:35" ht="15" customHeight="1">
      <c r="L34" s="31"/>
      <c r="M34"/>
      <c r="W34" s="122"/>
      <c r="X34" s="122"/>
      <c r="Y34" s="192" t="s">
        <v>230</v>
      </c>
      <c r="AI34"/>
    </row>
    <row r="35" spans="2:35" ht="15" customHeight="1">
      <c r="L35" s="31"/>
      <c r="M35" s="48"/>
      <c r="W35" s="122"/>
      <c r="X35" s="122"/>
      <c r="Y35" s="192" t="s">
        <v>230</v>
      </c>
      <c r="AI35"/>
    </row>
    <row r="36" spans="2:35" ht="15" customHeight="1">
      <c r="L36" s="31"/>
      <c r="M36"/>
      <c r="W36" s="97"/>
      <c r="X36" s="97"/>
      <c r="Y36" s="192" t="s">
        <v>230</v>
      </c>
      <c r="AI36"/>
    </row>
    <row r="37" spans="2:35" ht="15" customHeight="1">
      <c r="L37" s="31"/>
      <c r="M37"/>
      <c r="W37"/>
      <c r="X37"/>
      <c r="Y37" s="192" t="s">
        <v>230</v>
      </c>
      <c r="AI37" s="122"/>
    </row>
    <row r="38" spans="2:35" ht="15" customHeight="1">
      <c r="L38" s="31"/>
      <c r="M38"/>
      <c r="W38" s="122"/>
      <c r="X38" s="122"/>
      <c r="Y38" s="192" t="s">
        <v>230</v>
      </c>
      <c r="AI38" s="122"/>
    </row>
    <row r="39" spans="2:35" ht="15" customHeight="1">
      <c r="L39" s="31"/>
      <c r="M39"/>
      <c r="W39" s="122"/>
      <c r="X39" s="122"/>
      <c r="Y39" s="192" t="s">
        <v>230</v>
      </c>
      <c r="AI39" s="122"/>
    </row>
    <row r="40" spans="2:35" ht="15" customHeight="1">
      <c r="L40" s="31"/>
      <c r="M40"/>
      <c r="W40" s="122"/>
      <c r="X40" s="122"/>
      <c r="Y40" s="192" t="s">
        <v>230</v>
      </c>
      <c r="AI40" s="122"/>
    </row>
    <row r="41" spans="2:35" ht="15" customHeight="1">
      <c r="L41" s="31"/>
      <c r="M41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92" t="s">
        <v>230</v>
      </c>
      <c r="AI41" s="122"/>
    </row>
    <row r="42" spans="2:35" ht="15" customHeight="1">
      <c r="L42" s="31"/>
      <c r="M4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92" t="s">
        <v>230</v>
      </c>
      <c r="AI42" s="122"/>
    </row>
    <row r="43" spans="2:35" ht="15" customHeight="1">
      <c r="L43" s="31"/>
      <c r="M43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92" t="s">
        <v>230</v>
      </c>
      <c r="AI43" s="122"/>
    </row>
    <row r="44" spans="2:35" ht="15" customHeight="1">
      <c r="L44" s="31"/>
      <c r="M44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92" t="s">
        <v>230</v>
      </c>
      <c r="AI44" s="122"/>
    </row>
    <row r="45" spans="2:35" ht="15" customHeight="1">
      <c r="L45" s="31"/>
      <c r="M45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92" t="s">
        <v>230</v>
      </c>
      <c r="AI45" s="122"/>
    </row>
    <row r="46" spans="2:35" ht="15" customHeight="1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92" t="s">
        <v>230</v>
      </c>
      <c r="AI46" s="122"/>
    </row>
    <row r="47" spans="2:35" ht="15" customHeight="1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92" t="s">
        <v>230</v>
      </c>
      <c r="AI47" s="122"/>
    </row>
    <row r="48" spans="2:35" ht="15" customHeight="1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92" t="s">
        <v>230</v>
      </c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</row>
    <row r="49" spans="2:23" ht="15" customHeight="1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/>
      <c r="N49"/>
      <c r="O49"/>
      <c r="P49"/>
      <c r="Q49"/>
      <c r="R49"/>
      <c r="S49"/>
      <c r="T49"/>
      <c r="U49"/>
      <c r="V49"/>
      <c r="W49"/>
    </row>
    <row r="50" spans="2:23" ht="15" customHeight="1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/>
      <c r="N50"/>
      <c r="O50"/>
      <c r="P50"/>
      <c r="Q50"/>
      <c r="R50"/>
      <c r="S50"/>
      <c r="T50"/>
      <c r="U50"/>
      <c r="V50"/>
      <c r="W50"/>
    </row>
    <row r="51" spans="2:23" ht="15" customHeight="1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spans="2:23" ht="15" customHeight="1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spans="2:23" ht="15" customHeight="1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spans="2:23" ht="15" customHeight="1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spans="2:23" ht="15" customHeight="1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spans="2:23" ht="15" customHeight="1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spans="2:23" ht="15" customHeight="1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spans="2:23" ht="15" customHeight="1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</row>
    <row r="59" spans="2:23" ht="15" customHeight="1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spans="2:23" ht="15" customHeight="1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spans="2:23" ht="15" customHeight="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spans="2:23" ht="15" customHeight="1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spans="2:23" ht="15" customHeight="1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</row>
    <row r="64" spans="2:23" ht="15" customHeight="1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</row>
    <row r="65" spans="2:12" ht="15" customHeight="1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</row>
    <row r="66" spans="2:12" ht="15" customHeight="1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</row>
    <row r="67" spans="2:12" ht="15" customHeight="1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</row>
    <row r="68" spans="2:12" ht="15" customHeight="1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</row>
    <row r="69" spans="2:12" ht="15" customHeight="1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</row>
    <row r="70" spans="2:12" ht="15" customHeight="1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</row>
    <row r="71" spans="2:12" ht="15" customHeight="1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</row>
    <row r="72" spans="2:12" ht="15" customHeight="1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</row>
    <row r="73" spans="2:12" ht="15" customHeight="1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</row>
    <row r="74" spans="2:12" ht="15" customHeight="1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</row>
    <row r="75" spans="2:12" ht="15" customHeight="1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</row>
    <row r="76" spans="2:12" ht="15" customHeight="1"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</row>
    <row r="77" spans="2:12" ht="15" customHeight="1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</row>
    <row r="78" spans="2:12" ht="15" customHeight="1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</row>
    <row r="79" spans="2:12" ht="15" customHeight="1"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</row>
    <row r="80" spans="2:12" ht="15" customHeight="1"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</row>
    <row r="81" spans="2:12" ht="15" customHeight="1"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</row>
    <row r="82" spans="2:12" ht="15" customHeight="1"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</row>
    <row r="83" spans="2:12" ht="15" customHeight="1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</row>
    <row r="84" spans="2:12" ht="15" customHeight="1"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</row>
    <row r="85" spans="2:12" ht="15" customHeight="1"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</row>
    <row r="86" spans="2:12" ht="15" customHeight="1"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</row>
    <row r="87" spans="2:12" ht="15" customHeight="1"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</row>
    <row r="88" spans="2:12" ht="15" customHeight="1"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</row>
    <row r="89" spans="2:12" ht="15" customHeight="1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</row>
    <row r="90" spans="2:12" ht="15" customHeight="1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</row>
    <row r="91" spans="2:12" ht="15" customHeight="1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</row>
    <row r="92" spans="2:12" ht="15" customHeight="1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</row>
    <row r="93" spans="2:12" ht="15" customHeight="1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</row>
    <row r="94" spans="2:12" ht="15" customHeight="1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</row>
    <row r="95" spans="2:12" ht="15" customHeight="1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</row>
    <row r="96" spans="2:12" ht="15" customHeight="1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</row>
    <row r="97" spans="2:12" ht="15" customHeight="1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</row>
    <row r="98" spans="2:12" ht="15" customHeight="1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</row>
    <row r="99" spans="2:12" ht="15" customHeight="1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</row>
    <row r="100" spans="2:12" ht="15" customHeight="1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2:12" ht="15" customHeight="1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</row>
  </sheetData>
  <mergeCells count="1">
    <mergeCell ref="J1:K1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K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10" width="11.140625" style="21" customWidth="1"/>
    <col min="11" max="16384" width="9.140625" style="21"/>
  </cols>
  <sheetData>
    <row r="1" spans="1:22">
      <c r="A1" s="7">
        <v>23</v>
      </c>
      <c r="B1" s="27" t="s">
        <v>12</v>
      </c>
      <c r="C1" s="20"/>
      <c r="D1" s="20"/>
      <c r="E1" s="20"/>
      <c r="F1" s="20"/>
      <c r="G1" s="20"/>
      <c r="H1" s="20"/>
      <c r="I1" s="854" t="s">
        <v>24</v>
      </c>
      <c r="J1" s="855"/>
      <c r="L1" s="1" t="s">
        <v>33</v>
      </c>
      <c r="M1" s="52" t="str">
        <f>VLOOKUP(A1,'Point Grid'!$L$8:$T$54,9,FALSE)</f>
        <v>Reserving - Chap 10: Cape Cod Method</v>
      </c>
      <c r="N1"/>
      <c r="O1"/>
      <c r="P1"/>
      <c r="Q1"/>
      <c r="R1"/>
      <c r="S1"/>
      <c r="T1"/>
      <c r="U1"/>
      <c r="V1"/>
    </row>
    <row r="2" spans="1:22">
      <c r="A2" s="22"/>
      <c r="B2" s="19"/>
      <c r="C2" s="19"/>
      <c r="D2" s="19"/>
      <c r="E2" s="19"/>
      <c r="F2" s="19"/>
      <c r="G2" s="19"/>
      <c r="H2" s="19"/>
      <c r="I2" s="19"/>
      <c r="J2" s="23"/>
      <c r="L2" s="1"/>
      <c r="M2"/>
      <c r="N2"/>
      <c r="O2"/>
      <c r="P2"/>
      <c r="Q2"/>
      <c r="R2"/>
      <c r="S2"/>
      <c r="T2"/>
      <c r="U2"/>
      <c r="V2"/>
    </row>
    <row r="3" spans="1:22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8"/>
      <c r="K3" s="31"/>
      <c r="L3" s="48" t="s">
        <v>2</v>
      </c>
      <c r="M3" t="s">
        <v>650</v>
      </c>
      <c r="N3"/>
      <c r="O3"/>
      <c r="P3"/>
      <c r="Q3"/>
      <c r="R3"/>
      <c r="S3"/>
      <c r="T3"/>
      <c r="U3"/>
      <c r="V3"/>
    </row>
    <row r="4" spans="1:22">
      <c r="A4" s="9">
        <f>INDEX('Point Grid'!B:B,MATCH(A1,'Point Grid'!A:A,0))</f>
        <v>3</v>
      </c>
      <c r="B4" s="17"/>
      <c r="C4" s="17"/>
      <c r="D4" s="17"/>
      <c r="E4" s="17"/>
      <c r="F4" s="17"/>
      <c r="G4" s="17"/>
      <c r="H4" s="17"/>
      <c r="I4" s="17"/>
      <c r="J4" s="18"/>
      <c r="K4" s="31"/>
      <c r="L4" s="48"/>
      <c r="M4" s="134" t="s">
        <v>651</v>
      </c>
      <c r="N4"/>
      <c r="O4"/>
      <c r="P4"/>
      <c r="Q4"/>
      <c r="R4"/>
      <c r="S4"/>
      <c r="T4"/>
      <c r="U4"/>
      <c r="V4"/>
    </row>
    <row r="5" spans="1:22">
      <c r="A5" s="16"/>
      <c r="B5" s="17"/>
      <c r="C5" s="17"/>
      <c r="D5" s="17"/>
      <c r="E5" s="17"/>
      <c r="F5" s="17"/>
      <c r="G5" s="17"/>
      <c r="H5" s="17"/>
      <c r="I5" s="17"/>
      <c r="J5" s="18"/>
      <c r="K5" s="31"/>
      <c r="L5" s="48"/>
      <c r="M5" s="134" t="s">
        <v>652</v>
      </c>
      <c r="N5"/>
      <c r="O5"/>
      <c r="P5"/>
      <c r="Q5"/>
      <c r="R5"/>
      <c r="S5"/>
      <c r="T5"/>
      <c r="U5"/>
      <c r="V5"/>
    </row>
    <row r="6" spans="1:22" ht="15" customHeight="1">
      <c r="A6" s="25" t="s">
        <v>2</v>
      </c>
      <c r="B6" s="17" t="s">
        <v>648</v>
      </c>
      <c r="C6" s="17"/>
      <c r="D6" s="17"/>
      <c r="E6" s="17"/>
      <c r="F6" s="17"/>
      <c r="G6" s="17"/>
      <c r="H6" s="17"/>
      <c r="I6" s="17"/>
      <c r="J6" s="18"/>
      <c r="K6" s="31"/>
      <c r="L6" s="48"/>
      <c r="M6" s="1"/>
      <c r="N6"/>
      <c r="O6"/>
      <c r="P6"/>
      <c r="Q6"/>
      <c r="R6"/>
      <c r="S6"/>
      <c r="T6"/>
      <c r="U6"/>
      <c r="V6"/>
    </row>
    <row r="7" spans="1:22" ht="15" customHeight="1" thickBot="1">
      <c r="A7" s="9">
        <f>INDEX('Point Grid'!$C$8:$I$54,MATCH($A$1,'Point Grid'!$A$8:$A$54,0),MATCH(A6,'Point Grid'!$C$7:$I$7,0))</f>
        <v>0.5</v>
      </c>
      <c r="B7" s="17" t="s">
        <v>649</v>
      </c>
      <c r="C7" s="17"/>
      <c r="D7" s="17"/>
      <c r="E7" s="17"/>
      <c r="F7" s="17"/>
      <c r="G7" s="17"/>
      <c r="H7" s="17"/>
      <c r="I7" s="17"/>
      <c r="J7" s="18"/>
      <c r="K7" s="31"/>
      <c r="L7" s="48" t="s">
        <v>3</v>
      </c>
      <c r="M7" s="567" t="s">
        <v>657</v>
      </c>
      <c r="N7" s="570"/>
      <c r="O7" s="571"/>
      <c r="P7" s="49"/>
      <c r="Q7" s="49"/>
      <c r="R7" s="49"/>
      <c r="S7" s="49"/>
      <c r="T7" s="49"/>
      <c r="U7" s="49"/>
      <c r="V7" s="49"/>
    </row>
    <row r="8" spans="1:22" ht="15.75" thickBot="1">
      <c r="A8" s="5"/>
      <c r="B8" s="17"/>
      <c r="C8" s="28"/>
      <c r="D8" s="28"/>
      <c r="E8" s="28"/>
      <c r="F8" s="28"/>
      <c r="G8" s="28"/>
      <c r="H8" s="28"/>
      <c r="I8" s="28"/>
      <c r="J8" s="18"/>
      <c r="K8" s="31"/>
      <c r="L8"/>
      <c r="M8" s="49" t="s">
        <v>654</v>
      </c>
      <c r="N8" s="49"/>
      <c r="O8" s="49"/>
      <c r="P8" s="49"/>
      <c r="Q8" s="49"/>
      <c r="R8" s="49"/>
      <c r="S8" s="49"/>
      <c r="T8" s="49"/>
      <c r="U8" s="49"/>
      <c r="V8" s="49"/>
    </row>
    <row r="9" spans="1:22">
      <c r="A9" s="25"/>
      <c r="B9" s="17"/>
      <c r="C9" s="17"/>
      <c r="D9" s="17"/>
      <c r="E9" s="17"/>
      <c r="F9" s="17"/>
      <c r="G9" s="17"/>
      <c r="H9" s="17"/>
      <c r="I9" s="17"/>
      <c r="J9" s="18"/>
      <c r="K9" s="31"/>
      <c r="L9" s="48"/>
      <c r="M9" s="49" t="s">
        <v>655</v>
      </c>
      <c r="N9" s="49"/>
      <c r="O9" s="49"/>
      <c r="P9" s="49"/>
      <c r="Q9" s="49"/>
      <c r="R9" s="49"/>
      <c r="S9" s="49"/>
      <c r="T9" s="49"/>
      <c r="U9" s="531"/>
      <c r="V9" s="531"/>
    </row>
    <row r="10" spans="1:22">
      <c r="A10" s="25" t="s">
        <v>3</v>
      </c>
      <c r="B10" s="17" t="s">
        <v>653</v>
      </c>
      <c r="C10" s="17"/>
      <c r="D10" s="17"/>
      <c r="E10" s="17"/>
      <c r="F10" s="17"/>
      <c r="G10" s="17"/>
      <c r="H10" s="17"/>
      <c r="I10" s="17"/>
      <c r="J10" s="18"/>
      <c r="K10" s="31"/>
      <c r="L10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2" ht="15.75" thickBot="1">
      <c r="A11" s="9">
        <f>INDEX('Point Grid'!$C$8:$I$54,MATCH($A$1,'Point Grid'!$A$8:$A$54,0),MATCH(A10,'Point Grid'!$C$7:$I$7,0))</f>
        <v>1</v>
      </c>
      <c r="B11" s="17"/>
      <c r="C11" s="17"/>
      <c r="D11" s="17"/>
      <c r="E11" s="17"/>
      <c r="F11" s="17"/>
      <c r="G11" s="17"/>
      <c r="H11" s="17"/>
      <c r="I11" s="17"/>
      <c r="J11" s="18"/>
      <c r="K11" s="31"/>
      <c r="L11"/>
      <c r="M11" s="567" t="s">
        <v>656</v>
      </c>
      <c r="N11" s="570"/>
      <c r="O11" s="571"/>
      <c r="P11" s="49"/>
      <c r="Q11" s="49"/>
      <c r="R11" s="49"/>
      <c r="S11" s="49"/>
      <c r="T11" s="49"/>
      <c r="U11" s="49"/>
      <c r="V11" s="49"/>
    </row>
    <row r="12" spans="1:22" ht="15.75" thickBot="1">
      <c r="A12" s="5"/>
      <c r="B12" s="17"/>
      <c r="C12" s="28"/>
      <c r="D12" s="28"/>
      <c r="E12" s="28"/>
      <c r="F12" s="28"/>
      <c r="G12" s="28"/>
      <c r="H12" s="28"/>
      <c r="I12" s="28"/>
      <c r="J12" s="18"/>
      <c r="K12" s="31"/>
      <c r="L12"/>
      <c r="M12" s="49" t="s">
        <v>658</v>
      </c>
      <c r="N12" s="49"/>
      <c r="O12" s="49"/>
      <c r="P12" s="49"/>
      <c r="Q12" s="49"/>
      <c r="R12" s="49"/>
      <c r="S12" s="49"/>
      <c r="T12" s="49"/>
      <c r="U12" s="49"/>
      <c r="V12" s="49"/>
    </row>
    <row r="13" spans="1:22">
      <c r="A13" s="25"/>
      <c r="B13" s="17"/>
      <c r="C13" s="28"/>
      <c r="D13" s="28"/>
      <c r="E13" s="28"/>
      <c r="F13" s="28"/>
      <c r="G13" s="28"/>
      <c r="H13" s="28"/>
      <c r="I13" s="28"/>
      <c r="J13" s="18"/>
      <c r="K13" s="31"/>
      <c r="L13" s="48"/>
      <c r="M13" s="361" t="s">
        <v>659</v>
      </c>
      <c r="N13" s="49"/>
      <c r="O13" s="49"/>
      <c r="P13" s="49"/>
      <c r="Q13" s="49"/>
      <c r="R13" s="49"/>
      <c r="S13" s="49"/>
      <c r="T13" s="49"/>
      <c r="U13" s="49"/>
      <c r="V13" s="49"/>
    </row>
    <row r="14" spans="1:22">
      <c r="A14" s="25" t="s">
        <v>4</v>
      </c>
      <c r="B14" s="231" t="s">
        <v>625</v>
      </c>
      <c r="C14" s="231"/>
      <c r="D14" s="563" t="s">
        <v>596</v>
      </c>
      <c r="E14" s="328" t="s">
        <v>626</v>
      </c>
      <c r="F14" s="564">
        <v>2025</v>
      </c>
      <c r="G14" s="231" t="s">
        <v>667</v>
      </c>
      <c r="H14" s="231"/>
      <c r="I14" s="231"/>
      <c r="J14" s="18"/>
      <c r="K14" s="31"/>
      <c r="L14"/>
      <c r="M14" s="49" t="s">
        <v>660</v>
      </c>
      <c r="N14" s="49"/>
      <c r="O14" s="49"/>
      <c r="P14" s="49"/>
      <c r="Q14" s="49"/>
      <c r="R14" s="49"/>
      <c r="S14" s="49"/>
      <c r="T14" s="49"/>
      <c r="U14" s="49"/>
      <c r="V14" s="49"/>
    </row>
    <row r="15" spans="1:22" ht="15.75" thickBot="1">
      <c r="A15" s="9">
        <f>INDEX('Point Grid'!$C$8:$I$54,MATCH($A$1,'Point Grid'!$A$8:$A$54,0),MATCH(A14,'Point Grid'!$C$7:$I$7,0))</f>
        <v>1.5</v>
      </c>
      <c r="B15" s="231"/>
      <c r="C15" s="231"/>
      <c r="D15" s="231"/>
      <c r="E15" s="231"/>
      <c r="F15" s="231"/>
      <c r="G15" s="231"/>
      <c r="H15" s="231"/>
      <c r="I15" s="231"/>
      <c r="J15" s="18"/>
      <c r="K15" s="31"/>
      <c r="L15"/>
      <c r="M15" s="49" t="s">
        <v>661</v>
      </c>
      <c r="N15" s="49"/>
      <c r="O15" s="49"/>
      <c r="P15" s="49"/>
      <c r="Q15" s="49"/>
      <c r="R15" s="49"/>
      <c r="S15" s="49"/>
      <c r="T15" s="49"/>
      <c r="U15" s="49"/>
      <c r="V15" s="49"/>
    </row>
    <row r="16" spans="1:22" ht="15.75" thickBot="1">
      <c r="A16" s="5"/>
      <c r="B16" s="231"/>
      <c r="C16" s="231"/>
      <c r="D16" s="231"/>
      <c r="E16" s="231"/>
      <c r="F16" s="231"/>
      <c r="G16" s="231"/>
      <c r="H16" s="231"/>
      <c r="I16" s="231"/>
      <c r="J16" s="18"/>
      <c r="K16" s="31"/>
      <c r="L16" s="48"/>
      <c r="M16" s="49" t="s">
        <v>662</v>
      </c>
      <c r="N16" s="49"/>
      <c r="O16" s="49"/>
      <c r="P16" s="49"/>
      <c r="Q16" s="49"/>
      <c r="R16" s="49"/>
      <c r="S16" s="49"/>
      <c r="T16" s="49"/>
      <c r="U16" s="49"/>
      <c r="V16" s="49"/>
    </row>
    <row r="17" spans="1:37">
      <c r="A17" s="22"/>
      <c r="B17" s="545"/>
      <c r="C17" s="546"/>
      <c r="D17" s="546"/>
      <c r="E17" s="523" t="s">
        <v>334</v>
      </c>
      <c r="F17" s="328"/>
      <c r="G17" s="328"/>
      <c r="H17" s="328"/>
      <c r="I17" s="231"/>
      <c r="J17" s="18"/>
      <c r="K17" s="31"/>
      <c r="L17"/>
      <c r="M17" s="49"/>
      <c r="N17" s="49"/>
      <c r="O17" s="49"/>
      <c r="P17" s="49"/>
      <c r="Q17" s="49"/>
      <c r="R17" s="49"/>
      <c r="S17" s="49"/>
      <c r="T17" s="49"/>
      <c r="U17" s="49"/>
      <c r="V17" s="49"/>
    </row>
    <row r="18" spans="1:37" ht="15" customHeight="1">
      <c r="A18" s="22"/>
      <c r="B18" s="547"/>
      <c r="C18" s="548"/>
      <c r="D18" s="548"/>
      <c r="E18" s="549" t="s">
        <v>336</v>
      </c>
      <c r="F18" s="550"/>
      <c r="G18" s="550"/>
      <c r="H18" s="550"/>
      <c r="I18" s="231"/>
      <c r="J18" s="18"/>
      <c r="K18" s="31"/>
      <c r="L18" s="48" t="s">
        <v>4</v>
      </c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92"/>
      <c r="AK18" s="122"/>
    </row>
    <row r="19" spans="1:37" ht="15" customHeight="1">
      <c r="A19" s="22"/>
      <c r="B19" s="551" t="s">
        <v>120</v>
      </c>
      <c r="C19" s="552" t="s">
        <v>664</v>
      </c>
      <c r="D19" s="552" t="s">
        <v>668</v>
      </c>
      <c r="E19" s="553" t="s">
        <v>669</v>
      </c>
      <c r="F19" s="328"/>
      <c r="G19" s="433" t="s">
        <v>557</v>
      </c>
      <c r="H19" s="554" t="s">
        <v>624</v>
      </c>
      <c r="I19" s="231"/>
      <c r="J19" s="18"/>
      <c r="K19" s="31"/>
      <c r="L19"/>
      <c r="M19" s="507" t="s">
        <v>169</v>
      </c>
      <c r="N19" s="414" t="s">
        <v>663</v>
      </c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AK19" s="122"/>
    </row>
    <row r="20" spans="1:37" ht="15" customHeight="1">
      <c r="A20" s="22"/>
      <c r="B20" s="555">
        <v>2023</v>
      </c>
      <c r="C20" s="556">
        <v>6400</v>
      </c>
      <c r="D20" s="557">
        <v>2.1</v>
      </c>
      <c r="E20" s="558">
        <v>1.0795209999999997</v>
      </c>
      <c r="F20" s="231"/>
      <c r="G20" s="555">
        <v>2023</v>
      </c>
      <c r="H20" s="559">
        <v>17280</v>
      </c>
      <c r="I20" s="231"/>
      <c r="J20" s="18"/>
      <c r="K20" s="31"/>
      <c r="L20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AK20" s="122"/>
    </row>
    <row r="21" spans="1:37" ht="15" customHeight="1">
      <c r="A21" s="22"/>
      <c r="B21" s="555">
        <v>2024</v>
      </c>
      <c r="C21" s="556">
        <v>4000</v>
      </c>
      <c r="D21" s="557">
        <v>3.9</v>
      </c>
      <c r="E21" s="558">
        <v>1.0389999999999999</v>
      </c>
      <c r="F21" s="231"/>
      <c r="G21" s="555">
        <v>2024</v>
      </c>
      <c r="H21" s="559">
        <v>16400</v>
      </c>
      <c r="I21" s="231"/>
      <c r="J21" s="18"/>
      <c r="K21" s="31"/>
      <c r="L21"/>
      <c r="M21" s="122"/>
      <c r="N21" s="532" t="s">
        <v>120</v>
      </c>
      <c r="O21" s="430" t="s">
        <v>664</v>
      </c>
      <c r="P21" s="430" t="s">
        <v>363</v>
      </c>
      <c r="Q21" s="430" t="s">
        <v>665</v>
      </c>
      <c r="R21" s="430" t="s">
        <v>34</v>
      </c>
      <c r="S21" s="429" t="s">
        <v>666</v>
      </c>
      <c r="T21" s="429"/>
      <c r="U21" s="429"/>
      <c r="V21" s="122"/>
      <c r="W21" s="122"/>
      <c r="X21" s="122"/>
      <c r="AK21" s="122"/>
    </row>
    <row r="22" spans="1:37" ht="15" customHeight="1">
      <c r="A22" s="22"/>
      <c r="B22" s="560">
        <v>2025</v>
      </c>
      <c r="C22" s="552">
        <v>1600</v>
      </c>
      <c r="D22" s="561">
        <v>5.4</v>
      </c>
      <c r="E22" s="562">
        <v>1</v>
      </c>
      <c r="F22" s="231"/>
      <c r="G22" s="560">
        <v>2025</v>
      </c>
      <c r="H22" s="553">
        <v>12640</v>
      </c>
      <c r="I22" s="231"/>
      <c r="J22" s="18"/>
      <c r="K22" s="31"/>
      <c r="L22"/>
      <c r="M22" s="122"/>
      <c r="N22" s="533">
        <v>2023</v>
      </c>
      <c r="O22" s="323">
        <f>C20</f>
        <v>6400</v>
      </c>
      <c r="P22" s="323" t="s">
        <v>363</v>
      </c>
      <c r="Q22" s="534">
        <f>E20</f>
        <v>1.0795209999999997</v>
      </c>
      <c r="R22" s="323" t="s">
        <v>34</v>
      </c>
      <c r="S22" s="122">
        <f>O22*Q22</f>
        <v>6908.9343999999983</v>
      </c>
      <c r="T22" s="122"/>
      <c r="U22" s="122"/>
      <c r="V22" s="122"/>
      <c r="W22" s="122"/>
      <c r="X22" s="122"/>
      <c r="AK22" s="122"/>
    </row>
    <row r="23" spans="1:37" ht="15" customHeight="1">
      <c r="A23" s="22"/>
      <c r="B23" s="17"/>
      <c r="C23" s="17"/>
      <c r="D23" s="17"/>
      <c r="E23" s="17"/>
      <c r="F23" s="17"/>
      <c r="G23" s="17"/>
      <c r="H23" s="17"/>
      <c r="I23" s="17"/>
      <c r="J23" s="18"/>
      <c r="K23" s="31"/>
      <c r="L23"/>
      <c r="M23" s="122"/>
      <c r="N23" s="533">
        <f>N22+1</f>
        <v>2024</v>
      </c>
      <c r="O23" s="323">
        <f>C21</f>
        <v>4000</v>
      </c>
      <c r="P23" s="323" t="s">
        <v>363</v>
      </c>
      <c r="Q23" s="534">
        <f>E21</f>
        <v>1.0389999999999999</v>
      </c>
      <c r="R23" s="323" t="s">
        <v>34</v>
      </c>
      <c r="S23" s="122">
        <f>O23*Q23</f>
        <v>4156</v>
      </c>
      <c r="T23" s="122"/>
      <c r="U23" s="122"/>
      <c r="V23" s="122"/>
      <c r="W23" s="122"/>
      <c r="X23" s="122"/>
      <c r="AK23" s="122"/>
    </row>
    <row r="24" spans="1:37" ht="15" customHeight="1">
      <c r="A24" s="22"/>
      <c r="B24" s="565" t="s">
        <v>673</v>
      </c>
      <c r="C24" s="17"/>
      <c r="D24" s="17"/>
      <c r="E24" s="17"/>
      <c r="F24" s="17"/>
      <c r="G24" s="17"/>
      <c r="H24" s="17"/>
      <c r="I24" s="17"/>
      <c r="J24" s="18"/>
      <c r="K24" s="31"/>
      <c r="L24"/>
      <c r="M24" s="122"/>
      <c r="N24" s="533">
        <f>N23+1</f>
        <v>2025</v>
      </c>
      <c r="O24" s="323">
        <f>C22</f>
        <v>1600</v>
      </c>
      <c r="P24" s="323" t="s">
        <v>363</v>
      </c>
      <c r="Q24" s="534">
        <f>E22</f>
        <v>1</v>
      </c>
      <c r="R24" s="323" t="s">
        <v>34</v>
      </c>
      <c r="S24" s="122">
        <f>O24*Q24</f>
        <v>1600</v>
      </c>
      <c r="T24" s="122"/>
      <c r="U24" s="122"/>
      <c r="V24" s="122"/>
      <c r="W24" s="122"/>
      <c r="X24" s="122"/>
      <c r="AK24" s="122"/>
    </row>
    <row r="25" spans="1:37" ht="15" customHeight="1">
      <c r="A25" s="22"/>
      <c r="B25" s="565" t="s">
        <v>674</v>
      </c>
      <c r="C25" s="17"/>
      <c r="D25" s="17"/>
      <c r="E25" s="17"/>
      <c r="F25" s="17"/>
      <c r="G25" s="17"/>
      <c r="H25" s="17"/>
      <c r="I25" s="17"/>
      <c r="J25" s="18"/>
      <c r="K25" s="31"/>
      <c r="L25"/>
      <c r="M25" s="122"/>
      <c r="N25" s="535"/>
      <c r="O25" s="536"/>
      <c r="P25" s="536"/>
      <c r="Q25" s="536"/>
      <c r="R25" s="536"/>
      <c r="S25" s="537">
        <f>SUM(S22:S24)</f>
        <v>12664.934399999998</v>
      </c>
      <c r="T25" s="536"/>
      <c r="U25" s="536"/>
      <c r="V25" s="122"/>
      <c r="W25" s="122"/>
      <c r="X25" s="122"/>
      <c r="AK25" s="122"/>
    </row>
    <row r="26" spans="1:37" ht="15" customHeight="1">
      <c r="A26" s="22"/>
      <c r="B26" s="17"/>
      <c r="C26" s="17"/>
      <c r="D26" s="17"/>
      <c r="E26" s="17"/>
      <c r="F26" s="17"/>
      <c r="G26" s="17"/>
      <c r="H26" s="17"/>
      <c r="I26" s="17"/>
      <c r="J26" s="18"/>
      <c r="K26" s="31"/>
      <c r="L26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AK26"/>
    </row>
    <row r="27" spans="1:37" ht="15" customHeight="1">
      <c r="A27" s="22"/>
      <c r="B27" s="17"/>
      <c r="C27" s="17"/>
      <c r="D27" s="17"/>
      <c r="E27" s="17"/>
      <c r="F27" s="17"/>
      <c r="G27" s="17"/>
      <c r="H27" s="17"/>
      <c r="I27" s="17"/>
      <c r="J27" s="18"/>
      <c r="K27" s="31"/>
      <c r="L27"/>
      <c r="M27" s="507" t="s">
        <v>174</v>
      </c>
      <c r="N27" t="s">
        <v>670</v>
      </c>
      <c r="O27"/>
      <c r="P27"/>
      <c r="Q27"/>
      <c r="R27"/>
      <c r="S27"/>
      <c r="T27"/>
      <c r="U27"/>
      <c r="V27"/>
      <c r="W27"/>
      <c r="X27"/>
      <c r="AK27" s="122"/>
    </row>
    <row r="28" spans="1:37" ht="15" customHeight="1">
      <c r="A28" s="22"/>
      <c r="B28" s="17"/>
      <c r="C28" s="17"/>
      <c r="D28" s="17"/>
      <c r="E28" s="17"/>
      <c r="F28" s="17"/>
      <c r="G28" s="17"/>
      <c r="H28" s="17"/>
      <c r="I28" s="17"/>
      <c r="J28" s="18"/>
      <c r="K28" s="31"/>
      <c r="L28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AK28" s="122"/>
    </row>
    <row r="29" spans="1:37" ht="15" customHeight="1">
      <c r="A29" s="22"/>
      <c r="B29" s="17"/>
      <c r="C29" s="17"/>
      <c r="D29" s="17"/>
      <c r="E29" s="17"/>
      <c r="F29" s="17"/>
      <c r="G29" s="17"/>
      <c r="H29" s="17"/>
      <c r="I29" s="17"/>
      <c r="J29" s="18"/>
      <c r="K29" s="31"/>
      <c r="L29"/>
      <c r="M29" s="122"/>
      <c r="N29" s="538" t="s">
        <v>671</v>
      </c>
      <c r="O29" s="430" t="s">
        <v>624</v>
      </c>
      <c r="P29" s="539" t="s">
        <v>36</v>
      </c>
      <c r="Q29" s="430" t="s">
        <v>668</v>
      </c>
      <c r="R29" s="430" t="s">
        <v>34</v>
      </c>
      <c r="S29" s="430" t="s">
        <v>672</v>
      </c>
      <c r="T29" s="122"/>
      <c r="U29" s="122"/>
      <c r="V29" s="122"/>
      <c r="W29" s="122"/>
      <c r="X29" s="122"/>
      <c r="AK29" s="122"/>
    </row>
    <row r="30" spans="1:37" ht="15" customHeight="1" thickBot="1">
      <c r="A30" s="24"/>
      <c r="B30" s="32"/>
      <c r="C30" s="32"/>
      <c r="D30" s="32"/>
      <c r="E30" s="32"/>
      <c r="F30" s="32"/>
      <c r="G30" s="32"/>
      <c r="H30" s="32"/>
      <c r="I30" s="32"/>
      <c r="J30" s="33"/>
      <c r="K30" s="31"/>
      <c r="L30"/>
      <c r="M30" s="122"/>
      <c r="N30" s="533">
        <f>B20</f>
        <v>2023</v>
      </c>
      <c r="O30" s="323">
        <f>H20</f>
        <v>17280</v>
      </c>
      <c r="P30" s="426" t="s">
        <v>36</v>
      </c>
      <c r="Q30" s="508">
        <f>D20</f>
        <v>2.1</v>
      </c>
      <c r="R30" s="323" t="s">
        <v>34</v>
      </c>
      <c r="S30" s="323">
        <f>O30/Q30</f>
        <v>8228.5714285714275</v>
      </c>
      <c r="T30" s="122"/>
      <c r="U30" s="122"/>
      <c r="V30" s="122"/>
      <c r="W30" s="122"/>
      <c r="X30" s="122"/>
      <c r="AK30" s="122"/>
    </row>
    <row r="31" spans="1:37" ht="15" customHeight="1">
      <c r="B31" s="31"/>
      <c r="C31" s="31"/>
      <c r="D31" s="31"/>
      <c r="E31" s="31"/>
      <c r="F31" s="31"/>
      <c r="G31" s="31"/>
      <c r="H31" s="31"/>
      <c r="I31" s="31"/>
      <c r="J31" s="31"/>
      <c r="K31" s="31"/>
      <c r="L31"/>
      <c r="M31" s="122"/>
      <c r="N31" s="533">
        <f>B21</f>
        <v>2024</v>
      </c>
      <c r="O31" s="323">
        <f>H21</f>
        <v>16400</v>
      </c>
      <c r="P31" s="426" t="s">
        <v>36</v>
      </c>
      <c r="Q31" s="508">
        <f>D21</f>
        <v>3.9</v>
      </c>
      <c r="R31" s="323" t="s">
        <v>34</v>
      </c>
      <c r="S31" s="323">
        <f>O31/Q31</f>
        <v>4205.1282051282051</v>
      </c>
      <c r="T31" s="122"/>
      <c r="U31" s="122"/>
      <c r="V31" s="122"/>
      <c r="W31" s="122"/>
      <c r="X31" s="122"/>
      <c r="AK31" s="122"/>
    </row>
    <row r="32" spans="1:37" ht="15" customHeight="1">
      <c r="K32" s="31"/>
      <c r="L32"/>
      <c r="M32" s="122"/>
      <c r="N32" s="533">
        <f>B22</f>
        <v>2025</v>
      </c>
      <c r="O32" s="323">
        <f>H22</f>
        <v>12640</v>
      </c>
      <c r="P32" s="426" t="s">
        <v>36</v>
      </c>
      <c r="Q32" s="508">
        <f>D22</f>
        <v>5.4</v>
      </c>
      <c r="R32" s="323" t="s">
        <v>34</v>
      </c>
      <c r="S32" s="323">
        <f>O32/Q32</f>
        <v>2340.7407407407404</v>
      </c>
      <c r="T32" s="122"/>
      <c r="U32" s="122"/>
      <c r="V32" s="122"/>
      <c r="W32" s="122"/>
      <c r="X32" s="122"/>
      <c r="AK32" s="122"/>
    </row>
    <row r="33" spans="2:37" ht="15" customHeight="1">
      <c r="K33" s="31"/>
      <c r="L33" s="48"/>
      <c r="M33" s="122"/>
      <c r="N33" s="535"/>
      <c r="O33" s="536"/>
      <c r="P33" s="536"/>
      <c r="Q33" s="536"/>
      <c r="R33" s="536"/>
      <c r="S33" s="540">
        <f>SUM(S30:S32)</f>
        <v>14774.440374440373</v>
      </c>
      <c r="T33" s="122"/>
      <c r="U33" s="122"/>
      <c r="V33" s="122"/>
      <c r="W33" s="122"/>
      <c r="X33" s="122"/>
      <c r="AK33" s="122"/>
    </row>
    <row r="34" spans="2:37" ht="15" customHeight="1">
      <c r="K34" s="31"/>
      <c r="L34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AK34" s="122"/>
    </row>
    <row r="35" spans="2:37" ht="15" customHeight="1">
      <c r="K35" s="31"/>
      <c r="L35" s="48"/>
      <c r="M35" s="389" t="s">
        <v>395</v>
      </c>
      <c r="N35" s="122" t="s">
        <v>675</v>
      </c>
      <c r="O35" s="122"/>
      <c r="P35" s="122"/>
      <c r="Q35" s="122"/>
      <c r="R35" s="541">
        <f>F14</f>
        <v>2025</v>
      </c>
      <c r="S35" s="228" t="s">
        <v>676</v>
      </c>
      <c r="T35" s="122"/>
      <c r="U35" s="122"/>
      <c r="V35" s="122"/>
      <c r="W35" s="122"/>
      <c r="X35" s="122"/>
      <c r="AK35" s="122"/>
    </row>
    <row r="36" spans="2:37" ht="15" customHeight="1">
      <c r="K36" s="31"/>
      <c r="L36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AK36" s="122"/>
    </row>
    <row r="37" spans="2:37" ht="15" customHeight="1">
      <c r="K37" s="31"/>
      <c r="L37"/>
      <c r="M37" s="122"/>
      <c r="N37" s="323" t="s">
        <v>623</v>
      </c>
      <c r="O37" s="323" t="s">
        <v>34</v>
      </c>
      <c r="P37" s="323" t="s">
        <v>169</v>
      </c>
      <c r="Q37" s="426" t="s">
        <v>36</v>
      </c>
      <c r="R37" s="323" t="s">
        <v>174</v>
      </c>
      <c r="S37" s="426" t="s">
        <v>36</v>
      </c>
      <c r="T37" s="122" t="str">
        <f>"(PP trend for AY " &amp;R35 &amp; ")"</f>
        <v>(PP trend for AY 2025)</v>
      </c>
      <c r="U37" s="122"/>
      <c r="V37" s="122"/>
      <c r="W37" s="122"/>
      <c r="X37" s="122"/>
      <c r="AK37" s="122"/>
    </row>
    <row r="38" spans="2:37" ht="15" customHeight="1">
      <c r="K38" s="31"/>
      <c r="L38"/>
      <c r="M38" s="122"/>
      <c r="N38" s="122"/>
      <c r="O38" s="323" t="s">
        <v>34</v>
      </c>
      <c r="P38" s="542">
        <f>S25</f>
        <v>12664.934399999998</v>
      </c>
      <c r="Q38" s="426" t="s">
        <v>36</v>
      </c>
      <c r="R38" s="543">
        <f>S33</f>
        <v>14774.440374440373</v>
      </c>
      <c r="S38" s="426" t="s">
        <v>36</v>
      </c>
      <c r="T38" s="534">
        <f>VLOOKUP(R35,B20:E22,4,FALSE)</f>
        <v>1</v>
      </c>
      <c r="U38" s="122"/>
      <c r="V38" s="122"/>
      <c r="W38" s="122"/>
      <c r="X38" s="122"/>
      <c r="AK38" s="122"/>
    </row>
    <row r="39" spans="2:37" ht="15" customHeight="1">
      <c r="K39" s="31"/>
      <c r="L39"/>
      <c r="M39" s="122"/>
      <c r="N39" s="122"/>
      <c r="O39" s="323" t="s">
        <v>34</v>
      </c>
      <c r="P39" s="544">
        <f>P38/R38/T38</f>
        <v>0.85721922990126931</v>
      </c>
      <c r="Q39" s="122"/>
      <c r="R39" s="122"/>
      <c r="S39" s="122"/>
      <c r="T39" s="122"/>
      <c r="U39" s="122"/>
      <c r="V39" s="122"/>
      <c r="W39" s="122"/>
      <c r="X39" s="122"/>
      <c r="AK39" s="122"/>
    </row>
    <row r="40" spans="2:37" ht="15" customHeight="1">
      <c r="K40" s="31"/>
      <c r="L40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AK40" s="122"/>
    </row>
    <row r="41" spans="2:37" ht="15" customHeight="1">
      <c r="K41" s="31"/>
      <c r="L41"/>
      <c r="M41" s="389" t="s">
        <v>677</v>
      </c>
      <c r="N41" s="51" t="s">
        <v>678</v>
      </c>
      <c r="O41" s="51"/>
      <c r="P41" s="51"/>
      <c r="Q41" s="51"/>
      <c r="R41" s="541">
        <f>F14</f>
        <v>2025</v>
      </c>
      <c r="S41" s="51"/>
      <c r="T41" s="51"/>
      <c r="U41" s="51"/>
      <c r="V41" s="51"/>
      <c r="W41" s="122"/>
      <c r="X41" s="122"/>
      <c r="AK41" s="122"/>
    </row>
    <row r="42" spans="2:37" ht="15" customHeight="1">
      <c r="K42" s="31"/>
      <c r="L4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AK42" s="122"/>
    </row>
    <row r="43" spans="2:37" ht="15" customHeight="1">
      <c r="K43" s="31"/>
      <c r="L43"/>
      <c r="M43" s="122"/>
      <c r="N43" s="323" t="s">
        <v>596</v>
      </c>
      <c r="O43" s="323" t="s">
        <v>34</v>
      </c>
      <c r="P43" s="323" t="s">
        <v>664</v>
      </c>
      <c r="Q43" s="323" t="s">
        <v>35</v>
      </c>
      <c r="R43" s="323" t="s">
        <v>679</v>
      </c>
      <c r="S43" s="506" t="s">
        <v>680</v>
      </c>
      <c r="T43" s="323" t="s">
        <v>363</v>
      </c>
      <c r="U43" s="323" t="s">
        <v>623</v>
      </c>
      <c r="V43" s="323" t="s">
        <v>363</v>
      </c>
      <c r="W43" s="323" t="s">
        <v>624</v>
      </c>
      <c r="X43" s="122"/>
      <c r="AK43" s="122"/>
    </row>
    <row r="44" spans="2:37" ht="15" customHeight="1">
      <c r="K44" s="31"/>
      <c r="L44"/>
      <c r="M44" s="122"/>
      <c r="N44" s="122"/>
      <c r="O44" s="323" t="s">
        <v>34</v>
      </c>
      <c r="P44" s="323">
        <f>VLOOKUP(R41,B20:H22,2,FALSE)</f>
        <v>1600</v>
      </c>
      <c r="Q44" s="323" t="s">
        <v>35</v>
      </c>
      <c r="R44" s="323" t="s">
        <v>679</v>
      </c>
      <c r="S44" s="506" t="str">
        <f>VLOOKUP(R41,B20:H22,3,FALSE) &amp;" )"</f>
        <v>5.4 )</v>
      </c>
      <c r="T44" s="323" t="s">
        <v>363</v>
      </c>
      <c r="U44" s="544">
        <f>P39</f>
        <v>0.85721922990126931</v>
      </c>
      <c r="V44" s="323" t="s">
        <v>363</v>
      </c>
      <c r="W44" s="323">
        <f>VLOOKUP(R41,B20:H22,7,FALSE)</f>
        <v>12640</v>
      </c>
      <c r="X44" s="122"/>
      <c r="AK44" s="122"/>
    </row>
    <row r="45" spans="2:37" ht="15" customHeight="1">
      <c r="K45" s="31"/>
      <c r="L45"/>
      <c r="M45" s="122"/>
      <c r="N45" s="122"/>
      <c r="O45" s="323" t="s">
        <v>34</v>
      </c>
      <c r="P45" s="280">
        <f>P44+(1-1/VLOOKUP(R41,B20:H22,3,FALSE))*U44*W44</f>
        <v>10428.72309077574</v>
      </c>
      <c r="Q45" s="305" t="s">
        <v>681</v>
      </c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</row>
    <row r="46" spans="2:37" ht="15" customHeight="1">
      <c r="B46" s="31"/>
      <c r="C46" s="31"/>
      <c r="D46" s="31"/>
      <c r="E46" s="31"/>
      <c r="F46" s="31"/>
      <c r="G46" s="31"/>
      <c r="H46" s="31"/>
      <c r="I46" s="31"/>
      <c r="J46" s="31"/>
      <c r="K46" s="31"/>
      <c r="L46"/>
      <c r="M46"/>
      <c r="N46"/>
      <c r="O46"/>
      <c r="P46"/>
      <c r="Q46"/>
      <c r="R46"/>
      <c r="S46"/>
      <c r="T46"/>
      <c r="U46"/>
      <c r="V46"/>
    </row>
    <row r="47" spans="2:37" ht="15" customHeight="1">
      <c r="B47" s="31"/>
      <c r="C47" s="31"/>
      <c r="D47" s="31"/>
      <c r="E47" s="31"/>
      <c r="F47" s="31"/>
      <c r="G47" s="31"/>
      <c r="H47" s="31"/>
      <c r="I47" s="31"/>
      <c r="J47" s="31"/>
      <c r="K47" s="31"/>
      <c r="L47"/>
      <c r="M47"/>
      <c r="N47"/>
      <c r="O47"/>
      <c r="P47"/>
      <c r="Q47"/>
      <c r="R47"/>
      <c r="S47"/>
      <c r="T47"/>
      <c r="U47"/>
      <c r="V47"/>
    </row>
    <row r="48" spans="2:37" ht="15" customHeight="1">
      <c r="B48" s="31"/>
      <c r="C48" s="31"/>
      <c r="D48" s="31"/>
      <c r="E48" s="31"/>
      <c r="F48" s="31"/>
      <c r="G48" s="31"/>
      <c r="H48" s="31"/>
      <c r="I48" s="31"/>
      <c r="J48" s="31"/>
      <c r="K48" s="31"/>
      <c r="L48"/>
      <c r="M48"/>
      <c r="N48"/>
      <c r="O48"/>
      <c r="P48"/>
      <c r="Q48"/>
      <c r="R48"/>
      <c r="S48"/>
      <c r="T48"/>
      <c r="U48"/>
      <c r="V48"/>
    </row>
    <row r="49" spans="2:22" ht="15" customHeight="1">
      <c r="B49" s="31"/>
      <c r="C49" s="31"/>
      <c r="D49" s="31"/>
      <c r="E49" s="31"/>
      <c r="F49" s="31"/>
      <c r="G49" s="31"/>
      <c r="H49" s="31"/>
      <c r="I49" s="31"/>
      <c r="J49" s="31"/>
      <c r="K49" s="31"/>
      <c r="L49"/>
      <c r="M49"/>
      <c r="N49"/>
      <c r="O49"/>
      <c r="P49"/>
      <c r="Q49"/>
      <c r="R49"/>
      <c r="S49"/>
      <c r="T49"/>
      <c r="U49"/>
      <c r="V49"/>
    </row>
    <row r="50" spans="2:22" ht="15" customHeight="1">
      <c r="B50" s="31"/>
      <c r="C50" s="31"/>
      <c r="D50" s="31"/>
      <c r="E50" s="31"/>
      <c r="F50" s="31"/>
      <c r="G50" s="31"/>
      <c r="H50" s="31"/>
      <c r="I50" s="31"/>
      <c r="J50" s="31"/>
      <c r="K50" s="31"/>
      <c r="L50"/>
      <c r="M50"/>
      <c r="N50"/>
      <c r="O50"/>
      <c r="P50"/>
      <c r="Q50"/>
      <c r="R50"/>
      <c r="S50"/>
      <c r="T50"/>
      <c r="U50"/>
      <c r="V50"/>
    </row>
    <row r="51" spans="2:22" ht="15" customHeight="1">
      <c r="B51" s="31"/>
      <c r="C51" s="31"/>
      <c r="D51" s="31"/>
      <c r="E51" s="31"/>
      <c r="F51" s="31"/>
      <c r="G51" s="31"/>
      <c r="H51" s="31"/>
      <c r="I51" s="31"/>
      <c r="J51" s="31"/>
      <c r="K51" s="31"/>
    </row>
    <row r="52" spans="2:22" ht="15" customHeight="1">
      <c r="B52" s="31"/>
      <c r="C52" s="31"/>
      <c r="D52" s="31"/>
      <c r="E52" s="31"/>
      <c r="F52" s="31"/>
      <c r="G52" s="31"/>
      <c r="H52" s="31"/>
      <c r="I52" s="31"/>
      <c r="J52" s="31"/>
      <c r="K52" s="31"/>
    </row>
    <row r="53" spans="2:22" ht="15" customHeight="1">
      <c r="B53" s="31"/>
      <c r="C53" s="31"/>
      <c r="D53" s="31"/>
      <c r="E53" s="31"/>
      <c r="F53" s="31"/>
      <c r="G53" s="31"/>
      <c r="H53" s="31"/>
      <c r="I53" s="31"/>
      <c r="J53" s="31"/>
      <c r="K53" s="31"/>
    </row>
    <row r="54" spans="2:22" ht="15" customHeight="1">
      <c r="B54" s="31"/>
      <c r="C54" s="31"/>
      <c r="D54" s="31"/>
      <c r="E54" s="31"/>
      <c r="F54" s="31"/>
      <c r="G54" s="31"/>
      <c r="H54" s="31"/>
      <c r="I54" s="31"/>
      <c r="J54" s="31"/>
      <c r="K54" s="31"/>
    </row>
    <row r="55" spans="2:22" ht="15" customHeight="1">
      <c r="B55" s="31"/>
      <c r="C55" s="31"/>
      <c r="D55" s="31"/>
      <c r="E55" s="31"/>
      <c r="F55" s="31"/>
      <c r="G55" s="31"/>
      <c r="H55" s="31"/>
      <c r="I55" s="31"/>
      <c r="J55" s="31"/>
      <c r="K55" s="31"/>
    </row>
    <row r="56" spans="2:22" ht="15" customHeight="1">
      <c r="B56" s="31"/>
      <c r="C56" s="31"/>
      <c r="D56" s="31"/>
      <c r="E56" s="31"/>
      <c r="F56" s="31"/>
      <c r="G56" s="31"/>
      <c r="H56" s="31"/>
      <c r="I56" s="31"/>
      <c r="J56" s="31"/>
      <c r="K56" s="31"/>
    </row>
    <row r="57" spans="2:22" ht="15" customHeight="1">
      <c r="B57" s="31"/>
      <c r="C57" s="31"/>
      <c r="D57" s="31"/>
      <c r="E57" s="31"/>
      <c r="F57" s="31"/>
      <c r="G57" s="31"/>
      <c r="H57" s="31"/>
      <c r="I57" s="31"/>
      <c r="J57" s="31"/>
      <c r="K57" s="31"/>
    </row>
    <row r="58" spans="2:22" ht="15" customHeight="1">
      <c r="B58" s="31"/>
      <c r="C58" s="31"/>
      <c r="D58" s="31"/>
      <c r="E58" s="31"/>
      <c r="F58" s="31"/>
      <c r="G58" s="31"/>
      <c r="H58" s="31"/>
      <c r="I58" s="31"/>
      <c r="J58" s="31"/>
      <c r="K58" s="31"/>
    </row>
    <row r="59" spans="2:22" ht="15" customHeight="1">
      <c r="B59" s="31"/>
      <c r="C59" s="31"/>
      <c r="D59" s="31"/>
      <c r="E59" s="31"/>
      <c r="F59" s="31"/>
      <c r="G59" s="31"/>
      <c r="H59" s="31"/>
      <c r="I59" s="31"/>
      <c r="J59" s="31"/>
      <c r="K59" s="31"/>
    </row>
    <row r="60" spans="2:22" ht="15" customHeight="1">
      <c r="B60" s="31"/>
      <c r="C60" s="31"/>
      <c r="D60" s="31"/>
      <c r="E60" s="31"/>
      <c r="F60" s="31"/>
      <c r="G60" s="31"/>
      <c r="H60" s="31"/>
      <c r="I60" s="31"/>
      <c r="J60" s="31"/>
      <c r="K60" s="31"/>
    </row>
    <row r="61" spans="2:22" ht="15" customHeight="1">
      <c r="B61" s="31"/>
      <c r="C61" s="31"/>
      <c r="D61" s="31"/>
      <c r="E61" s="31"/>
      <c r="F61" s="31"/>
      <c r="G61" s="31"/>
      <c r="H61" s="31"/>
      <c r="I61" s="31"/>
      <c r="J61" s="31"/>
      <c r="K61" s="31"/>
    </row>
    <row r="62" spans="2:22" ht="15" customHeight="1">
      <c r="B62" s="31"/>
      <c r="C62" s="31"/>
      <c r="D62" s="31"/>
      <c r="E62" s="31"/>
      <c r="F62" s="31"/>
      <c r="G62" s="31"/>
      <c r="H62" s="31"/>
      <c r="I62" s="31"/>
      <c r="J62" s="31"/>
      <c r="K62" s="31"/>
    </row>
    <row r="63" spans="2:22" ht="15" customHeight="1">
      <c r="B63" s="31"/>
      <c r="C63" s="31"/>
      <c r="D63" s="31"/>
      <c r="E63" s="31"/>
      <c r="F63" s="31"/>
      <c r="G63" s="31"/>
      <c r="H63" s="31"/>
      <c r="I63" s="31"/>
      <c r="J63" s="31"/>
      <c r="K63" s="31"/>
    </row>
    <row r="64" spans="2:22" ht="15" customHeight="1">
      <c r="B64" s="31"/>
      <c r="C64" s="31"/>
      <c r="D64" s="31"/>
      <c r="E64" s="31"/>
      <c r="F64" s="31"/>
      <c r="G64" s="31"/>
      <c r="H64" s="31"/>
      <c r="I64" s="31"/>
      <c r="J64" s="31"/>
      <c r="K64" s="31"/>
    </row>
    <row r="65" spans="2:11" ht="15" customHeight="1">
      <c r="B65" s="31"/>
      <c r="C65" s="31"/>
      <c r="D65" s="31"/>
      <c r="E65" s="31"/>
      <c r="F65" s="31"/>
      <c r="G65" s="31"/>
      <c r="H65" s="31"/>
      <c r="I65" s="31"/>
      <c r="J65" s="31"/>
      <c r="K65" s="31"/>
    </row>
    <row r="66" spans="2:11" ht="15" customHeight="1">
      <c r="B66" s="31"/>
      <c r="C66" s="31"/>
      <c r="D66" s="31"/>
      <c r="E66" s="31"/>
      <c r="F66" s="31"/>
      <c r="G66" s="31"/>
      <c r="H66" s="31"/>
      <c r="I66" s="31"/>
      <c r="J66" s="31"/>
      <c r="K66" s="31"/>
    </row>
    <row r="67" spans="2:11" ht="15" customHeight="1">
      <c r="B67" s="31"/>
      <c r="C67" s="31"/>
      <c r="D67" s="31"/>
      <c r="E67" s="31"/>
      <c r="F67" s="31"/>
      <c r="G67" s="31"/>
      <c r="H67" s="31"/>
      <c r="I67" s="31"/>
      <c r="J67" s="31"/>
      <c r="K67" s="31"/>
    </row>
    <row r="68" spans="2:11" ht="15" customHeight="1">
      <c r="B68" s="31"/>
      <c r="C68" s="31"/>
      <c r="D68" s="31"/>
      <c r="E68" s="31"/>
      <c r="F68" s="31"/>
      <c r="G68" s="31"/>
      <c r="H68" s="31"/>
      <c r="I68" s="31"/>
      <c r="J68" s="31"/>
      <c r="K68" s="31"/>
    </row>
    <row r="69" spans="2:11" ht="15" customHeight="1">
      <c r="B69" s="31"/>
      <c r="C69" s="31"/>
      <c r="D69" s="31"/>
      <c r="E69" s="31"/>
      <c r="F69" s="31"/>
      <c r="G69" s="31"/>
      <c r="H69" s="31"/>
      <c r="I69" s="31"/>
      <c r="J69" s="31"/>
      <c r="K69" s="31"/>
    </row>
    <row r="70" spans="2:11" ht="15" customHeight="1">
      <c r="B70" s="31"/>
      <c r="C70" s="31"/>
      <c r="D70" s="31"/>
      <c r="E70" s="31"/>
      <c r="F70" s="31"/>
      <c r="G70" s="31"/>
      <c r="H70" s="31"/>
      <c r="I70" s="31"/>
      <c r="J70" s="31"/>
      <c r="K70" s="31"/>
    </row>
    <row r="71" spans="2:11" ht="15" customHeight="1">
      <c r="B71" s="31"/>
      <c r="C71" s="31"/>
      <c r="D71" s="31"/>
      <c r="E71" s="31"/>
      <c r="F71" s="31"/>
      <c r="G71" s="31"/>
      <c r="H71" s="31"/>
      <c r="I71" s="31"/>
      <c r="J71" s="31"/>
      <c r="K71" s="31"/>
    </row>
    <row r="72" spans="2:11" ht="15" customHeight="1">
      <c r="B72" s="31"/>
      <c r="C72" s="31"/>
      <c r="D72" s="31"/>
      <c r="E72" s="31"/>
      <c r="F72" s="31"/>
      <c r="G72" s="31"/>
      <c r="H72" s="31"/>
      <c r="I72" s="31"/>
      <c r="J72" s="31"/>
      <c r="K72" s="31"/>
    </row>
    <row r="73" spans="2:11" ht="15" customHeight="1">
      <c r="B73" s="31"/>
      <c r="C73" s="31"/>
      <c r="D73" s="31"/>
      <c r="E73" s="31"/>
      <c r="F73" s="31"/>
      <c r="G73" s="31"/>
      <c r="H73" s="31"/>
      <c r="I73" s="31"/>
      <c r="J73" s="31"/>
      <c r="K73" s="31"/>
    </row>
    <row r="74" spans="2:11" ht="15" customHeight="1">
      <c r="B74" s="31"/>
      <c r="C74" s="31"/>
      <c r="D74" s="31"/>
      <c r="E74" s="31"/>
      <c r="F74" s="31"/>
      <c r="G74" s="31"/>
      <c r="H74" s="31"/>
      <c r="I74" s="31"/>
      <c r="J74" s="31"/>
      <c r="K74" s="31"/>
    </row>
    <row r="75" spans="2:11" ht="15" customHeight="1">
      <c r="B75" s="31"/>
      <c r="C75" s="31"/>
      <c r="D75" s="31"/>
      <c r="E75" s="31"/>
      <c r="F75" s="31"/>
      <c r="G75" s="31"/>
      <c r="H75" s="31"/>
      <c r="I75" s="31"/>
      <c r="J75" s="31"/>
      <c r="K75" s="31"/>
    </row>
    <row r="76" spans="2:11" ht="15" customHeight="1">
      <c r="B76" s="31"/>
      <c r="C76" s="31"/>
      <c r="D76" s="31"/>
      <c r="E76" s="31"/>
      <c r="F76" s="31"/>
      <c r="G76" s="31"/>
      <c r="H76" s="31"/>
      <c r="I76" s="31"/>
      <c r="J76" s="31"/>
      <c r="K76" s="31"/>
    </row>
    <row r="77" spans="2:11" ht="15" customHeight="1">
      <c r="B77" s="31"/>
      <c r="C77" s="31"/>
      <c r="D77" s="31"/>
      <c r="E77" s="31"/>
      <c r="F77" s="31"/>
      <c r="G77" s="31"/>
      <c r="H77" s="31"/>
      <c r="I77" s="31"/>
      <c r="J77" s="31"/>
      <c r="K77" s="31"/>
    </row>
    <row r="78" spans="2:11" ht="15" customHeight="1">
      <c r="B78" s="31"/>
      <c r="C78" s="31"/>
      <c r="D78" s="31"/>
      <c r="E78" s="31"/>
      <c r="F78" s="31"/>
      <c r="G78" s="31"/>
      <c r="H78" s="31"/>
      <c r="I78" s="31"/>
      <c r="J78" s="31"/>
      <c r="K78" s="31"/>
    </row>
    <row r="79" spans="2:11" ht="15" customHeight="1">
      <c r="B79" s="31"/>
      <c r="C79" s="31"/>
      <c r="D79" s="31"/>
      <c r="E79" s="31"/>
      <c r="F79" s="31"/>
      <c r="G79" s="31"/>
      <c r="H79" s="31"/>
      <c r="I79" s="31"/>
      <c r="J79" s="31"/>
      <c r="K79" s="31"/>
    </row>
    <row r="80" spans="2:11" ht="15" customHeight="1">
      <c r="B80" s="31"/>
      <c r="C80" s="31"/>
      <c r="D80" s="31"/>
      <c r="E80" s="31"/>
      <c r="F80" s="31"/>
      <c r="G80" s="31"/>
      <c r="H80" s="31"/>
      <c r="I80" s="31"/>
      <c r="J80" s="31"/>
      <c r="K80" s="31"/>
    </row>
    <row r="81" spans="2:11" ht="15" customHeight="1">
      <c r="B81" s="31"/>
      <c r="C81" s="31"/>
      <c r="D81" s="31"/>
      <c r="E81" s="31"/>
      <c r="F81" s="31"/>
      <c r="G81" s="31"/>
      <c r="H81" s="31"/>
      <c r="I81" s="31"/>
      <c r="J81" s="31"/>
      <c r="K81" s="31"/>
    </row>
    <row r="82" spans="2:11" ht="15" customHeight="1">
      <c r="B82" s="31"/>
      <c r="C82" s="31"/>
      <c r="D82" s="31"/>
      <c r="E82" s="31"/>
      <c r="F82" s="31"/>
      <c r="G82" s="31"/>
      <c r="H82" s="31"/>
      <c r="I82" s="31"/>
      <c r="J82" s="31"/>
      <c r="K82" s="31"/>
    </row>
    <row r="83" spans="2:11" ht="15" customHeight="1">
      <c r="B83" s="31"/>
      <c r="C83" s="31"/>
      <c r="D83" s="31"/>
      <c r="E83" s="31"/>
      <c r="F83" s="31"/>
      <c r="G83" s="31"/>
      <c r="H83" s="31"/>
      <c r="I83" s="31"/>
      <c r="J83" s="31"/>
      <c r="K83" s="31"/>
    </row>
    <row r="84" spans="2:11" ht="15" customHeight="1">
      <c r="B84" s="31"/>
      <c r="C84" s="31"/>
      <c r="D84" s="31"/>
      <c r="E84" s="31"/>
      <c r="F84" s="31"/>
      <c r="G84" s="31"/>
      <c r="H84" s="31"/>
      <c r="I84" s="31"/>
      <c r="J84" s="31"/>
      <c r="K84" s="31"/>
    </row>
    <row r="85" spans="2:11" ht="15" customHeight="1">
      <c r="B85" s="31"/>
      <c r="C85" s="31"/>
      <c r="D85" s="31"/>
      <c r="E85" s="31"/>
      <c r="F85" s="31"/>
      <c r="G85" s="31"/>
      <c r="H85" s="31"/>
      <c r="I85" s="31"/>
      <c r="J85" s="31"/>
      <c r="K85" s="31"/>
    </row>
    <row r="86" spans="2:11" ht="15" customHeight="1">
      <c r="B86" s="31"/>
      <c r="C86" s="31"/>
      <c r="D86" s="31"/>
      <c r="E86" s="31"/>
      <c r="F86" s="31"/>
      <c r="G86" s="31"/>
      <c r="H86" s="31"/>
      <c r="I86" s="31"/>
      <c r="J86" s="31"/>
      <c r="K86" s="31"/>
    </row>
    <row r="87" spans="2:11" ht="15" customHeight="1">
      <c r="B87" s="31"/>
      <c r="C87" s="31"/>
      <c r="D87" s="31"/>
      <c r="E87" s="31"/>
      <c r="F87" s="31"/>
      <c r="G87" s="31"/>
      <c r="H87" s="31"/>
      <c r="I87" s="31"/>
      <c r="J87" s="31"/>
      <c r="K87" s="31"/>
    </row>
    <row r="88" spans="2:11" ht="15" customHeight="1">
      <c r="B88" s="31"/>
      <c r="C88" s="31"/>
      <c r="D88" s="31"/>
      <c r="E88" s="31"/>
      <c r="F88" s="31"/>
      <c r="G88" s="31"/>
      <c r="H88" s="31"/>
      <c r="I88" s="31"/>
      <c r="J88" s="31"/>
      <c r="K88" s="31"/>
    </row>
    <row r="89" spans="2:11" ht="15" customHeight="1">
      <c r="B89" s="31"/>
      <c r="C89" s="31"/>
      <c r="D89" s="31"/>
      <c r="E89" s="31"/>
      <c r="F89" s="31"/>
      <c r="G89" s="31"/>
      <c r="H89" s="31"/>
      <c r="I89" s="31"/>
      <c r="J89" s="31"/>
      <c r="K89" s="31"/>
    </row>
    <row r="90" spans="2:11" ht="15" customHeight="1">
      <c r="B90" s="31"/>
      <c r="C90" s="31"/>
      <c r="D90" s="31"/>
      <c r="E90" s="31"/>
      <c r="F90" s="31"/>
      <c r="G90" s="31"/>
      <c r="H90" s="31"/>
      <c r="I90" s="31"/>
      <c r="J90" s="31"/>
      <c r="K90" s="31"/>
    </row>
    <row r="91" spans="2:11" ht="15" customHeight="1">
      <c r="B91" s="31"/>
      <c r="C91" s="31"/>
      <c r="D91" s="31"/>
      <c r="E91" s="31"/>
      <c r="F91" s="31"/>
      <c r="G91" s="31"/>
      <c r="H91" s="31"/>
      <c r="I91" s="31"/>
      <c r="J91" s="31"/>
      <c r="K91" s="31"/>
    </row>
    <row r="92" spans="2:11" ht="15" customHeight="1">
      <c r="B92" s="31"/>
      <c r="C92" s="31"/>
      <c r="D92" s="31"/>
      <c r="E92" s="31"/>
      <c r="F92" s="31"/>
      <c r="G92" s="31"/>
      <c r="H92" s="31"/>
      <c r="I92" s="31"/>
      <c r="J92" s="31"/>
      <c r="K92" s="31"/>
    </row>
    <row r="93" spans="2:11" ht="15" customHeight="1">
      <c r="B93" s="31"/>
      <c r="C93" s="31"/>
      <c r="D93" s="31"/>
      <c r="E93" s="31"/>
      <c r="F93" s="31"/>
      <c r="G93" s="31"/>
      <c r="H93" s="31"/>
      <c r="I93" s="31"/>
      <c r="J93" s="31"/>
      <c r="K93" s="31"/>
    </row>
    <row r="94" spans="2:11" ht="15" customHeight="1">
      <c r="B94" s="31"/>
      <c r="C94" s="31"/>
      <c r="D94" s="31"/>
      <c r="E94" s="31"/>
      <c r="F94" s="31"/>
      <c r="G94" s="31"/>
      <c r="H94" s="31"/>
      <c r="I94" s="31"/>
      <c r="J94" s="31"/>
      <c r="K94" s="31"/>
    </row>
    <row r="95" spans="2:11" ht="15" customHeight="1">
      <c r="B95" s="31"/>
      <c r="C95" s="31"/>
      <c r="D95" s="31"/>
      <c r="E95" s="31"/>
      <c r="F95" s="31"/>
      <c r="G95" s="31"/>
      <c r="H95" s="31"/>
      <c r="I95" s="31"/>
      <c r="J95" s="31"/>
      <c r="K95" s="31"/>
    </row>
    <row r="96" spans="2:11" ht="15" customHeight="1">
      <c r="B96" s="31"/>
      <c r="C96" s="31"/>
      <c r="D96" s="31"/>
      <c r="E96" s="31"/>
      <c r="F96" s="31"/>
      <c r="G96" s="31"/>
      <c r="H96" s="31"/>
      <c r="I96" s="31"/>
      <c r="J96" s="31"/>
      <c r="K96" s="31"/>
    </row>
    <row r="97" spans="2:11" ht="15" customHeight="1">
      <c r="B97" s="31"/>
      <c r="C97" s="31"/>
      <c r="D97" s="31"/>
      <c r="E97" s="31"/>
      <c r="F97" s="31"/>
      <c r="G97" s="31"/>
      <c r="H97" s="31"/>
      <c r="I97" s="31"/>
      <c r="J97" s="31"/>
      <c r="K97" s="31"/>
    </row>
    <row r="98" spans="2:11" ht="15" customHeight="1">
      <c r="B98" s="31"/>
      <c r="C98" s="31"/>
      <c r="D98" s="31"/>
      <c r="E98" s="31"/>
      <c r="F98" s="31"/>
      <c r="G98" s="31"/>
      <c r="H98" s="31"/>
      <c r="I98" s="31"/>
      <c r="J98" s="31"/>
      <c r="K98" s="31"/>
    </row>
    <row r="99" spans="2:11" ht="15" customHeight="1">
      <c r="B99" s="31"/>
      <c r="C99" s="31"/>
      <c r="D99" s="31"/>
      <c r="E99" s="31"/>
      <c r="F99" s="31"/>
      <c r="G99" s="31"/>
      <c r="H99" s="31"/>
      <c r="I99" s="31"/>
      <c r="J99" s="31"/>
      <c r="K99" s="31"/>
    </row>
    <row r="100" spans="2:11" ht="15" customHeight="1">
      <c r="B100" s="31"/>
      <c r="C100" s="31"/>
      <c r="D100" s="31"/>
      <c r="E100" s="31"/>
      <c r="F100" s="31"/>
      <c r="G100" s="31"/>
      <c r="H100" s="31"/>
      <c r="I100" s="31"/>
      <c r="J100" s="31"/>
      <c r="K100" s="31"/>
    </row>
    <row r="101" spans="2:11" ht="15" customHeight="1">
      <c r="B101" s="31"/>
      <c r="C101" s="31"/>
      <c r="D101" s="31"/>
      <c r="E101" s="31"/>
      <c r="F101" s="31"/>
      <c r="G101" s="31"/>
      <c r="H101" s="31"/>
      <c r="I101" s="31"/>
      <c r="J101" s="31"/>
      <c r="K101" s="31"/>
    </row>
  </sheetData>
  <mergeCells count="1">
    <mergeCell ref="I1:J1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G101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" width="9.140625" style="21"/>
    <col min="17" max="17" width="10" style="21" bestFit="1" customWidth="1"/>
    <col min="18" max="19" width="9.140625" style="21"/>
    <col min="20" max="20" width="9.5703125" style="21" bestFit="1" customWidth="1"/>
    <col min="21" max="21" width="9.140625" style="21"/>
    <col min="22" max="22" width="9.140625" style="21" customWidth="1"/>
    <col min="23" max="16384" width="9.140625" style="21"/>
  </cols>
  <sheetData>
    <row r="1" spans="1:21">
      <c r="A1" s="7">
        <v>24</v>
      </c>
      <c r="B1" s="27" t="s">
        <v>12</v>
      </c>
      <c r="C1" s="20"/>
      <c r="D1" s="20"/>
      <c r="E1" s="20"/>
      <c r="F1" s="20"/>
      <c r="G1" s="20"/>
      <c r="H1" s="854" t="s">
        <v>24</v>
      </c>
      <c r="I1" s="855"/>
      <c r="K1" s="1" t="s">
        <v>33</v>
      </c>
      <c r="L1" s="52" t="str">
        <f>VLOOKUP(A1,'Point Grid'!$L$8:$T$54,9,FALSE)</f>
        <v>Reserving - Chap 11: Frequency/Severity Methods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1"/>
      <c r="K3" s="48" t="s">
        <v>2</v>
      </c>
      <c r="L3" t="s">
        <v>684</v>
      </c>
      <c r="M3"/>
      <c r="N3"/>
      <c r="O3"/>
      <c r="P3"/>
      <c r="Q3"/>
      <c r="R3"/>
      <c r="S3"/>
      <c r="T3"/>
      <c r="U3"/>
    </row>
    <row r="4" spans="1:21">
      <c r="A4" s="9">
        <f>INDEX('Point Grid'!B:B,MATCH(A1,'Point Grid'!A:A,0))</f>
        <v>4.5</v>
      </c>
      <c r="B4" s="17"/>
      <c r="C4" s="17"/>
      <c r="D4" s="17"/>
      <c r="E4" s="17"/>
      <c r="F4" s="17"/>
      <c r="G4" s="17"/>
      <c r="H4" s="17"/>
      <c r="I4" s="18"/>
      <c r="J4" s="31"/>
      <c r="K4" s="48"/>
      <c r="L4"/>
      <c r="M4"/>
      <c r="N4"/>
      <c r="O4"/>
      <c r="P4"/>
      <c r="Q4"/>
      <c r="R4"/>
      <c r="S4"/>
      <c r="T4"/>
      <c r="U4"/>
    </row>
    <row r="5" spans="1:21">
      <c r="A5" s="16"/>
      <c r="B5" s="17"/>
      <c r="C5" s="17"/>
      <c r="D5" s="17"/>
      <c r="E5" s="17"/>
      <c r="F5" s="17"/>
      <c r="G5" s="17"/>
      <c r="H5" s="17"/>
      <c r="I5" s="18"/>
      <c r="J5" s="31"/>
      <c r="K5" s="48"/>
      <c r="L5" s="52" t="s">
        <v>687</v>
      </c>
      <c r="M5"/>
      <c r="N5"/>
      <c r="O5"/>
      <c r="P5"/>
      <c r="Q5"/>
      <c r="R5"/>
      <c r="S5"/>
      <c r="T5"/>
      <c r="U5"/>
    </row>
    <row r="6" spans="1:21">
      <c r="A6" s="25" t="s">
        <v>2</v>
      </c>
      <c r="B6" s="17" t="s">
        <v>682</v>
      </c>
      <c r="C6" s="17"/>
      <c r="D6" s="17"/>
      <c r="E6" s="17"/>
      <c r="F6" s="17"/>
      <c r="G6" s="17"/>
      <c r="H6" s="17"/>
      <c r="I6" s="18"/>
      <c r="J6" s="31"/>
      <c r="K6" s="48"/>
      <c r="L6" s="37" t="s">
        <v>686</v>
      </c>
      <c r="M6"/>
      <c r="N6"/>
      <c r="O6"/>
      <c r="P6"/>
      <c r="Q6"/>
      <c r="R6"/>
      <c r="S6"/>
      <c r="T6"/>
      <c r="U6"/>
    </row>
    <row r="7" spans="1:21" ht="15.75" thickBot="1">
      <c r="A7" s="9">
        <f>INDEX('Point Grid'!$C$8:$I$54,MATCH($A$1,'Point Grid'!$A$8:$A$54,0),MATCH(A6,'Point Grid'!$C$7:$I$7,0))</f>
        <v>1</v>
      </c>
      <c r="B7" s="17" t="s">
        <v>683</v>
      </c>
      <c r="C7" s="17"/>
      <c r="D7" s="17"/>
      <c r="E7" s="17"/>
      <c r="F7" s="17"/>
      <c r="G7" s="17"/>
      <c r="H7" s="17"/>
      <c r="I7" s="18"/>
      <c r="J7" s="31"/>
      <c r="K7" s="48"/>
      <c r="L7" s="37" t="s">
        <v>685</v>
      </c>
      <c r="M7"/>
      <c r="N7"/>
      <c r="O7"/>
      <c r="P7"/>
      <c r="Q7"/>
      <c r="R7"/>
      <c r="S7"/>
      <c r="T7"/>
      <c r="U7"/>
    </row>
    <row r="8" spans="1:21" ht="15.75" thickBot="1">
      <c r="A8" s="5"/>
      <c r="B8" s="17"/>
      <c r="C8" s="28"/>
      <c r="D8" s="28"/>
      <c r="E8" s="28"/>
      <c r="F8" s="28"/>
      <c r="G8" s="28"/>
      <c r="H8" s="28"/>
      <c r="I8" s="18"/>
      <c r="J8" s="31"/>
      <c r="K8"/>
      <c r="L8"/>
      <c r="M8"/>
      <c r="N8"/>
      <c r="O8"/>
      <c r="P8"/>
      <c r="Q8"/>
      <c r="R8"/>
      <c r="S8"/>
      <c r="T8"/>
      <c r="U8"/>
    </row>
    <row r="9" spans="1:21">
      <c r="A9" s="25"/>
      <c r="B9" s="17"/>
      <c r="C9" s="17"/>
      <c r="D9" s="17"/>
      <c r="E9" s="17"/>
      <c r="F9" s="17"/>
      <c r="G9" s="17"/>
      <c r="H9" s="17"/>
      <c r="I9" s="18"/>
      <c r="J9" s="31"/>
      <c r="K9" s="48"/>
      <c r="L9" s="566" t="s">
        <v>689</v>
      </c>
      <c r="M9"/>
      <c r="N9"/>
      <c r="O9"/>
      <c r="P9"/>
      <c r="Q9"/>
      <c r="R9"/>
      <c r="S9"/>
    </row>
    <row r="10" spans="1:21">
      <c r="A10" s="25" t="s">
        <v>3</v>
      </c>
      <c r="B10" s="17" t="s">
        <v>731</v>
      </c>
      <c r="C10" s="17"/>
      <c r="D10" s="17"/>
      <c r="E10" s="17"/>
      <c r="F10" s="17"/>
      <c r="G10" s="17"/>
      <c r="H10" s="17"/>
      <c r="I10" s="18"/>
      <c r="J10" s="31"/>
      <c r="K10"/>
      <c r="L10" s="37" t="s">
        <v>688</v>
      </c>
      <c r="M10"/>
      <c r="N10"/>
      <c r="O10"/>
      <c r="P10"/>
      <c r="Q10"/>
      <c r="R10"/>
      <c r="S10"/>
      <c r="T10"/>
      <c r="U10"/>
    </row>
    <row r="11" spans="1:21" ht="15.75" thickBot="1">
      <c r="A11" s="9">
        <f>INDEX('Point Grid'!$C$8:$I$54,MATCH($A$1,'Point Grid'!$A$8:$A$54,0),MATCH(A10,'Point Grid'!$C$7:$I$7,0))</f>
        <v>1</v>
      </c>
      <c r="B11" s="17"/>
      <c r="C11" s="17"/>
      <c r="D11" s="17"/>
      <c r="E11" s="17"/>
      <c r="F11" s="17"/>
      <c r="G11" s="17"/>
      <c r="H11" s="17"/>
      <c r="I11" s="18"/>
      <c r="J11" s="31"/>
      <c r="K11"/>
      <c r="L11"/>
      <c r="M11"/>
      <c r="N11"/>
      <c r="O11"/>
      <c r="P11"/>
      <c r="Q11"/>
      <c r="R11"/>
      <c r="S11"/>
      <c r="T11"/>
      <c r="U11"/>
    </row>
    <row r="12" spans="1:21" ht="15.75" thickBot="1">
      <c r="A12" s="5"/>
      <c r="B12" s="17"/>
      <c r="C12" s="28"/>
      <c r="D12" s="28"/>
      <c r="E12" s="28"/>
      <c r="F12" s="28"/>
      <c r="G12" s="28"/>
      <c r="H12" s="28"/>
      <c r="I12" s="18"/>
      <c r="J12" s="31"/>
      <c r="K12"/>
      <c r="L12" s="566" t="s">
        <v>690</v>
      </c>
      <c r="M12"/>
      <c r="N12"/>
      <c r="O12"/>
      <c r="P12"/>
      <c r="Q12"/>
      <c r="R12"/>
      <c r="S12"/>
      <c r="T12"/>
      <c r="U12"/>
    </row>
    <row r="13" spans="1:21">
      <c r="A13" s="25"/>
      <c r="B13" s="17"/>
      <c r="C13" s="28"/>
      <c r="D13" s="28"/>
      <c r="E13" s="28"/>
      <c r="F13" s="28"/>
      <c r="G13" s="28"/>
      <c r="H13" s="28"/>
      <c r="I13" s="18"/>
      <c r="J13" s="31"/>
      <c r="K13" s="48"/>
      <c r="L13" s="37" t="s">
        <v>691</v>
      </c>
      <c r="M13"/>
      <c r="N13"/>
      <c r="O13"/>
      <c r="P13"/>
      <c r="Q13"/>
      <c r="R13"/>
      <c r="S13"/>
      <c r="T13"/>
      <c r="U13"/>
    </row>
    <row r="14" spans="1:21">
      <c r="A14" s="25" t="s">
        <v>4</v>
      </c>
      <c r="B14" s="17" t="s">
        <v>715</v>
      </c>
      <c r="C14" s="17"/>
      <c r="D14" s="17"/>
      <c r="E14" s="17"/>
      <c r="F14" s="17"/>
      <c r="G14" s="17"/>
      <c r="H14" s="17"/>
      <c r="I14" s="18"/>
      <c r="J14" s="31"/>
      <c r="K14"/>
      <c r="L14" s="37" t="s">
        <v>692</v>
      </c>
      <c r="M14"/>
      <c r="N14"/>
      <c r="O14"/>
      <c r="P14"/>
      <c r="Q14"/>
      <c r="R14"/>
      <c r="S14"/>
      <c r="T14"/>
      <c r="U14"/>
    </row>
    <row r="15" spans="1:21" ht="15.75" thickBot="1">
      <c r="A15" s="9">
        <f>INDEX('Point Grid'!$C$8:$I$54,MATCH($A$1,'Point Grid'!$A$8:$A$54,0),MATCH(A14,'Point Grid'!$C$7:$I$7,0))</f>
        <v>2.5</v>
      </c>
      <c r="B15" s="17"/>
      <c r="C15" s="17"/>
      <c r="D15" s="17"/>
      <c r="E15" s="17"/>
      <c r="F15" s="17"/>
      <c r="G15" s="17"/>
      <c r="H15" s="17"/>
      <c r="I15" s="18"/>
      <c r="J15" s="31"/>
      <c r="K15"/>
      <c r="L15"/>
      <c r="M15"/>
      <c r="N15"/>
      <c r="O15"/>
      <c r="P15"/>
      <c r="Q15"/>
      <c r="R15"/>
      <c r="S15"/>
      <c r="T15"/>
      <c r="U15"/>
    </row>
    <row r="16" spans="1:21" ht="15.75" thickBot="1">
      <c r="A16" s="5"/>
      <c r="B16" s="572" t="s">
        <v>716</v>
      </c>
      <c r="C16" s="572"/>
      <c r="D16" s="17"/>
      <c r="E16" s="622">
        <v>3419</v>
      </c>
      <c r="F16" s="394"/>
      <c r="G16" s="17"/>
      <c r="H16" s="17"/>
      <c r="I16" s="18"/>
      <c r="J16" s="31"/>
      <c r="K16" s="48" t="s">
        <v>3</v>
      </c>
      <c r="L16" s="567" t="s">
        <v>693</v>
      </c>
      <c r="M16" s="568"/>
      <c r="N16" s="569"/>
      <c r="O16"/>
      <c r="P16"/>
      <c r="Q16"/>
      <c r="R16"/>
      <c r="S16"/>
      <c r="T16"/>
      <c r="U16"/>
    </row>
    <row r="17" spans="1:21">
      <c r="A17" s="22"/>
      <c r="B17" s="17"/>
      <c r="C17" s="17"/>
      <c r="D17" s="17"/>
      <c r="E17" s="17"/>
      <c r="F17" s="17"/>
      <c r="G17" s="17"/>
      <c r="H17" s="17"/>
      <c r="I17" s="18"/>
      <c r="J17" s="31"/>
      <c r="K17"/>
      <c r="L17" s="289"/>
      <c r="M17"/>
      <c r="N17"/>
      <c r="O17"/>
      <c r="P17"/>
      <c r="Q17"/>
      <c r="R17"/>
      <c r="S17"/>
      <c r="T17"/>
      <c r="U17"/>
    </row>
    <row r="18" spans="1:21" ht="15" customHeight="1">
      <c r="A18" s="22"/>
      <c r="B18" s="587" t="s">
        <v>120</v>
      </c>
      <c r="C18" s="578" t="s">
        <v>705</v>
      </c>
      <c r="D18" s="579" t="s">
        <v>121</v>
      </c>
      <c r="E18" s="578" t="s">
        <v>596</v>
      </c>
      <c r="F18" s="579" t="s">
        <v>596</v>
      </c>
      <c r="G18" s="17"/>
      <c r="H18" s="17"/>
      <c r="I18" s="18"/>
      <c r="J18" s="31"/>
      <c r="K18"/>
      <c r="L18" s="566" t="s">
        <v>697</v>
      </c>
      <c r="M18"/>
      <c r="N18"/>
      <c r="O18"/>
      <c r="P18"/>
      <c r="Q18"/>
      <c r="R18"/>
      <c r="S18"/>
      <c r="T18"/>
      <c r="U18"/>
    </row>
    <row r="19" spans="1:21" ht="15" customHeight="1">
      <c r="A19" s="22"/>
      <c r="B19" s="588"/>
      <c r="C19" s="583"/>
      <c r="D19" s="586" t="s">
        <v>706</v>
      </c>
      <c r="E19" s="583" t="s">
        <v>49</v>
      </c>
      <c r="F19" s="586" t="s">
        <v>435</v>
      </c>
      <c r="G19" s="17"/>
      <c r="H19" s="17"/>
      <c r="I19" s="18"/>
      <c r="J19" s="31"/>
      <c r="K19"/>
      <c r="L19" s="37"/>
      <c r="M19"/>
      <c r="N19"/>
      <c r="O19"/>
      <c r="P19"/>
      <c r="Q19"/>
      <c r="R19"/>
      <c r="S19"/>
      <c r="T19"/>
      <c r="U19"/>
    </row>
    <row r="20" spans="1:21" ht="15" customHeight="1">
      <c r="A20" s="22"/>
      <c r="B20" s="589">
        <v>2022</v>
      </c>
      <c r="C20" s="577">
        <v>61000</v>
      </c>
      <c r="D20" s="580">
        <v>3170</v>
      </c>
      <c r="E20" s="576">
        <v>850</v>
      </c>
      <c r="F20" s="580">
        <v>2620</v>
      </c>
      <c r="G20" s="17"/>
      <c r="H20" s="17"/>
      <c r="I20" s="18"/>
      <c r="J20" s="31"/>
      <c r="K20"/>
      <c r="L20" s="37" t="s">
        <v>695</v>
      </c>
      <c r="M20"/>
      <c r="N20"/>
      <c r="O20"/>
      <c r="P20"/>
      <c r="Q20"/>
      <c r="R20"/>
      <c r="S20"/>
      <c r="T20"/>
      <c r="U20"/>
    </row>
    <row r="21" spans="1:21" ht="15" customHeight="1">
      <c r="A21" s="22"/>
      <c r="B21" s="589">
        <v>2023</v>
      </c>
      <c r="C21" s="577">
        <v>67900</v>
      </c>
      <c r="D21" s="580">
        <v>2100</v>
      </c>
      <c r="E21" s="576">
        <v>950</v>
      </c>
      <c r="F21" s="580">
        <v>2900</v>
      </c>
      <c r="G21" s="17"/>
      <c r="H21" s="17"/>
      <c r="I21" s="18"/>
      <c r="J21" s="31"/>
      <c r="K21"/>
      <c r="L21" s="434" t="s">
        <v>694</v>
      </c>
      <c r="M21"/>
      <c r="N21"/>
      <c r="O21"/>
      <c r="P21"/>
      <c r="Q21"/>
      <c r="R21"/>
      <c r="S21"/>
      <c r="T21"/>
      <c r="U21"/>
    </row>
    <row r="22" spans="1:21" ht="15" customHeight="1">
      <c r="A22" s="22"/>
      <c r="B22" s="589">
        <v>2024</v>
      </c>
      <c r="C22" s="577">
        <v>67800</v>
      </c>
      <c r="D22" s="580">
        <v>1400</v>
      </c>
      <c r="E22" s="576">
        <v>970</v>
      </c>
      <c r="F22" s="581" t="s">
        <v>707</v>
      </c>
      <c r="G22" s="17"/>
      <c r="H22" s="17"/>
      <c r="I22" s="18"/>
      <c r="J22" s="31"/>
      <c r="K22"/>
      <c r="L22" s="37"/>
      <c r="M22"/>
      <c r="N22"/>
      <c r="O22"/>
      <c r="P22"/>
      <c r="Q22"/>
      <c r="R22"/>
      <c r="S22"/>
      <c r="T22"/>
      <c r="U22"/>
    </row>
    <row r="23" spans="1:21" ht="15" customHeight="1">
      <c r="A23" s="22"/>
      <c r="B23" s="590">
        <v>2025</v>
      </c>
      <c r="C23" s="582">
        <v>71900</v>
      </c>
      <c r="D23" s="586">
        <v>900</v>
      </c>
      <c r="E23" s="584" t="s">
        <v>707</v>
      </c>
      <c r="F23" s="585" t="s">
        <v>707</v>
      </c>
      <c r="G23" s="17"/>
      <c r="H23" s="17"/>
      <c r="I23" s="18"/>
      <c r="J23" s="31"/>
      <c r="K23"/>
      <c r="L23" s="37" t="s">
        <v>696</v>
      </c>
      <c r="M23"/>
      <c r="N23"/>
      <c r="O23"/>
      <c r="P23"/>
      <c r="Q23"/>
      <c r="R23"/>
      <c r="S23"/>
      <c r="T23"/>
      <c r="U23"/>
    </row>
    <row r="24" spans="1:21" ht="15" customHeight="1">
      <c r="A24" s="22"/>
      <c r="B24" s="17"/>
      <c r="C24" s="17"/>
      <c r="D24" s="17"/>
      <c r="E24" s="17"/>
      <c r="F24" s="17"/>
      <c r="G24" s="17"/>
      <c r="H24" s="17"/>
      <c r="I24" s="18"/>
      <c r="J24" s="31"/>
      <c r="K24"/>
      <c r="L24"/>
      <c r="M24"/>
      <c r="N24"/>
      <c r="O24"/>
      <c r="P24"/>
      <c r="Q24"/>
      <c r="R24"/>
      <c r="S24"/>
      <c r="T24"/>
      <c r="U24"/>
    </row>
    <row r="25" spans="1:21" ht="15" customHeight="1">
      <c r="A25" s="22"/>
      <c r="B25" s="587" t="s">
        <v>708</v>
      </c>
      <c r="C25" s="579" t="s">
        <v>709</v>
      </c>
      <c r="D25" s="579" t="s">
        <v>435</v>
      </c>
      <c r="E25" s="17"/>
      <c r="F25" s="17"/>
      <c r="G25" s="17"/>
      <c r="H25" s="17"/>
      <c r="I25" s="18"/>
      <c r="J25" s="31"/>
      <c r="K25"/>
      <c r="L25" s="567" t="s">
        <v>656</v>
      </c>
      <c r="M25" s="568"/>
      <c r="N25" s="569"/>
      <c r="O25"/>
      <c r="P25"/>
      <c r="Q25"/>
      <c r="R25"/>
      <c r="S25"/>
      <c r="T25"/>
      <c r="U25"/>
    </row>
    <row r="26" spans="1:21" ht="15" customHeight="1">
      <c r="A26" s="22"/>
      <c r="B26" s="588" t="s">
        <v>669</v>
      </c>
      <c r="C26" s="586" t="s">
        <v>669</v>
      </c>
      <c r="D26" s="586" t="s">
        <v>669</v>
      </c>
      <c r="E26" s="17"/>
      <c r="F26" s="17"/>
      <c r="G26" s="17"/>
      <c r="H26" s="17"/>
      <c r="I26" s="18"/>
      <c r="J26" s="31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22"/>
      <c r="B27" s="591">
        <v>0.03</v>
      </c>
      <c r="C27" s="592">
        <v>0.02</v>
      </c>
      <c r="D27" s="592">
        <v>0.09</v>
      </c>
      <c r="E27" s="17"/>
      <c r="F27" s="17"/>
      <c r="G27" s="17"/>
      <c r="H27" s="17"/>
      <c r="I27" s="18"/>
      <c r="J27" s="31"/>
      <c r="K27"/>
      <c r="L27" t="s">
        <v>704</v>
      </c>
      <c r="M27"/>
      <c r="N27"/>
      <c r="O27"/>
      <c r="P27"/>
      <c r="Q27"/>
      <c r="R27"/>
      <c r="S27"/>
      <c r="T27"/>
      <c r="U27"/>
    </row>
    <row r="28" spans="1:21" ht="15" customHeight="1">
      <c r="A28" s="22"/>
      <c r="B28" s="593"/>
      <c r="C28" s="230"/>
      <c r="D28" s="230"/>
      <c r="E28" s="17"/>
      <c r="F28" s="17"/>
      <c r="G28" s="17"/>
      <c r="H28" s="17"/>
      <c r="I28" s="18"/>
      <c r="J28" s="31"/>
      <c r="K28"/>
      <c r="L28" t="s">
        <v>698</v>
      </c>
      <c r="M28"/>
      <c r="N28"/>
      <c r="O28"/>
      <c r="P28"/>
      <c r="Q28"/>
      <c r="R28"/>
      <c r="S28"/>
      <c r="T28"/>
      <c r="U28"/>
    </row>
    <row r="29" spans="1:21" ht="15" customHeight="1">
      <c r="A29" s="22"/>
      <c r="B29" s="593" t="s">
        <v>717</v>
      </c>
      <c r="C29" s="230"/>
      <c r="D29" s="230"/>
      <c r="E29" s="17"/>
      <c r="F29" s="17"/>
      <c r="G29" s="17"/>
      <c r="H29" s="17"/>
      <c r="I29" s="18"/>
      <c r="J29" s="31"/>
      <c r="K29"/>
      <c r="L29" s="37" t="s">
        <v>699</v>
      </c>
      <c r="M29"/>
      <c r="N29"/>
      <c r="O29"/>
      <c r="P29"/>
      <c r="Q29"/>
      <c r="R29"/>
      <c r="S29"/>
      <c r="T29"/>
      <c r="U29"/>
    </row>
    <row r="30" spans="1:21" ht="15" customHeight="1">
      <c r="A30" s="22"/>
      <c r="B30" s="593" t="s">
        <v>718</v>
      </c>
      <c r="C30" s="17"/>
      <c r="D30" s="17"/>
      <c r="E30" s="17"/>
      <c r="F30" s="17"/>
      <c r="G30" s="17"/>
      <c r="H30" s="17"/>
      <c r="I30" s="18"/>
      <c r="J30" s="31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A31" s="22"/>
      <c r="B31" s="17"/>
      <c r="C31" s="17"/>
      <c r="D31" s="17"/>
      <c r="E31" s="17"/>
      <c r="F31" s="17"/>
      <c r="G31" s="17"/>
      <c r="H31" s="17"/>
      <c r="I31" s="18"/>
      <c r="J31" s="31"/>
      <c r="K31"/>
      <c r="L31" t="s">
        <v>703</v>
      </c>
      <c r="M31"/>
      <c r="N31"/>
      <c r="O31"/>
      <c r="P31"/>
      <c r="Q31"/>
      <c r="R31"/>
      <c r="S31"/>
      <c r="T31"/>
      <c r="U31"/>
    </row>
    <row r="32" spans="1:21" ht="15" customHeight="1">
      <c r="A32" s="22"/>
      <c r="B32" s="17"/>
      <c r="C32" s="17"/>
      <c r="D32" s="17"/>
      <c r="E32" s="17"/>
      <c r="F32" s="17"/>
      <c r="G32" s="17"/>
      <c r="H32" s="17"/>
      <c r="I32" s="18"/>
      <c r="J32" s="31"/>
      <c r="K32"/>
      <c r="L32" s="37" t="s">
        <v>700</v>
      </c>
      <c r="M32"/>
      <c r="N32"/>
      <c r="O32"/>
      <c r="P32"/>
      <c r="Q32"/>
      <c r="R32"/>
      <c r="S32"/>
      <c r="T32"/>
      <c r="U32"/>
    </row>
    <row r="33" spans="1:21" ht="15" customHeight="1">
      <c r="A33" s="22"/>
      <c r="B33" s="17"/>
      <c r="C33" s="17"/>
      <c r="D33" s="17"/>
      <c r="E33" s="17"/>
      <c r="F33" s="17"/>
      <c r="G33" s="17"/>
      <c r="H33" s="17"/>
      <c r="I33" s="18"/>
      <c r="J33" s="31"/>
      <c r="K33" s="48"/>
      <c r="L33" s="1"/>
      <c r="M33"/>
      <c r="N33"/>
      <c r="O33"/>
      <c r="P33"/>
      <c r="Q33"/>
      <c r="R33"/>
      <c r="S33"/>
      <c r="T33"/>
      <c r="U33"/>
    </row>
    <row r="34" spans="1:21" ht="15" customHeight="1">
      <c r="A34" s="22"/>
      <c r="B34" s="17"/>
      <c r="C34" s="17"/>
      <c r="D34" s="17"/>
      <c r="E34" s="17"/>
      <c r="F34" s="17"/>
      <c r="G34" s="17"/>
      <c r="H34" s="17"/>
      <c r="I34" s="18"/>
      <c r="J34" s="31"/>
      <c r="K34"/>
      <c r="L34" s="37" t="s">
        <v>702</v>
      </c>
      <c r="M34"/>
      <c r="N34"/>
      <c r="O34"/>
      <c r="P34"/>
      <c r="Q34"/>
      <c r="R34"/>
      <c r="S34"/>
      <c r="T34"/>
      <c r="U34"/>
    </row>
    <row r="35" spans="1:21" ht="15" customHeight="1">
      <c r="A35" s="22"/>
      <c r="B35" s="17"/>
      <c r="C35" s="17"/>
      <c r="D35" s="17"/>
      <c r="E35" s="17"/>
      <c r="F35" s="17"/>
      <c r="G35" s="17"/>
      <c r="H35" s="17"/>
      <c r="I35" s="18"/>
      <c r="J35" s="31"/>
      <c r="K35" s="48"/>
      <c r="L35" s="37" t="s">
        <v>701</v>
      </c>
      <c r="M35"/>
      <c r="N35"/>
      <c r="O35"/>
      <c r="P35"/>
      <c r="Q35"/>
      <c r="R35"/>
      <c r="S35"/>
      <c r="T35"/>
      <c r="U35"/>
    </row>
    <row r="36" spans="1:21" ht="15" customHeight="1" thickBot="1">
      <c r="A36" s="22"/>
      <c r="B36" s="17"/>
      <c r="C36" s="17"/>
      <c r="D36" s="17"/>
      <c r="E36" s="17"/>
      <c r="F36" s="17"/>
      <c r="G36" s="17"/>
      <c r="H36" s="17"/>
      <c r="I36" s="18"/>
      <c r="J36" s="31"/>
      <c r="K36"/>
      <c r="L36"/>
      <c r="M36"/>
      <c r="N36"/>
      <c r="O36"/>
      <c r="P36"/>
      <c r="Q36"/>
      <c r="R36"/>
      <c r="S36"/>
      <c r="T36"/>
      <c r="U36"/>
    </row>
    <row r="37" spans="1:21" ht="15" customHeight="1" thickBot="1">
      <c r="A37" s="24"/>
      <c r="B37" s="32"/>
      <c r="C37" s="32"/>
      <c r="D37" s="32"/>
      <c r="E37" s="32"/>
      <c r="F37" s="32"/>
      <c r="G37" s="32"/>
      <c r="H37" s="32"/>
      <c r="I37" s="33"/>
      <c r="J37" s="31"/>
      <c r="K37" s="48" t="s">
        <v>4</v>
      </c>
      <c r="L37" s="594" t="s">
        <v>719</v>
      </c>
      <c r="M37" s="37"/>
      <c r="N37" s="37"/>
      <c r="O37" s="425">
        <f>O52</f>
        <v>3394136.5154209468</v>
      </c>
      <c r="P37" s="200" t="s">
        <v>720</v>
      </c>
      <c r="Q37"/>
      <c r="R37"/>
      <c r="S37"/>
      <c r="T37"/>
      <c r="U37"/>
    </row>
    <row r="38" spans="1:21" ht="15" customHeight="1">
      <c r="J38" s="31"/>
      <c r="K38"/>
      <c r="L38"/>
      <c r="M38"/>
      <c r="N38"/>
      <c r="O38"/>
      <c r="P38"/>
      <c r="Q38"/>
      <c r="R38"/>
      <c r="S38"/>
      <c r="T38"/>
      <c r="U38"/>
    </row>
    <row r="39" spans="1:21" ht="15" customHeight="1">
      <c r="J39" s="31"/>
      <c r="K39"/>
      <c r="L39" s="1" t="s">
        <v>728</v>
      </c>
      <c r="M39"/>
      <c r="N39"/>
      <c r="O39"/>
      <c r="P39"/>
      <c r="Q39"/>
      <c r="R39"/>
      <c r="S39"/>
      <c r="T39"/>
      <c r="U39"/>
    </row>
    <row r="40" spans="1:21" ht="15" customHeight="1">
      <c r="J40" s="31"/>
      <c r="K40"/>
      <c r="L40" s="596"/>
      <c r="M40" s="169"/>
      <c r="N40" s="169"/>
      <c r="O40" s="169"/>
      <c r="P40" s="169"/>
      <c r="Q40" s="169"/>
      <c r="R40"/>
      <c r="S40"/>
      <c r="T40"/>
      <c r="U40"/>
    </row>
    <row r="41" spans="1:21" ht="15" customHeight="1">
      <c r="J41" s="31"/>
      <c r="K41"/>
      <c r="L41" s="612"/>
      <c r="M41" s="610" t="s">
        <v>596</v>
      </c>
      <c r="N41" s="610" t="s">
        <v>709</v>
      </c>
      <c r="O41" s="599"/>
      <c r="P41" s="616" t="s">
        <v>711</v>
      </c>
      <c r="Q41" s="611" t="s">
        <v>712</v>
      </c>
      <c r="R41"/>
      <c r="S41"/>
      <c r="T41"/>
      <c r="U41"/>
    </row>
    <row r="42" spans="1:21" ht="15" customHeight="1">
      <c r="J42" s="31"/>
      <c r="K42"/>
      <c r="L42" s="613" t="s">
        <v>120</v>
      </c>
      <c r="M42" s="573" t="s">
        <v>49</v>
      </c>
      <c r="N42" s="573" t="s">
        <v>710</v>
      </c>
      <c r="O42" s="601" t="s">
        <v>711</v>
      </c>
      <c r="P42" s="617" t="s">
        <v>710</v>
      </c>
      <c r="Q42" s="600" t="s">
        <v>434</v>
      </c>
      <c r="R42"/>
      <c r="S42"/>
      <c r="T42"/>
      <c r="U42"/>
    </row>
    <row r="43" spans="1:21" ht="15" customHeight="1">
      <c r="J43" s="31"/>
      <c r="K43"/>
      <c r="L43" s="614">
        <v>2022</v>
      </c>
      <c r="M43" s="575">
        <f>E20</f>
        <v>850</v>
      </c>
      <c r="N43" s="595" t="s">
        <v>724</v>
      </c>
      <c r="O43" s="574">
        <f>C20</f>
        <v>61000</v>
      </c>
      <c r="P43" s="618" t="s">
        <v>721</v>
      </c>
      <c r="Q43" s="602">
        <f>M43/O43 * (1+C27)^3 / (1+B27)^3</f>
        <v>1.3532496762836403E-2</v>
      </c>
      <c r="R43" s="598"/>
      <c r="S43"/>
      <c r="T43" s="597"/>
      <c r="U43"/>
    </row>
    <row r="44" spans="1:21" ht="15" customHeight="1">
      <c r="J44" s="31"/>
      <c r="K44"/>
      <c r="L44" s="614">
        <v>2023</v>
      </c>
      <c r="M44" s="575">
        <f>E21</f>
        <v>950</v>
      </c>
      <c r="N44" s="595" t="s">
        <v>725</v>
      </c>
      <c r="O44" s="574">
        <f>C21</f>
        <v>67900</v>
      </c>
      <c r="P44" s="619" t="s">
        <v>722</v>
      </c>
      <c r="Q44" s="602">
        <f>M44/O44 * (1+C27)^2 / (1+B27)^2</f>
        <v>1.3720809199847132E-2</v>
      </c>
      <c r="R44" s="598"/>
      <c r="S44"/>
      <c r="T44" s="597"/>
      <c r="U44"/>
    </row>
    <row r="45" spans="1:21" ht="15" customHeight="1">
      <c r="J45" s="31"/>
      <c r="K45"/>
      <c r="L45" s="615">
        <v>2024</v>
      </c>
      <c r="M45" s="606">
        <f>E22</f>
        <v>970</v>
      </c>
      <c r="N45" s="607" t="s">
        <v>726</v>
      </c>
      <c r="O45" s="608">
        <f>C22</f>
        <v>67800</v>
      </c>
      <c r="P45" s="620" t="s">
        <v>723</v>
      </c>
      <c r="Q45" s="609">
        <f>M45/O45 * (1+C27)^1 / (1+B27)^1</f>
        <v>1.4167883838817768E-2</v>
      </c>
      <c r="R45" s="598"/>
      <c r="S45"/>
      <c r="T45" s="597"/>
      <c r="U45"/>
    </row>
    <row r="46" spans="1:21" ht="15" customHeight="1">
      <c r="B46" s="31"/>
      <c r="C46" s="31"/>
      <c r="D46" s="31"/>
      <c r="E46" s="31"/>
      <c r="F46" s="31"/>
      <c r="G46" s="31"/>
      <c r="H46" s="31"/>
      <c r="I46" s="31"/>
      <c r="J46" s="31"/>
      <c r="K46"/>
      <c r="L46" s="603">
        <v>2025</v>
      </c>
      <c r="M46" s="604" t="s">
        <v>713</v>
      </c>
      <c r="N46" s="604" t="s">
        <v>713</v>
      </c>
      <c r="O46" s="604" t="s">
        <v>713</v>
      </c>
      <c r="P46" s="621" t="s">
        <v>714</v>
      </c>
      <c r="Q46" s="605">
        <f>AVERAGE(Q43:Q45)</f>
        <v>1.3807063267167102E-2</v>
      </c>
      <c r="R46"/>
      <c r="S46"/>
      <c r="T46"/>
      <c r="U46"/>
    </row>
    <row r="47" spans="1:21" ht="15" customHeight="1">
      <c r="B47" s="31"/>
      <c r="C47" s="31"/>
      <c r="D47" s="31"/>
      <c r="E47" s="31"/>
      <c r="F47" s="31"/>
      <c r="G47" s="31"/>
      <c r="H47" s="31"/>
      <c r="I47" s="31"/>
      <c r="J47" s="31"/>
      <c r="K47"/>
      <c r="L47"/>
      <c r="M47"/>
      <c r="N47"/>
      <c r="O47"/>
      <c r="P47"/>
      <c r="Q47"/>
      <c r="R47"/>
      <c r="S47"/>
      <c r="T47"/>
      <c r="U47"/>
    </row>
    <row r="48" spans="1:21" ht="15" customHeight="1">
      <c r="B48" s="31"/>
      <c r="C48" s="31"/>
      <c r="D48" s="31"/>
      <c r="E48" s="31"/>
      <c r="F48" s="31"/>
      <c r="G48" s="31"/>
      <c r="H48" s="31"/>
      <c r="I48" s="31"/>
      <c r="J48" s="31"/>
      <c r="K48"/>
      <c r="L48" s="1" t="s">
        <v>727</v>
      </c>
      <c r="M48"/>
      <c r="N48"/>
      <c r="O48"/>
      <c r="P48"/>
      <c r="Q48"/>
      <c r="R48"/>
      <c r="S48"/>
      <c r="T48"/>
      <c r="U48"/>
    </row>
    <row r="49" spans="2:33" ht="15" customHeight="1">
      <c r="B49" s="31"/>
      <c r="C49" s="31"/>
      <c r="D49" s="31"/>
      <c r="E49" s="31"/>
      <c r="F49" s="31"/>
      <c r="G49" s="31"/>
      <c r="H49" s="31"/>
      <c r="I49" s="31"/>
      <c r="J49" s="31"/>
      <c r="K49"/>
      <c r="L49"/>
      <c r="M49"/>
      <c r="N49"/>
      <c r="O49"/>
      <c r="P49"/>
      <c r="Q49"/>
      <c r="R49"/>
      <c r="S49"/>
      <c r="T49"/>
      <c r="U49"/>
    </row>
    <row r="50" spans="2:33" ht="15" customHeight="1">
      <c r="B50" s="31"/>
      <c r="C50" s="31"/>
      <c r="D50" s="31"/>
      <c r="E50" s="31"/>
      <c r="F50" s="31"/>
      <c r="G50" s="31"/>
      <c r="H50" s="31"/>
      <c r="I50" s="31"/>
      <c r="J50" s="31"/>
      <c r="K50"/>
      <c r="L50" s="623" t="s">
        <v>729</v>
      </c>
      <c r="M50" s="623"/>
      <c r="N50" s="624" t="s">
        <v>34</v>
      </c>
      <c r="O50" s="625" t="s">
        <v>730</v>
      </c>
      <c r="P50" s="623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2:33" ht="15" customHeight="1">
      <c r="B51" s="31"/>
      <c r="C51" s="31"/>
      <c r="D51" s="31"/>
      <c r="E51" s="31"/>
      <c r="F51" s="31"/>
      <c r="G51" s="31"/>
      <c r="H51" s="31"/>
      <c r="I51" s="31"/>
      <c r="J51" s="31"/>
      <c r="L51"/>
      <c r="M51"/>
      <c r="N51" s="624" t="s">
        <v>34</v>
      </c>
      <c r="O51" s="323">
        <f>C23</f>
        <v>71900</v>
      </c>
      <c r="P51" s="48" t="s">
        <v>363</v>
      </c>
      <c r="Q51" s="626">
        <f>Q46</f>
        <v>1.3807063267167102E-2</v>
      </c>
      <c r="R51" s="363" t="s">
        <v>363</v>
      </c>
      <c r="S51" s="627">
        <f>E16</f>
        <v>3419</v>
      </c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2:33" ht="15" customHeight="1">
      <c r="B52" s="31"/>
      <c r="C52" s="31"/>
      <c r="D52" s="31"/>
      <c r="E52" s="31"/>
      <c r="F52" s="31"/>
      <c r="G52" s="31"/>
      <c r="H52" s="31"/>
      <c r="I52" s="31"/>
      <c r="J52" s="31"/>
      <c r="L52"/>
      <c r="M52"/>
      <c r="N52" s="624" t="s">
        <v>34</v>
      </c>
      <c r="O52" s="425">
        <f>O51*Q51*S51</f>
        <v>3394136.5154209468</v>
      </c>
      <c r="P52"/>
      <c r="Q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2:33" ht="15" customHeight="1">
      <c r="B53" s="31"/>
      <c r="C53" s="31"/>
      <c r="D53" s="31"/>
      <c r="E53" s="31"/>
      <c r="F53" s="31"/>
      <c r="G53" s="31"/>
      <c r="H53" s="31"/>
      <c r="I53" s="31"/>
      <c r="J53" s="31"/>
      <c r="L53"/>
      <c r="M53"/>
      <c r="N53"/>
      <c r="O53"/>
      <c r="P53"/>
      <c r="Q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2:33" ht="15" customHeight="1">
      <c r="B54" s="31"/>
      <c r="C54" s="31"/>
      <c r="D54" s="31"/>
      <c r="E54" s="31"/>
      <c r="F54" s="31"/>
      <c r="G54" s="31"/>
      <c r="H54" s="31"/>
      <c r="I54" s="31"/>
      <c r="J54" s="31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2:33" ht="15" customHeight="1">
      <c r="B55" s="31"/>
      <c r="C55" s="31"/>
      <c r="D55" s="31"/>
      <c r="E55" s="31"/>
      <c r="F55" s="31"/>
      <c r="G55" s="31"/>
      <c r="H55" s="31"/>
      <c r="I55" s="31"/>
      <c r="J55" s="31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2:33" ht="15" customHeight="1">
      <c r="B56" s="31"/>
      <c r="C56" s="31"/>
      <c r="D56" s="31"/>
      <c r="E56" s="31"/>
      <c r="F56" s="31"/>
      <c r="G56" s="31"/>
      <c r="H56" s="31"/>
      <c r="I56" s="31"/>
      <c r="J56" s="31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2:33" ht="15" customHeight="1">
      <c r="B57" s="31"/>
      <c r="C57" s="31"/>
      <c r="D57" s="31"/>
      <c r="E57" s="31"/>
      <c r="F57" s="31"/>
      <c r="G57" s="31"/>
      <c r="H57" s="31"/>
      <c r="I57" s="31"/>
      <c r="J57" s="31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2:33" ht="15" customHeight="1">
      <c r="B58" s="31"/>
      <c r="C58" s="31"/>
      <c r="D58" s="31"/>
      <c r="E58" s="31"/>
      <c r="F58" s="31"/>
      <c r="G58" s="31"/>
      <c r="H58" s="31"/>
      <c r="I58" s="31"/>
      <c r="J58" s="31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2:33" ht="15" customHeight="1">
      <c r="B59" s="31"/>
      <c r="C59" s="31"/>
      <c r="D59" s="31"/>
      <c r="E59" s="31"/>
      <c r="F59" s="31"/>
      <c r="G59" s="31"/>
      <c r="H59" s="31"/>
      <c r="I59" s="31"/>
      <c r="J59" s="31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2:33" ht="15" customHeight="1">
      <c r="B60" s="31"/>
      <c r="C60" s="31"/>
      <c r="D60" s="31"/>
      <c r="E60" s="31"/>
      <c r="F60" s="31"/>
      <c r="G60" s="31"/>
      <c r="H60" s="31"/>
      <c r="I60" s="31"/>
      <c r="J60" s="31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2:33" ht="15" customHeight="1">
      <c r="B61" s="31"/>
      <c r="C61" s="31"/>
      <c r="D61" s="31"/>
      <c r="E61" s="31"/>
      <c r="F61" s="31"/>
      <c r="G61" s="31"/>
      <c r="H61" s="31"/>
      <c r="I61" s="31"/>
      <c r="J61" s="3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2:33" ht="15" customHeight="1">
      <c r="B62" s="31"/>
      <c r="C62" s="31"/>
      <c r="D62" s="31"/>
      <c r="E62" s="31"/>
      <c r="F62" s="31"/>
      <c r="G62" s="31"/>
      <c r="H62" s="31"/>
      <c r="I62" s="31"/>
      <c r="J62" s="31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2:33" ht="15" customHeight="1">
      <c r="B63" s="31"/>
      <c r="C63" s="31"/>
      <c r="D63" s="31"/>
      <c r="E63" s="31"/>
      <c r="F63" s="31"/>
      <c r="G63" s="31"/>
      <c r="H63" s="31"/>
      <c r="I63" s="31"/>
      <c r="J63" s="31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2:33" ht="15" customHeight="1">
      <c r="B64" s="31"/>
      <c r="C64" s="31"/>
      <c r="D64" s="31"/>
      <c r="E64" s="31"/>
      <c r="F64" s="31"/>
      <c r="G64" s="31"/>
      <c r="H64" s="31"/>
      <c r="I64" s="31"/>
      <c r="J64" s="31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2:33" ht="15" customHeight="1">
      <c r="B65" s="31"/>
      <c r="C65" s="31"/>
      <c r="D65" s="31"/>
      <c r="E65" s="31"/>
      <c r="F65" s="31"/>
      <c r="G65" s="31"/>
      <c r="H65" s="31"/>
      <c r="I65" s="31"/>
      <c r="J65" s="31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2:33" ht="15" customHeight="1">
      <c r="B66" s="31"/>
      <c r="C66" s="31"/>
      <c r="D66" s="31"/>
      <c r="E66" s="31"/>
      <c r="F66" s="31"/>
      <c r="G66" s="31"/>
      <c r="H66" s="31"/>
      <c r="I66" s="31"/>
      <c r="J66" s="31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2:33" ht="15" customHeight="1">
      <c r="B67" s="31"/>
      <c r="C67" s="31"/>
      <c r="D67" s="31"/>
      <c r="E67" s="31"/>
      <c r="F67" s="31"/>
      <c r="G67" s="31"/>
      <c r="H67" s="31"/>
      <c r="I67" s="31"/>
      <c r="J67" s="31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2:33" ht="15" customHeight="1">
      <c r="B68" s="31"/>
      <c r="C68" s="31"/>
      <c r="D68" s="31"/>
      <c r="E68" s="31"/>
      <c r="F68" s="31"/>
      <c r="G68" s="31"/>
      <c r="H68" s="31"/>
      <c r="I68" s="31"/>
      <c r="J68" s="31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2:33" ht="15" customHeight="1">
      <c r="B69" s="31"/>
      <c r="C69" s="31"/>
      <c r="D69" s="31"/>
      <c r="E69" s="31"/>
      <c r="F69" s="31"/>
      <c r="G69" s="31"/>
      <c r="H69" s="31"/>
      <c r="I69" s="31"/>
      <c r="J69" s="31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2:33" ht="15" customHeight="1">
      <c r="B70" s="31"/>
      <c r="C70" s="31"/>
      <c r="D70" s="31"/>
      <c r="E70" s="31"/>
      <c r="F70" s="31"/>
      <c r="G70" s="31"/>
      <c r="H70" s="31"/>
      <c r="I70" s="31"/>
      <c r="J70" s="31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2:33" ht="15" customHeight="1">
      <c r="B71" s="31"/>
      <c r="C71" s="31"/>
      <c r="D71" s="31"/>
      <c r="E71" s="31"/>
      <c r="F71" s="31"/>
      <c r="G71" s="31"/>
      <c r="H71" s="31"/>
      <c r="I71" s="31"/>
      <c r="J71" s="3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2:33" ht="15" customHeight="1">
      <c r="B72" s="31"/>
      <c r="C72" s="31"/>
      <c r="D72" s="31"/>
      <c r="E72" s="31"/>
      <c r="F72" s="31"/>
      <c r="G72" s="31"/>
      <c r="H72" s="31"/>
      <c r="I72" s="31"/>
      <c r="J72" s="31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2:33" ht="15" customHeight="1">
      <c r="B73" s="31"/>
      <c r="C73" s="31"/>
      <c r="D73" s="31"/>
      <c r="E73" s="31"/>
      <c r="F73" s="31"/>
      <c r="G73" s="31"/>
      <c r="H73" s="31"/>
      <c r="I73" s="31"/>
      <c r="J73" s="31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2:33" ht="15" customHeight="1">
      <c r="B74" s="31"/>
      <c r="C74" s="31"/>
      <c r="D74" s="31"/>
      <c r="E74" s="31"/>
      <c r="F74" s="31"/>
      <c r="G74" s="31"/>
      <c r="H74" s="31"/>
      <c r="I74" s="31"/>
      <c r="J74" s="31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2:33" ht="15" customHeight="1">
      <c r="B75" s="31"/>
      <c r="C75" s="31"/>
      <c r="D75" s="31"/>
      <c r="E75" s="31"/>
      <c r="F75" s="31"/>
      <c r="G75" s="31"/>
      <c r="H75" s="31"/>
      <c r="I75" s="31"/>
      <c r="J75" s="31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2:33" ht="15" customHeight="1">
      <c r="B76" s="31"/>
      <c r="C76" s="31"/>
      <c r="D76" s="31"/>
      <c r="E76" s="31"/>
      <c r="F76" s="31"/>
      <c r="G76" s="31"/>
      <c r="H76" s="31"/>
      <c r="I76" s="31"/>
      <c r="J76" s="31"/>
    </row>
    <row r="77" spans="2:33" ht="15" customHeight="1">
      <c r="B77" s="31"/>
      <c r="C77" s="31"/>
      <c r="D77" s="31"/>
      <c r="E77" s="31"/>
      <c r="F77" s="31"/>
      <c r="G77" s="31"/>
      <c r="H77" s="31"/>
      <c r="I77" s="31"/>
      <c r="J77" s="31"/>
    </row>
    <row r="78" spans="2:33" ht="15" customHeight="1">
      <c r="B78" s="31"/>
      <c r="C78" s="31"/>
      <c r="D78" s="31"/>
      <c r="E78" s="31"/>
      <c r="F78" s="31"/>
      <c r="G78" s="31"/>
      <c r="H78" s="31"/>
      <c r="I78" s="31"/>
      <c r="J78" s="31"/>
    </row>
    <row r="79" spans="2:33" ht="15" customHeight="1">
      <c r="B79" s="31"/>
      <c r="C79" s="31"/>
      <c r="D79" s="31"/>
      <c r="E79" s="31"/>
      <c r="F79" s="31"/>
      <c r="G79" s="31"/>
      <c r="H79" s="31"/>
      <c r="I79" s="31"/>
      <c r="J79" s="31"/>
    </row>
    <row r="80" spans="2:33" ht="15" customHeight="1">
      <c r="B80" s="31"/>
      <c r="C80" s="31"/>
      <c r="D80" s="31"/>
      <c r="E80" s="31"/>
      <c r="F80" s="31"/>
      <c r="G80" s="31"/>
      <c r="H80" s="31"/>
      <c r="I80" s="31"/>
      <c r="J80" s="31"/>
    </row>
    <row r="81" spans="2:10" ht="15" customHeight="1">
      <c r="B81" s="31"/>
      <c r="C81" s="31"/>
      <c r="D81" s="31"/>
      <c r="E81" s="31"/>
      <c r="F81" s="31"/>
      <c r="G81" s="31"/>
      <c r="H81" s="31"/>
      <c r="I81" s="31"/>
      <c r="J81" s="31"/>
    </row>
    <row r="82" spans="2:10" ht="15" customHeight="1">
      <c r="B82" s="31"/>
      <c r="C82" s="31"/>
      <c r="D82" s="31"/>
      <c r="E82" s="31"/>
      <c r="F82" s="31"/>
      <c r="G82" s="31"/>
      <c r="H82" s="31"/>
      <c r="I82" s="31"/>
      <c r="J82" s="31"/>
    </row>
    <row r="83" spans="2:10" ht="15" customHeight="1">
      <c r="B83" s="31"/>
      <c r="C83" s="31"/>
      <c r="D83" s="31"/>
      <c r="E83" s="31"/>
      <c r="F83" s="31"/>
      <c r="G83" s="31"/>
      <c r="H83" s="31"/>
      <c r="I83" s="31"/>
      <c r="J83" s="31"/>
    </row>
    <row r="84" spans="2:10" ht="15" customHeight="1">
      <c r="B84" s="31"/>
      <c r="C84" s="31"/>
      <c r="D84" s="31"/>
      <c r="E84" s="31"/>
      <c r="F84" s="31"/>
      <c r="G84" s="31"/>
      <c r="H84" s="31"/>
      <c r="I84" s="31"/>
      <c r="J84" s="31"/>
    </row>
    <row r="85" spans="2:10" ht="15" customHeight="1">
      <c r="B85" s="31"/>
      <c r="C85" s="31"/>
      <c r="D85" s="31"/>
      <c r="E85" s="31"/>
      <c r="F85" s="31"/>
      <c r="G85" s="31"/>
      <c r="H85" s="31"/>
      <c r="I85" s="31"/>
      <c r="J85" s="31"/>
    </row>
    <row r="86" spans="2:10" ht="15" customHeight="1">
      <c r="B86" s="31"/>
      <c r="C86" s="31"/>
      <c r="D86" s="31"/>
      <c r="E86" s="31"/>
      <c r="F86" s="31"/>
      <c r="G86" s="31"/>
      <c r="H86" s="31"/>
      <c r="I86" s="31"/>
      <c r="J86" s="31"/>
    </row>
    <row r="87" spans="2:10" ht="15" customHeight="1">
      <c r="B87" s="31"/>
      <c r="C87" s="31"/>
      <c r="D87" s="31"/>
      <c r="E87" s="31"/>
      <c r="F87" s="31"/>
      <c r="G87" s="31"/>
      <c r="H87" s="31"/>
      <c r="I87" s="31"/>
      <c r="J87" s="31"/>
    </row>
    <row r="88" spans="2:10" ht="15" customHeight="1">
      <c r="B88" s="31"/>
      <c r="C88" s="31"/>
      <c r="D88" s="31"/>
      <c r="E88" s="31"/>
      <c r="F88" s="31"/>
      <c r="G88" s="31"/>
      <c r="H88" s="31"/>
      <c r="I88" s="31"/>
      <c r="J88" s="31"/>
    </row>
    <row r="89" spans="2:10" ht="15" customHeight="1">
      <c r="B89" s="31"/>
      <c r="C89" s="31"/>
      <c r="D89" s="31"/>
      <c r="E89" s="31"/>
      <c r="F89" s="31"/>
      <c r="G89" s="31"/>
      <c r="H89" s="31"/>
      <c r="I89" s="31"/>
      <c r="J89" s="31"/>
    </row>
    <row r="90" spans="2:10" ht="15" customHeight="1">
      <c r="B90" s="31"/>
      <c r="C90" s="31"/>
      <c r="D90" s="31"/>
      <c r="E90" s="31"/>
      <c r="F90" s="31"/>
      <c r="G90" s="31"/>
      <c r="H90" s="31"/>
      <c r="I90" s="31"/>
      <c r="J90" s="31"/>
    </row>
    <row r="91" spans="2:10" ht="15" customHeight="1">
      <c r="B91" s="31"/>
      <c r="C91" s="31"/>
      <c r="D91" s="31"/>
      <c r="E91" s="31"/>
      <c r="F91" s="31"/>
      <c r="G91" s="31"/>
      <c r="H91" s="31"/>
      <c r="I91" s="31"/>
      <c r="J91" s="31"/>
    </row>
    <row r="92" spans="2:10" ht="15" customHeight="1">
      <c r="B92" s="31"/>
      <c r="C92" s="31"/>
      <c r="D92" s="31"/>
      <c r="E92" s="31"/>
      <c r="F92" s="31"/>
      <c r="G92" s="31"/>
      <c r="H92" s="31"/>
      <c r="I92" s="31"/>
      <c r="J92" s="31"/>
    </row>
    <row r="93" spans="2:10" ht="15" customHeight="1">
      <c r="B93" s="31"/>
      <c r="C93" s="31"/>
      <c r="D93" s="31"/>
      <c r="E93" s="31"/>
      <c r="F93" s="31"/>
      <c r="G93" s="31"/>
      <c r="H93" s="31"/>
      <c r="I93" s="31"/>
      <c r="J93" s="31"/>
    </row>
    <row r="94" spans="2:10" ht="15" customHeight="1">
      <c r="B94" s="31"/>
      <c r="C94" s="31"/>
      <c r="D94" s="31"/>
      <c r="E94" s="31"/>
      <c r="F94" s="31"/>
      <c r="G94" s="31"/>
      <c r="H94" s="31"/>
      <c r="I94" s="31"/>
      <c r="J94" s="31"/>
    </row>
    <row r="95" spans="2:10" ht="15" customHeight="1">
      <c r="B95" s="31"/>
      <c r="C95" s="31"/>
      <c r="D95" s="31"/>
      <c r="E95" s="31"/>
      <c r="F95" s="31"/>
      <c r="G95" s="31"/>
      <c r="H95" s="31"/>
      <c r="I95" s="31"/>
      <c r="J95" s="31"/>
    </row>
    <row r="96" spans="2:10" ht="15" customHeight="1">
      <c r="B96" s="31"/>
      <c r="C96" s="31"/>
      <c r="D96" s="31"/>
      <c r="E96" s="31"/>
      <c r="F96" s="31"/>
      <c r="G96" s="31"/>
      <c r="H96" s="31"/>
      <c r="I96" s="31"/>
      <c r="J96" s="31"/>
    </row>
    <row r="97" spans="2:10" ht="15" customHeight="1">
      <c r="B97" s="31"/>
      <c r="C97" s="31"/>
      <c r="D97" s="31"/>
      <c r="E97" s="31"/>
      <c r="F97" s="31"/>
      <c r="G97" s="31"/>
      <c r="H97" s="31"/>
      <c r="I97" s="31"/>
      <c r="J97" s="31"/>
    </row>
    <row r="98" spans="2:10" ht="15" customHeight="1">
      <c r="B98" s="31"/>
      <c r="C98" s="31"/>
      <c r="D98" s="31"/>
      <c r="E98" s="31"/>
      <c r="F98" s="31"/>
      <c r="G98" s="31"/>
      <c r="H98" s="31"/>
      <c r="I98" s="31"/>
      <c r="J98" s="31"/>
    </row>
    <row r="99" spans="2:10" ht="15" customHeight="1">
      <c r="B99" s="31"/>
      <c r="C99" s="31"/>
      <c r="D99" s="31"/>
      <c r="E99" s="31"/>
      <c r="F99" s="31"/>
      <c r="G99" s="31"/>
      <c r="H99" s="31"/>
      <c r="I99" s="31"/>
      <c r="J99" s="31"/>
    </row>
    <row r="100" spans="2:10" ht="15" customHeight="1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2:10" ht="15" customHeight="1">
      <c r="B101" s="31"/>
      <c r="C101" s="31"/>
      <c r="D101" s="31"/>
      <c r="E101" s="31"/>
      <c r="F101" s="31"/>
      <c r="G101" s="31"/>
      <c r="H101" s="31"/>
      <c r="I101" s="31"/>
      <c r="J101" s="31"/>
    </row>
  </sheetData>
  <mergeCells count="1">
    <mergeCell ref="H1:I1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I100"/>
  <sheetViews>
    <sheetView zoomScaleNormal="100"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2" ht="15" customHeight="1">
      <c r="A1" s="7">
        <v>25</v>
      </c>
      <c r="B1" s="27" t="s">
        <v>12</v>
      </c>
      <c r="C1" s="20"/>
      <c r="D1" s="20"/>
      <c r="E1" s="20"/>
      <c r="F1" s="20"/>
      <c r="G1" s="20"/>
      <c r="H1" s="854" t="s">
        <v>24</v>
      </c>
      <c r="I1" s="855"/>
      <c r="K1" s="1" t="s">
        <v>33</v>
      </c>
      <c r="L1" s="52" t="str">
        <f>VLOOKUP(A1,'Point Grid'!$L$8:$T$54,9,FALSE)</f>
        <v>Reserving - Chap 12: Case O/S Methods</v>
      </c>
      <c r="M1"/>
      <c r="N1"/>
      <c r="O1"/>
      <c r="P1"/>
      <c r="Q1"/>
      <c r="R1"/>
      <c r="S1"/>
      <c r="T1"/>
      <c r="U1"/>
    </row>
    <row r="2" spans="1:22" ht="15" customHeight="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2" ht="15" customHeight="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1"/>
      <c r="K3" s="48" t="s">
        <v>2</v>
      </c>
      <c r="L3" t="s">
        <v>284</v>
      </c>
      <c r="M3"/>
      <c r="N3"/>
      <c r="O3"/>
      <c r="P3"/>
      <c r="Q3"/>
      <c r="R3"/>
      <c r="S3"/>
      <c r="T3"/>
      <c r="U3"/>
    </row>
    <row r="4" spans="1:22" ht="15" customHeight="1">
      <c r="A4" s="9">
        <f>INDEX('Point Grid'!B:B,MATCH(A1,'Point Grid'!A:A,0))</f>
        <v>2</v>
      </c>
      <c r="B4" s="17"/>
      <c r="C4" s="17"/>
      <c r="D4" s="17"/>
      <c r="E4" s="17"/>
      <c r="F4" s="17"/>
      <c r="G4" s="17"/>
      <c r="H4" s="17"/>
      <c r="I4" s="18"/>
      <c r="J4" s="31"/>
      <c r="K4" s="48"/>
      <c r="L4"/>
      <c r="M4"/>
      <c r="N4"/>
      <c r="O4"/>
      <c r="P4"/>
      <c r="Q4"/>
      <c r="R4"/>
      <c r="S4"/>
      <c r="T4"/>
      <c r="U4"/>
    </row>
    <row r="5" spans="1:22" ht="15" customHeight="1">
      <c r="A5" s="16"/>
      <c r="B5" s="17"/>
      <c r="C5" s="17"/>
      <c r="D5" s="17"/>
      <c r="E5" s="17"/>
      <c r="F5" s="17"/>
      <c r="G5" s="17"/>
      <c r="H5" s="17"/>
      <c r="I5" s="18"/>
      <c r="J5" s="31"/>
      <c r="K5" s="48"/>
      <c r="L5" s="654" t="s">
        <v>752</v>
      </c>
      <c r="M5"/>
      <c r="N5"/>
      <c r="O5"/>
      <c r="P5"/>
      <c r="Q5"/>
      <c r="R5"/>
      <c r="S5"/>
      <c r="T5"/>
      <c r="U5"/>
    </row>
    <row r="6" spans="1:22" ht="15" customHeight="1">
      <c r="A6" s="25" t="s">
        <v>2</v>
      </c>
      <c r="B6" s="17" t="s">
        <v>747</v>
      </c>
      <c r="C6" s="17"/>
      <c r="D6" s="17"/>
      <c r="E6" s="17"/>
      <c r="F6" s="17"/>
      <c r="G6" s="17"/>
      <c r="H6" s="17"/>
      <c r="I6" s="18"/>
      <c r="J6" s="31"/>
      <c r="K6" s="48"/>
      <c r="L6" s="654" t="s">
        <v>753</v>
      </c>
      <c r="M6"/>
      <c r="N6"/>
      <c r="O6"/>
      <c r="P6"/>
      <c r="Q6"/>
      <c r="R6"/>
      <c r="S6"/>
      <c r="T6"/>
      <c r="U6"/>
    </row>
    <row r="7" spans="1:22" ht="15" customHeight="1" thickBot="1">
      <c r="A7" s="9">
        <f>INDEX('Point Grid'!$C$8:$I$54,MATCH($A$1,'Point Grid'!$A$8:$A$54,0),MATCH(A6,'Point Grid'!$C$7:$I$7,0))</f>
        <v>0.5</v>
      </c>
      <c r="B7" s="17" t="s">
        <v>748</v>
      </c>
      <c r="C7" s="17"/>
      <c r="D7" s="17"/>
      <c r="E7" s="17"/>
      <c r="F7" s="17"/>
      <c r="G7" s="17"/>
      <c r="H7" s="17"/>
      <c r="I7" s="18"/>
      <c r="J7" s="31"/>
      <c r="K7" s="48"/>
      <c r="L7" s="654" t="s">
        <v>754</v>
      </c>
      <c r="M7"/>
      <c r="N7"/>
      <c r="O7"/>
      <c r="P7"/>
      <c r="Q7"/>
      <c r="R7"/>
      <c r="S7"/>
      <c r="T7"/>
      <c r="U7"/>
    </row>
    <row r="8" spans="1:22" ht="15" customHeight="1" thickBot="1">
      <c r="A8" s="5"/>
      <c r="B8" s="17" t="s">
        <v>749</v>
      </c>
      <c r="C8" s="28"/>
      <c r="D8" s="28"/>
      <c r="E8" s="28"/>
      <c r="F8" s="28"/>
      <c r="G8" s="28"/>
      <c r="H8" s="28"/>
      <c r="I8" s="18"/>
      <c r="J8" s="31"/>
      <c r="K8"/>
      <c r="L8"/>
      <c r="M8"/>
      <c r="N8"/>
      <c r="O8"/>
      <c r="P8"/>
      <c r="Q8"/>
      <c r="R8"/>
      <c r="S8"/>
      <c r="T8"/>
      <c r="U8"/>
    </row>
    <row r="9" spans="1:22" ht="15" customHeight="1">
      <c r="A9" s="25"/>
      <c r="B9" s="17" t="s">
        <v>750</v>
      </c>
      <c r="C9" s="17"/>
      <c r="D9" s="17"/>
      <c r="E9" s="17"/>
      <c r="F9" s="17"/>
      <c r="G9" s="17"/>
      <c r="H9" s="17"/>
      <c r="I9" s="18"/>
      <c r="J9" s="31"/>
      <c r="K9" s="48" t="s">
        <v>3</v>
      </c>
      <c r="L9" s="507" t="s">
        <v>169</v>
      </c>
      <c r="M9" s="122" t="s">
        <v>732</v>
      </c>
      <c r="N9" s="122"/>
      <c r="O9" s="122"/>
      <c r="P9" s="122"/>
      <c r="Q9" s="122"/>
      <c r="R9" s="122"/>
      <c r="S9" s="122"/>
      <c r="T9" s="122"/>
      <c r="U9" s="122"/>
      <c r="V9" s="122"/>
    </row>
    <row r="10" spans="1:22" ht="15" customHeight="1">
      <c r="A10" s="25"/>
      <c r="B10" s="17"/>
      <c r="C10" s="17"/>
      <c r="D10" s="17"/>
      <c r="E10" s="17"/>
      <c r="F10" s="17"/>
      <c r="G10" s="17"/>
      <c r="H10" s="17"/>
      <c r="I10" s="18"/>
      <c r="J10" s="31"/>
      <c r="K10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</row>
    <row r="11" spans="1:22" ht="15" customHeight="1">
      <c r="A11" s="25"/>
      <c r="B11" s="17" t="s">
        <v>751</v>
      </c>
      <c r="C11" s="17"/>
      <c r="D11" s="17"/>
      <c r="E11" s="17"/>
      <c r="F11" s="17"/>
      <c r="G11" s="17"/>
      <c r="H11" s="17"/>
      <c r="I11" s="18"/>
      <c r="J11" s="31"/>
      <c r="K11"/>
      <c r="L11" s="122"/>
      <c r="M11" s="371" t="s">
        <v>120</v>
      </c>
      <c r="N11" s="628"/>
      <c r="O11" s="629" t="s">
        <v>733</v>
      </c>
      <c r="P11" s="630" t="s">
        <v>645</v>
      </c>
      <c r="Q11" s="631" t="s">
        <v>121</v>
      </c>
      <c r="R11" s="122"/>
      <c r="S11" s="122"/>
      <c r="T11" s="122"/>
      <c r="U11" s="122"/>
      <c r="V11" s="122"/>
    </row>
    <row r="12" spans="1:22" ht="15" customHeight="1">
      <c r="A12" s="25"/>
      <c r="B12" s="17"/>
      <c r="C12" s="17"/>
      <c r="D12" s="17"/>
      <c r="E12" s="17"/>
      <c r="F12" s="17"/>
      <c r="G12" s="17"/>
      <c r="H12" s="17"/>
      <c r="I12" s="18"/>
      <c r="J12" s="31"/>
      <c r="K12"/>
      <c r="L12" s="122"/>
      <c r="M12" s="634">
        <v>2020</v>
      </c>
      <c r="N12" s="635">
        <f>N13+12</f>
        <v>72</v>
      </c>
      <c r="O12" s="636" t="s">
        <v>735</v>
      </c>
      <c r="P12" s="637">
        <f>VLOOKUP(N12,B21:F26,4,FALSE)</f>
        <v>1.0900000000000001</v>
      </c>
      <c r="Q12" s="638">
        <f>VLOOKUP(N12,B21:F26,5,FALSE)</f>
        <v>1.02</v>
      </c>
      <c r="R12" s="639" t="str">
        <f>IF(M12=H13,"  &lt;=====","")</f>
        <v/>
      </c>
      <c r="S12" s="305" t="str">
        <f>IF(M12=H13,"  use these CDFs","")</f>
        <v/>
      </c>
      <c r="T12" s="122"/>
      <c r="U12" s="122"/>
      <c r="V12" s="122"/>
    </row>
    <row r="13" spans="1:22" ht="15" customHeight="1">
      <c r="A13" s="25" t="s">
        <v>3</v>
      </c>
      <c r="B13" s="231" t="s">
        <v>734</v>
      </c>
      <c r="C13" s="231"/>
      <c r="D13" s="231"/>
      <c r="E13" s="655"/>
      <c r="F13" s="655"/>
      <c r="G13" s="656"/>
      <c r="H13" s="564">
        <v>2021</v>
      </c>
      <c r="I13" s="18"/>
      <c r="J13" s="31"/>
      <c r="K13"/>
      <c r="L13" s="122"/>
      <c r="M13" s="634">
        <f>M12+1</f>
        <v>2021</v>
      </c>
      <c r="N13" s="635">
        <f>N14+12</f>
        <v>60</v>
      </c>
      <c r="O13" s="636" t="s">
        <v>735</v>
      </c>
      <c r="P13" s="637">
        <f>VLOOKUP(N13,B21:F26,4,FALSE)</f>
        <v>1.1299999999999999</v>
      </c>
      <c r="Q13" s="638">
        <f>VLOOKUP(N13,B21:F26,5,FALSE)</f>
        <v>1.05</v>
      </c>
      <c r="R13" s="639" t="str">
        <f>IF(M13=H13,"  &lt;=====","")</f>
        <v xml:space="preserve">  &lt;=====</v>
      </c>
      <c r="S13" s="305" t="str">
        <f>IF(M13=H13,"  use these CDFs","")</f>
        <v xml:space="preserve">  use these CDFs</v>
      </c>
      <c r="T13" s="122"/>
      <c r="U13" s="122"/>
      <c r="V13" s="122"/>
    </row>
    <row r="14" spans="1:22" ht="15" customHeight="1" thickBot="1">
      <c r="A14" s="9">
        <f>INDEX('Point Grid'!$C$8:$I$54,MATCH($A$1,'Point Grid'!$A$8:$A$54,0),MATCH(A13,'Point Grid'!$C$7:$I$7,0))</f>
        <v>1.5</v>
      </c>
      <c r="B14" s="231"/>
      <c r="C14" s="231"/>
      <c r="D14" s="231"/>
      <c r="E14" s="231"/>
      <c r="F14" s="231"/>
      <c r="G14" s="231"/>
      <c r="H14" s="231"/>
      <c r="I14" s="18"/>
      <c r="J14" s="31"/>
      <c r="K14"/>
      <c r="L14" s="122"/>
      <c r="M14" s="640">
        <f>M13+1</f>
        <v>2022</v>
      </c>
      <c r="N14" s="641">
        <f>N15+12</f>
        <v>48</v>
      </c>
      <c r="O14" s="642" t="s">
        <v>735</v>
      </c>
      <c r="P14" s="643">
        <f>VLOOKUP(N14,B21:F26,4,FALSE)</f>
        <v>1.24</v>
      </c>
      <c r="Q14" s="644">
        <f>VLOOKUP(N14,B21:F26,5,FALSE)</f>
        <v>1.08</v>
      </c>
      <c r="R14" s="639" t="str">
        <f>IF(M14=H13,"  &lt;=====","")</f>
        <v/>
      </c>
      <c r="S14" s="305" t="str">
        <f>IF(M14=H13,"  use these CDFs","")</f>
        <v/>
      </c>
      <c r="T14" s="122"/>
      <c r="U14" s="122"/>
      <c r="V14" s="122"/>
    </row>
    <row r="15" spans="1:22" ht="15" customHeight="1" thickBot="1">
      <c r="A15" s="5"/>
      <c r="B15" s="231"/>
      <c r="C15" s="231"/>
      <c r="D15" s="231"/>
      <c r="E15" s="231"/>
      <c r="F15" s="231"/>
      <c r="G15" s="231"/>
      <c r="H15" s="231"/>
      <c r="I15" s="18"/>
      <c r="J15" s="31"/>
      <c r="K15" s="48"/>
      <c r="L15" s="122"/>
      <c r="M15" s="634">
        <f>M14+1</f>
        <v>2023</v>
      </c>
      <c r="N15" s="635">
        <f>N16+12</f>
        <v>36</v>
      </c>
      <c r="O15" s="636" t="s">
        <v>735</v>
      </c>
      <c r="P15" s="637">
        <f>VLOOKUP(N15,B21:F26,4,FALSE)</f>
        <v>1.59</v>
      </c>
      <c r="Q15" s="638">
        <f>VLOOKUP(N15,B21:F26,5,FALSE)</f>
        <v>1.1399999999999999</v>
      </c>
      <c r="R15" s="639" t="str">
        <f>IF(M15=H13,"  &lt;=====","")</f>
        <v/>
      </c>
      <c r="S15" s="305" t="str">
        <f>IF(M15=H13,"  use these CDFs","")</f>
        <v/>
      </c>
      <c r="T15" s="122"/>
      <c r="U15" s="122"/>
      <c r="V15" s="122"/>
    </row>
    <row r="16" spans="1:22" ht="15" customHeight="1">
      <c r="A16" s="25"/>
      <c r="B16" s="231" t="s">
        <v>736</v>
      </c>
      <c r="C16" s="231"/>
      <c r="D16" s="231"/>
      <c r="E16" s="231"/>
      <c r="F16" s="231"/>
      <c r="G16" s="231"/>
      <c r="H16" s="231"/>
      <c r="I16" s="18"/>
      <c r="J16" s="31"/>
      <c r="K16"/>
      <c r="L16" s="122"/>
      <c r="M16" s="634">
        <f>M15+1</f>
        <v>2024</v>
      </c>
      <c r="N16" s="635">
        <f>N17+12</f>
        <v>24</v>
      </c>
      <c r="O16" s="636" t="s">
        <v>735</v>
      </c>
      <c r="P16" s="637">
        <f>VLOOKUP(N16,B21:F26,4,FALSE)</f>
        <v>2.2000000000000002</v>
      </c>
      <c r="Q16" s="638">
        <f>VLOOKUP(N16,B21:F26,5,FALSE)</f>
        <v>1.39</v>
      </c>
      <c r="R16" s="639" t="str">
        <f>IF(M16=H13,"  &lt;=====","")</f>
        <v/>
      </c>
      <c r="S16" s="305" t="str">
        <f>IF(M16=H13,"  use these CDFs","")</f>
        <v/>
      </c>
      <c r="T16" s="122"/>
      <c r="U16" s="122"/>
      <c r="V16" s="122"/>
    </row>
    <row r="17" spans="1:35" ht="15" customHeight="1">
      <c r="A17" s="25"/>
      <c r="B17" s="520"/>
      <c r="C17" s="520"/>
      <c r="D17" s="520"/>
      <c r="E17" s="520"/>
      <c r="F17" s="520"/>
      <c r="G17" s="520"/>
      <c r="H17" s="520"/>
      <c r="I17" s="18"/>
      <c r="J17" s="31"/>
      <c r="K17"/>
      <c r="L17"/>
      <c r="M17" s="640">
        <f>M16+1</f>
        <v>2025</v>
      </c>
      <c r="N17" s="641">
        <v>12</v>
      </c>
      <c r="O17" s="642" t="s">
        <v>735</v>
      </c>
      <c r="P17" s="643">
        <f>VLOOKUP(N17,B21:F26,4,FALSE)</f>
        <v>4.55</v>
      </c>
      <c r="Q17" s="644">
        <f>VLOOKUP(N17,B21:F26,5,FALSE)</f>
        <v>3.03</v>
      </c>
      <c r="R17" s="639" t="str">
        <f>IF(M17=H13,"  &lt;=====","")</f>
        <v/>
      </c>
      <c r="S17" s="305" t="str">
        <f>IF(M17=H13,"  use these CDFs","")</f>
        <v/>
      </c>
      <c r="T17" s="122"/>
      <c r="U17" s="122"/>
      <c r="V17" s="122"/>
    </row>
    <row r="18" spans="1:35" ht="15" customHeight="1">
      <c r="A18" s="25"/>
      <c r="B18" s="657"/>
      <c r="C18" s="658" t="s">
        <v>737</v>
      </c>
      <c r="D18" s="659">
        <v>2021</v>
      </c>
      <c r="E18" s="660">
        <v>7970</v>
      </c>
      <c r="F18" s="661" t="s">
        <v>589</v>
      </c>
      <c r="G18" s="419" t="s">
        <v>738</v>
      </c>
      <c r="H18" s="419"/>
      <c r="I18" s="18"/>
      <c r="J18" s="31"/>
      <c r="K18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</row>
    <row r="19" spans="1:35" ht="15" customHeight="1">
      <c r="A19" s="25"/>
      <c r="B19" s="231"/>
      <c r="C19" s="231"/>
      <c r="D19" s="231"/>
      <c r="E19" s="231"/>
      <c r="F19" s="231"/>
      <c r="G19" s="231"/>
      <c r="H19" s="231"/>
      <c r="I19" s="18"/>
      <c r="J19" s="31"/>
      <c r="K19"/>
      <c r="L19" s="287" t="s">
        <v>174</v>
      </c>
      <c r="M19" s="122" t="s">
        <v>740</v>
      </c>
      <c r="N19" s="122"/>
      <c r="O19" s="122"/>
      <c r="P19" s="122"/>
      <c r="Q19" s="122"/>
      <c r="R19" s="122"/>
      <c r="S19" s="122"/>
      <c r="T19" s="122"/>
      <c r="U19" s="633">
        <f>H13</f>
        <v>2021</v>
      </c>
      <c r="V19" s="122"/>
    </row>
    <row r="20" spans="1:35" ht="15" customHeight="1">
      <c r="A20" s="25"/>
      <c r="B20" s="662" t="s">
        <v>739</v>
      </c>
      <c r="C20" s="663"/>
      <c r="D20" s="664"/>
      <c r="E20" s="665" t="s">
        <v>645</v>
      </c>
      <c r="F20" s="665" t="s">
        <v>121</v>
      </c>
      <c r="G20" s="661"/>
      <c r="H20" s="419"/>
      <c r="I20" s="18"/>
      <c r="J20" s="31"/>
      <c r="K20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</row>
    <row r="21" spans="1:35" ht="15" customHeight="1">
      <c r="A21" s="25"/>
      <c r="B21" s="512">
        <v>12</v>
      </c>
      <c r="C21" s="666" t="s">
        <v>735</v>
      </c>
      <c r="D21" s="515" t="s">
        <v>741</v>
      </c>
      <c r="E21" s="667">
        <v>4.55</v>
      </c>
      <c r="F21" s="667">
        <v>3.03</v>
      </c>
      <c r="G21" s="75"/>
      <c r="H21" s="231"/>
      <c r="I21" s="18"/>
      <c r="J21" s="31"/>
      <c r="K21"/>
      <c r="L21" s="122"/>
      <c r="M21" s="122" t="s">
        <v>742</v>
      </c>
      <c r="N21" s="122"/>
      <c r="O21" s="323" t="s">
        <v>34</v>
      </c>
      <c r="P21" s="645" t="s">
        <v>743</v>
      </c>
      <c r="Q21" s="646" t="s">
        <v>744</v>
      </c>
      <c r="R21" s="646"/>
      <c r="S21" s="647"/>
      <c r="T21" s="648" t="s">
        <v>36</v>
      </c>
      <c r="U21" s="649" t="s">
        <v>745</v>
      </c>
      <c r="V21" s="650"/>
    </row>
    <row r="22" spans="1:35" ht="15" customHeight="1">
      <c r="A22" s="25"/>
      <c r="B22" s="530">
        <v>24</v>
      </c>
      <c r="C22" s="668" t="s">
        <v>735</v>
      </c>
      <c r="D22" s="519" t="s">
        <v>741</v>
      </c>
      <c r="E22" s="669">
        <v>2.2000000000000002</v>
      </c>
      <c r="F22" s="669">
        <v>1.39</v>
      </c>
      <c r="G22" s="75"/>
      <c r="H22" s="231"/>
      <c r="I22" s="18"/>
      <c r="J22" s="31"/>
      <c r="K22"/>
      <c r="L22" s="122"/>
      <c r="M22" s="122"/>
      <c r="N22" s="122"/>
      <c r="O22" s="323" t="s">
        <v>34</v>
      </c>
      <c r="P22" s="645" t="s">
        <v>743</v>
      </c>
      <c r="Q22" s="646" t="str">
        <f>"[ ( "&amp;VLOOKUP(H13,M12:Q17,5,FALSE)&amp;" -1 ) x " &amp; VLOOKUP(H13,M12:Q17,4,FALSE) &amp; "]"</f>
        <v>[ ( 1.05 -1 ) x 1.13]</v>
      </c>
      <c r="R22" s="646"/>
      <c r="S22" s="647"/>
      <c r="T22" s="648" t="s">
        <v>36</v>
      </c>
      <c r="U22" s="649" t="str">
        <f>"( "&amp;VLOOKUP(H13,M12:Q17,4,FALSE)&amp;" - "&amp;VLOOKUP(H13,M12:Q17,5,FALSE)&amp;" )"</f>
        <v>( 1.13 - 1.05 )</v>
      </c>
      <c r="V22" s="122"/>
    </row>
    <row r="23" spans="1:35" ht="15" customHeight="1">
      <c r="A23" s="25"/>
      <c r="B23" s="670">
        <v>36</v>
      </c>
      <c r="C23" s="671" t="s">
        <v>735</v>
      </c>
      <c r="D23" s="672" t="s">
        <v>741</v>
      </c>
      <c r="E23" s="673">
        <v>1.59</v>
      </c>
      <c r="F23" s="673">
        <v>1.1399999999999999</v>
      </c>
      <c r="G23" s="75"/>
      <c r="H23" s="231"/>
      <c r="I23" s="18"/>
      <c r="J23" s="31"/>
      <c r="K23"/>
      <c r="L23" s="122"/>
      <c r="M23" s="122"/>
      <c r="N23" s="122"/>
      <c r="O23" s="323" t="s">
        <v>34</v>
      </c>
      <c r="P23" s="645" t="s">
        <v>743</v>
      </c>
      <c r="Q23" s="651">
        <f>(VLOOKUP(H13,M12:Q17,5,FALSE)-1)*VLOOKUP(H13,M12:Q17,4,FALSE)</f>
        <v>5.6500000000000043E-2</v>
      </c>
      <c r="R23" s="646"/>
      <c r="S23" s="647"/>
      <c r="T23" s="648" t="s">
        <v>36</v>
      </c>
      <c r="U23" s="652">
        <f>VLOOKUP(H13,M12:Q17,4,FALSE) -VLOOKUP(H13,M12:Q17,5,FALSE)</f>
        <v>7.9999999999999849E-2</v>
      </c>
      <c r="V23" s="122"/>
    </row>
    <row r="24" spans="1:35" ht="15" customHeight="1">
      <c r="A24" s="25"/>
      <c r="B24" s="530">
        <v>48</v>
      </c>
      <c r="C24" s="668" t="s">
        <v>735</v>
      </c>
      <c r="D24" s="519" t="s">
        <v>741</v>
      </c>
      <c r="E24" s="669">
        <v>1.24</v>
      </c>
      <c r="F24" s="669">
        <v>1.08</v>
      </c>
      <c r="G24" s="75"/>
      <c r="H24" s="231"/>
      <c r="I24" s="18"/>
      <c r="J24" s="31"/>
      <c r="K24"/>
      <c r="L24" s="122"/>
      <c r="M24" s="122"/>
      <c r="N24" s="122"/>
      <c r="O24" s="323" t="s">
        <v>34</v>
      </c>
      <c r="P24" s="509">
        <f>ROUND(1+Q23/U23,4)</f>
        <v>1.7062999999999999</v>
      </c>
      <c r="Q24" s="122"/>
      <c r="R24" s="122"/>
      <c r="S24" s="122"/>
      <c r="T24" s="122"/>
      <c r="U24" s="122"/>
      <c r="V24" s="122"/>
    </row>
    <row r="25" spans="1:35" ht="15" customHeight="1">
      <c r="A25" s="25"/>
      <c r="B25" s="530">
        <v>60</v>
      </c>
      <c r="C25" s="668" t="s">
        <v>735</v>
      </c>
      <c r="D25" s="519" t="s">
        <v>741</v>
      </c>
      <c r="E25" s="669">
        <v>1.1299999999999999</v>
      </c>
      <c r="F25" s="669">
        <v>1.05</v>
      </c>
      <c r="G25" s="75"/>
      <c r="H25" s="231"/>
      <c r="I25" s="18"/>
      <c r="J25" s="31"/>
      <c r="K25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</row>
    <row r="26" spans="1:35" ht="15" customHeight="1">
      <c r="A26" s="25"/>
      <c r="B26" s="670">
        <v>72</v>
      </c>
      <c r="C26" s="671" t="s">
        <v>735</v>
      </c>
      <c r="D26" s="672" t="s">
        <v>741</v>
      </c>
      <c r="E26" s="673">
        <v>1.0900000000000001</v>
      </c>
      <c r="F26" s="673">
        <v>1.02</v>
      </c>
      <c r="G26" s="231"/>
      <c r="H26" s="231"/>
      <c r="I26" s="18"/>
      <c r="J26" s="31"/>
      <c r="K26"/>
      <c r="L26" s="122"/>
      <c r="M26" s="425" t="s">
        <v>644</v>
      </c>
      <c r="N26" s="122"/>
      <c r="O26" s="323" t="s">
        <v>34</v>
      </c>
      <c r="P26" s="122" t="s">
        <v>746</v>
      </c>
      <c r="Q26" s="122"/>
      <c r="R26" s="323" t="s">
        <v>363</v>
      </c>
      <c r="S26" s="122" t="s">
        <v>742</v>
      </c>
      <c r="T26" s="122"/>
      <c r="U26" s="122"/>
      <c r="V26" s="122"/>
    </row>
    <row r="27" spans="1:35" ht="15" customHeight="1">
      <c r="A27" s="25"/>
      <c r="B27" s="17"/>
      <c r="C27" s="28"/>
      <c r="D27" s="28"/>
      <c r="E27" s="28"/>
      <c r="F27" s="28"/>
      <c r="G27" s="28"/>
      <c r="H27" s="28"/>
      <c r="I27" s="18"/>
      <c r="J27" s="31"/>
      <c r="K27"/>
      <c r="L27" s="122"/>
      <c r="M27" s="122"/>
      <c r="N27" s="122"/>
      <c r="O27" s="323" t="s">
        <v>34</v>
      </c>
      <c r="P27" s="323">
        <f>E18</f>
        <v>7970</v>
      </c>
      <c r="Q27" s="122"/>
      <c r="R27" s="323" t="s">
        <v>363</v>
      </c>
      <c r="S27" s="653">
        <f>P24</f>
        <v>1.7062999999999999</v>
      </c>
      <c r="T27" s="122"/>
      <c r="U27" s="122"/>
      <c r="V27" s="122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t="15" customHeight="1">
      <c r="A28" s="25"/>
      <c r="B28" s="17"/>
      <c r="C28" s="28"/>
      <c r="D28" s="28"/>
      <c r="E28" s="28"/>
      <c r="F28" s="28"/>
      <c r="G28" s="28"/>
      <c r="H28" s="28"/>
      <c r="I28" s="18"/>
      <c r="J28" s="31"/>
      <c r="K28"/>
      <c r="L28" s="122"/>
      <c r="M28" s="122"/>
      <c r="N28" s="122"/>
      <c r="O28" s="323" t="s">
        <v>34</v>
      </c>
      <c r="P28" s="280">
        <f>P27*S27</f>
        <v>13599.210999999999</v>
      </c>
      <c r="Q28" s="639"/>
      <c r="R28" s="200"/>
      <c r="S28" s="122"/>
      <c r="T28" s="122"/>
      <c r="U28" s="122"/>
      <c r="V28" s="122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t="15" customHeight="1">
      <c r="A29" s="25"/>
      <c r="B29" s="17"/>
      <c r="C29" s="28"/>
      <c r="D29" s="28"/>
      <c r="E29" s="28"/>
      <c r="F29" s="28"/>
      <c r="G29" s="28"/>
      <c r="H29" s="28"/>
      <c r="I29" s="18"/>
      <c r="J29" s="31"/>
      <c r="K29"/>
      <c r="L29" s="122"/>
      <c r="M29" s="122"/>
      <c r="N29" s="122"/>
      <c r="O29" s="122"/>
      <c r="P29" s="200" t="s">
        <v>179</v>
      </c>
      <c r="Q29" s="122"/>
      <c r="R29" s="122"/>
      <c r="S29" s="122"/>
      <c r="T29" s="122"/>
      <c r="U29" s="122"/>
      <c r="V29" s="122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t="15" customHeight="1">
      <c r="A30" s="25"/>
      <c r="B30" s="17"/>
      <c r="C30" s="28"/>
      <c r="D30" s="28"/>
      <c r="E30" s="28"/>
      <c r="F30" s="28"/>
      <c r="G30" s="28"/>
      <c r="H30" s="28"/>
      <c r="I30" s="18"/>
      <c r="J30" s="31"/>
      <c r="K30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t="15" customHeight="1">
      <c r="A31" s="25"/>
      <c r="B31" s="17"/>
      <c r="C31" s="28"/>
      <c r="D31" s="28"/>
      <c r="E31" s="28"/>
      <c r="F31" s="28"/>
      <c r="G31" s="28"/>
      <c r="H31" s="28"/>
      <c r="I31" s="18"/>
      <c r="J31" s="31"/>
      <c r="K31"/>
      <c r="T31" s="323"/>
      <c r="U31" s="323"/>
      <c r="V31" s="122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t="15" customHeight="1">
      <c r="A32" s="22"/>
      <c r="B32" s="17"/>
      <c r="C32" s="17"/>
      <c r="D32" s="17"/>
      <c r="E32" s="17"/>
      <c r="F32" s="17"/>
      <c r="G32" s="17"/>
      <c r="H32" s="17"/>
      <c r="I32" s="18"/>
      <c r="J32" s="31"/>
      <c r="K32" s="48"/>
      <c r="T32" s="122"/>
      <c r="U32" s="122"/>
      <c r="V32" s="12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t="15" customHeight="1" thickBot="1">
      <c r="A33" s="24"/>
      <c r="B33" s="32"/>
      <c r="C33" s="32"/>
      <c r="D33" s="32"/>
      <c r="E33" s="32"/>
      <c r="F33" s="32"/>
      <c r="G33" s="32"/>
      <c r="H33" s="32"/>
      <c r="I33" s="33"/>
      <c r="J33" s="31"/>
      <c r="K33"/>
      <c r="T33" s="122"/>
      <c r="U33" s="323"/>
      <c r="V33" s="122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t="15" customHeight="1">
      <c r="J34" s="31"/>
      <c r="K34" s="48"/>
      <c r="T34" s="122"/>
      <c r="U34" s="122"/>
      <c r="V34" s="122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t="15" customHeight="1">
      <c r="J35" s="31"/>
      <c r="K35"/>
      <c r="T35" s="97"/>
      <c r="U35" s="97"/>
      <c r="V35" s="97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t="15" customHeight="1">
      <c r="J36" s="31"/>
      <c r="K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t="15" customHeight="1">
      <c r="J37" s="31"/>
      <c r="K37"/>
      <c r="T37" s="122"/>
      <c r="U37" s="122"/>
      <c r="V37" s="122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t="15" customHeight="1">
      <c r="J38" s="31"/>
      <c r="K38"/>
      <c r="T38" s="122"/>
      <c r="U38" s="122"/>
      <c r="V38" s="122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t="15" customHeight="1">
      <c r="J39" s="31"/>
      <c r="K39"/>
      <c r="T39" s="122"/>
      <c r="U39" s="122"/>
      <c r="V39" s="122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t="15" customHeight="1">
      <c r="J40" s="31"/>
      <c r="K40"/>
      <c r="T40" s="122"/>
      <c r="U40" s="122"/>
      <c r="V40" s="122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t="15" customHeight="1">
      <c r="J41" s="31"/>
      <c r="K41"/>
      <c r="T41" s="122"/>
      <c r="U41" s="122"/>
      <c r="V41" s="122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t="15" customHeight="1">
      <c r="J42" s="31"/>
      <c r="K42"/>
      <c r="T42" s="122"/>
      <c r="U42" s="122"/>
      <c r="V42" s="12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ht="15" customHeight="1">
      <c r="J43" s="31"/>
      <c r="K43"/>
      <c r="T43" s="122"/>
      <c r="U43" s="122"/>
      <c r="V43" s="122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ht="15" customHeight="1">
      <c r="J44" s="31"/>
      <c r="K44"/>
      <c r="T44" s="122"/>
      <c r="U44" s="122"/>
      <c r="V44" s="122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t="15" customHeight="1">
      <c r="B45" s="31"/>
      <c r="C45" s="31"/>
      <c r="D45" s="31"/>
      <c r="E45" s="31"/>
      <c r="F45" s="31"/>
      <c r="G45" s="31"/>
      <c r="H45" s="31"/>
      <c r="I45" s="31"/>
      <c r="J45" s="31"/>
      <c r="K45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t="15" customHeight="1">
      <c r="B46" s="31"/>
      <c r="C46" s="31"/>
      <c r="D46" s="31"/>
      <c r="E46" s="31"/>
      <c r="F46" s="31"/>
      <c r="G46" s="31"/>
      <c r="H46" s="31"/>
      <c r="I46" s="31"/>
      <c r="J46" s="31"/>
      <c r="K46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t="15" customHeight="1">
      <c r="B47" s="31"/>
      <c r="C47" s="31"/>
      <c r="D47" s="31"/>
      <c r="E47" s="31"/>
      <c r="F47" s="31"/>
      <c r="G47" s="31"/>
      <c r="H47" s="31"/>
      <c r="I47" s="31"/>
      <c r="J47" s="31"/>
      <c r="K47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t="15" customHeight="1">
      <c r="B48" s="31"/>
      <c r="C48" s="31"/>
      <c r="D48" s="31"/>
      <c r="E48" s="31"/>
      <c r="F48" s="31"/>
      <c r="G48" s="31"/>
      <c r="H48" s="31"/>
      <c r="I48" s="31"/>
      <c r="J48" s="31"/>
      <c r="K48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2:35" ht="15" customHeight="1">
      <c r="B49" s="31"/>
      <c r="C49" s="31"/>
      <c r="D49" s="31"/>
      <c r="E49" s="31"/>
      <c r="F49" s="31"/>
      <c r="G49" s="31"/>
      <c r="H49" s="31"/>
      <c r="I49" s="31"/>
      <c r="J49" s="31"/>
      <c r="K49"/>
      <c r="L49"/>
      <c r="M49"/>
      <c r="N49"/>
      <c r="O49"/>
      <c r="P49"/>
      <c r="Q49"/>
      <c r="R49"/>
      <c r="S49"/>
      <c r="T49"/>
      <c r="U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2:35" ht="15" customHeight="1">
      <c r="B50" s="31"/>
      <c r="C50" s="31"/>
      <c r="D50" s="31"/>
      <c r="E50" s="31"/>
      <c r="F50" s="31"/>
      <c r="G50" s="31"/>
      <c r="H50" s="31"/>
      <c r="I50" s="31"/>
      <c r="J50" s="31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2:35" ht="15" customHeight="1">
      <c r="B51" s="31"/>
      <c r="C51" s="31"/>
      <c r="D51" s="31"/>
      <c r="E51" s="31"/>
      <c r="F51" s="31"/>
      <c r="G51" s="31"/>
      <c r="H51" s="31"/>
      <c r="I51" s="31"/>
      <c r="J51" s="3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2:35" ht="15" customHeight="1">
      <c r="B52" s="31"/>
      <c r="C52" s="31"/>
      <c r="D52" s="31"/>
      <c r="E52" s="31"/>
      <c r="F52" s="31"/>
      <c r="G52" s="31"/>
      <c r="H52" s="31"/>
      <c r="I52" s="31"/>
      <c r="J52" s="31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2:35" ht="15" customHeight="1">
      <c r="B53" s="31"/>
      <c r="C53" s="31"/>
      <c r="D53" s="31"/>
      <c r="E53" s="31"/>
      <c r="F53" s="31"/>
      <c r="G53" s="31"/>
      <c r="H53" s="31"/>
      <c r="I53" s="31"/>
      <c r="J53" s="31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2:35" ht="15" customHeight="1">
      <c r="B54" s="31"/>
      <c r="C54" s="31"/>
      <c r="D54" s="31"/>
      <c r="E54" s="31"/>
      <c r="F54" s="31"/>
      <c r="G54" s="31"/>
      <c r="H54" s="31"/>
      <c r="I54" s="31"/>
      <c r="J54" s="31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2:35" ht="15" customHeight="1">
      <c r="B55" s="31"/>
      <c r="C55" s="31"/>
      <c r="D55" s="31"/>
      <c r="E55" s="31"/>
      <c r="F55" s="31"/>
      <c r="G55" s="31"/>
      <c r="H55" s="31"/>
      <c r="I55" s="31"/>
      <c r="J55" s="31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2:35" ht="15" customHeight="1">
      <c r="B56" s="31"/>
      <c r="C56" s="31"/>
      <c r="D56" s="31"/>
      <c r="E56" s="31"/>
      <c r="F56" s="31"/>
      <c r="G56" s="31"/>
      <c r="H56" s="31"/>
      <c r="I56" s="31"/>
      <c r="J56" s="31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2:35" ht="15" customHeight="1">
      <c r="B57" s="31"/>
      <c r="C57" s="31"/>
      <c r="D57" s="31"/>
      <c r="E57" s="31"/>
      <c r="F57" s="31"/>
      <c r="G57" s="31"/>
      <c r="H57" s="31"/>
      <c r="I57" s="31"/>
      <c r="J57" s="31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2:35" ht="15" customHeight="1">
      <c r="B58" s="31"/>
      <c r="C58" s="31"/>
      <c r="D58" s="31"/>
      <c r="E58" s="31"/>
      <c r="F58" s="31"/>
      <c r="G58" s="31"/>
      <c r="H58" s="31"/>
      <c r="I58" s="31"/>
      <c r="J58" s="31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2:35" ht="15" customHeight="1">
      <c r="B59" s="31"/>
      <c r="C59" s="31"/>
      <c r="D59" s="31"/>
      <c r="E59" s="31"/>
      <c r="F59" s="31"/>
      <c r="G59" s="31"/>
      <c r="H59" s="31"/>
      <c r="I59" s="31"/>
      <c r="J59" s="31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2:35" ht="15" customHeight="1">
      <c r="B60" s="31"/>
      <c r="C60" s="31"/>
      <c r="D60" s="31"/>
      <c r="E60" s="31"/>
      <c r="F60" s="31"/>
      <c r="G60" s="31"/>
      <c r="H60" s="31"/>
      <c r="I60" s="31"/>
      <c r="J60" s="31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2:35" ht="15" customHeight="1">
      <c r="B61" s="31"/>
      <c r="C61" s="31"/>
      <c r="D61" s="31"/>
      <c r="E61" s="31"/>
      <c r="F61" s="31"/>
      <c r="G61" s="31"/>
      <c r="H61" s="31"/>
      <c r="I61" s="31"/>
      <c r="J61" s="3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2:35" ht="15" customHeight="1">
      <c r="B62" s="31"/>
      <c r="C62" s="31"/>
      <c r="D62" s="31"/>
      <c r="E62" s="31"/>
      <c r="F62" s="31"/>
      <c r="G62" s="31"/>
      <c r="H62" s="31"/>
      <c r="I62" s="31"/>
      <c r="J62" s="31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2:35" ht="15" customHeight="1">
      <c r="B63" s="31"/>
      <c r="C63" s="31"/>
      <c r="D63" s="31"/>
      <c r="E63" s="31"/>
      <c r="F63" s="31"/>
      <c r="G63" s="31"/>
      <c r="H63" s="31"/>
      <c r="I63" s="31"/>
      <c r="J63" s="31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2:35" ht="15" customHeight="1">
      <c r="B64" s="31"/>
      <c r="C64" s="31"/>
      <c r="D64" s="31"/>
      <c r="E64" s="31"/>
      <c r="F64" s="31"/>
      <c r="G64" s="31"/>
      <c r="H64" s="31"/>
      <c r="I64" s="31"/>
      <c r="J64" s="31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2:35" ht="15" customHeight="1">
      <c r="B65" s="31"/>
      <c r="C65" s="31"/>
      <c r="D65" s="31"/>
      <c r="E65" s="31"/>
      <c r="F65" s="31"/>
      <c r="G65" s="31"/>
      <c r="H65" s="31"/>
      <c r="I65" s="31"/>
      <c r="J65" s="31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2:35" ht="15" customHeight="1">
      <c r="B66" s="31"/>
      <c r="C66" s="31"/>
      <c r="D66" s="31"/>
      <c r="E66" s="31"/>
      <c r="F66" s="31"/>
      <c r="G66" s="31"/>
      <c r="H66" s="31"/>
      <c r="I66" s="31"/>
      <c r="J66" s="31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2:35" ht="15" customHeight="1">
      <c r="B67" s="31"/>
      <c r="C67" s="31"/>
      <c r="D67" s="31"/>
      <c r="E67" s="31"/>
      <c r="F67" s="31"/>
      <c r="G67" s="31"/>
      <c r="H67" s="31"/>
      <c r="I67" s="31"/>
      <c r="J67" s="31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2:35" ht="15" customHeight="1">
      <c r="B68" s="31"/>
      <c r="C68" s="31"/>
      <c r="D68" s="31"/>
      <c r="E68" s="31"/>
      <c r="F68" s="31"/>
      <c r="G68" s="31"/>
      <c r="H68" s="31"/>
      <c r="I68" s="31"/>
      <c r="J68" s="31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2:35" ht="15" customHeight="1">
      <c r="B69" s="31"/>
      <c r="C69" s="31"/>
      <c r="D69" s="31"/>
      <c r="E69" s="31"/>
      <c r="F69" s="31"/>
      <c r="G69" s="31"/>
      <c r="H69" s="31"/>
      <c r="I69" s="31"/>
      <c r="J69" s="31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2:35" ht="15" customHeight="1">
      <c r="B70" s="31"/>
      <c r="C70" s="31"/>
      <c r="D70" s="31"/>
      <c r="E70" s="31"/>
      <c r="F70" s="31"/>
      <c r="G70" s="31"/>
      <c r="H70" s="31"/>
      <c r="I70" s="31"/>
      <c r="J70" s="31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2:35" ht="15" customHeight="1">
      <c r="B71" s="31"/>
      <c r="C71" s="31"/>
      <c r="D71" s="31"/>
      <c r="E71" s="31"/>
      <c r="F71" s="31"/>
      <c r="G71" s="31"/>
      <c r="H71" s="31"/>
      <c r="I71" s="31"/>
      <c r="J71" s="3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2:35" ht="15" customHeight="1">
      <c r="B72" s="31"/>
      <c r="C72" s="31"/>
      <c r="D72" s="31"/>
      <c r="E72" s="31"/>
      <c r="F72" s="31"/>
      <c r="G72" s="31"/>
      <c r="H72" s="31"/>
      <c r="I72" s="31"/>
      <c r="J72" s="31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2:35" ht="15" customHeight="1">
      <c r="B73" s="31"/>
      <c r="C73" s="31"/>
      <c r="D73" s="31"/>
      <c r="E73" s="31"/>
      <c r="F73" s="31"/>
      <c r="G73" s="31"/>
      <c r="H73" s="31"/>
      <c r="I73" s="31"/>
      <c r="J73" s="31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2:35" ht="15" customHeight="1">
      <c r="B74" s="31"/>
      <c r="C74" s="31"/>
      <c r="D74" s="31"/>
      <c r="E74" s="31"/>
      <c r="F74" s="31"/>
      <c r="G74" s="31"/>
      <c r="H74" s="31"/>
      <c r="I74" s="31"/>
      <c r="J74" s="31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2:35" ht="15" customHeight="1">
      <c r="B75" s="31"/>
      <c r="C75" s="31"/>
      <c r="D75" s="31"/>
      <c r="E75" s="31"/>
      <c r="F75" s="31"/>
      <c r="G75" s="31"/>
      <c r="H75" s="31"/>
      <c r="I75" s="31"/>
      <c r="J75" s="31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2:35" ht="15" customHeight="1">
      <c r="B76" s="31"/>
      <c r="C76" s="31"/>
      <c r="D76" s="31"/>
      <c r="E76" s="31"/>
      <c r="F76" s="31"/>
      <c r="G76" s="31"/>
      <c r="H76" s="31"/>
      <c r="I76" s="31"/>
      <c r="J76" s="31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2:35" ht="15" customHeight="1">
      <c r="B77" s="31"/>
      <c r="C77" s="31"/>
      <c r="D77" s="31"/>
      <c r="E77" s="31"/>
      <c r="F77" s="31"/>
      <c r="G77" s="31"/>
      <c r="H77" s="31"/>
      <c r="I77" s="31"/>
      <c r="J77" s="31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2:35" ht="15" customHeight="1">
      <c r="B78" s="31"/>
      <c r="C78" s="31"/>
      <c r="D78" s="31"/>
      <c r="E78" s="31"/>
      <c r="F78" s="31"/>
      <c r="G78" s="31"/>
      <c r="H78" s="31"/>
      <c r="I78" s="31"/>
      <c r="J78" s="31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2:35" ht="15" customHeight="1">
      <c r="B79" s="31"/>
      <c r="C79" s="31"/>
      <c r="D79" s="31"/>
      <c r="E79" s="31"/>
      <c r="F79" s="31"/>
      <c r="G79" s="31"/>
      <c r="H79" s="31"/>
      <c r="I79" s="31"/>
      <c r="J79" s="31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2:35" ht="15" customHeight="1">
      <c r="B80" s="31"/>
      <c r="C80" s="31"/>
      <c r="D80" s="31"/>
      <c r="E80" s="31"/>
      <c r="F80" s="31"/>
      <c r="G80" s="31"/>
      <c r="H80" s="31"/>
      <c r="I80" s="31"/>
      <c r="J80" s="31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2:35" ht="15" customHeight="1">
      <c r="B81" s="31"/>
      <c r="C81" s="31"/>
      <c r="D81" s="31"/>
      <c r="E81" s="31"/>
      <c r="F81" s="31"/>
      <c r="G81" s="31"/>
      <c r="H81" s="31"/>
      <c r="I81" s="31"/>
      <c r="J81" s="3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2:35" ht="15" customHeight="1">
      <c r="B82" s="31"/>
      <c r="C82" s="31"/>
      <c r="D82" s="31"/>
      <c r="E82" s="31"/>
      <c r="F82" s="31"/>
      <c r="G82" s="31"/>
      <c r="H82" s="31"/>
      <c r="I82" s="31"/>
      <c r="J82" s="31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2:35" ht="15" customHeight="1">
      <c r="B83" s="31"/>
      <c r="C83" s="31"/>
      <c r="D83" s="31"/>
      <c r="E83" s="31"/>
      <c r="F83" s="31"/>
      <c r="G83" s="31"/>
      <c r="H83" s="31"/>
      <c r="I83" s="31"/>
      <c r="J83" s="31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2:35" ht="15" customHeight="1">
      <c r="B84" s="31"/>
      <c r="C84" s="31"/>
      <c r="D84" s="31"/>
      <c r="E84" s="31"/>
      <c r="F84" s="31"/>
      <c r="G84" s="31"/>
      <c r="H84" s="31"/>
      <c r="I84" s="31"/>
      <c r="J84" s="31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2:35" ht="15" customHeight="1">
      <c r="B85" s="31"/>
      <c r="C85" s="31"/>
      <c r="D85" s="31"/>
      <c r="E85" s="31"/>
      <c r="F85" s="31"/>
      <c r="G85" s="31"/>
      <c r="H85" s="31"/>
      <c r="I85" s="31"/>
      <c r="J85" s="31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2:35" ht="15" customHeight="1">
      <c r="B86" s="31"/>
      <c r="C86" s="31"/>
      <c r="D86" s="31"/>
      <c r="E86" s="31"/>
      <c r="F86" s="31"/>
      <c r="G86" s="31"/>
      <c r="H86" s="31"/>
      <c r="I86" s="31"/>
      <c r="J86" s="31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2:35" ht="15" customHeight="1">
      <c r="B87" s="31"/>
      <c r="C87" s="31"/>
      <c r="D87" s="31"/>
      <c r="E87" s="31"/>
      <c r="F87" s="31"/>
      <c r="G87" s="31"/>
      <c r="H87" s="31"/>
      <c r="I87" s="31"/>
      <c r="J87" s="31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2:35" ht="15" customHeight="1">
      <c r="B88" s="31"/>
      <c r="C88" s="31"/>
      <c r="D88" s="31"/>
      <c r="E88" s="31"/>
      <c r="F88" s="31"/>
      <c r="G88" s="31"/>
      <c r="H88" s="31"/>
      <c r="I88" s="31"/>
      <c r="J88" s="31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2:35" ht="15" customHeight="1">
      <c r="B89" s="31"/>
      <c r="C89" s="31"/>
      <c r="D89" s="31"/>
      <c r="E89" s="31"/>
      <c r="F89" s="31"/>
      <c r="G89" s="31"/>
      <c r="H89" s="31"/>
      <c r="I89" s="31"/>
      <c r="J89" s="31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2:35" ht="15" customHeight="1">
      <c r="B90" s="31"/>
      <c r="C90" s="31"/>
      <c r="D90" s="31"/>
      <c r="E90" s="31"/>
      <c r="F90" s="31"/>
      <c r="G90" s="31"/>
      <c r="H90" s="31"/>
      <c r="I90" s="31"/>
      <c r="J90" s="31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2:35" ht="15" customHeight="1">
      <c r="B91" s="31"/>
      <c r="C91" s="31"/>
      <c r="D91" s="31"/>
      <c r="E91" s="31"/>
      <c r="F91" s="31"/>
      <c r="G91" s="31"/>
      <c r="H91" s="31"/>
      <c r="I91" s="31"/>
      <c r="J91" s="3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2:35" ht="15" customHeight="1">
      <c r="B92" s="31"/>
      <c r="C92" s="31"/>
      <c r="D92" s="31"/>
      <c r="E92" s="31"/>
      <c r="F92" s="31"/>
      <c r="G92" s="31"/>
      <c r="H92" s="31"/>
      <c r="I92" s="31"/>
      <c r="J92" s="31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2:35" ht="15" customHeight="1">
      <c r="B93" s="31"/>
      <c r="C93" s="31"/>
      <c r="D93" s="31"/>
      <c r="E93" s="31"/>
      <c r="F93" s="31"/>
      <c r="G93" s="31"/>
      <c r="H93" s="31"/>
      <c r="I93" s="31"/>
      <c r="J93" s="31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2:35" ht="15" customHeight="1">
      <c r="B94" s="31"/>
      <c r="C94" s="31"/>
      <c r="D94" s="31"/>
      <c r="E94" s="31"/>
      <c r="F94" s="31"/>
      <c r="G94" s="31"/>
      <c r="H94" s="31"/>
      <c r="I94" s="31"/>
      <c r="J94" s="31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2:35" ht="15" customHeight="1">
      <c r="B95" s="31"/>
      <c r="C95" s="31"/>
      <c r="D95" s="31"/>
      <c r="E95" s="31"/>
      <c r="F95" s="31"/>
      <c r="G95" s="31"/>
      <c r="H95" s="31"/>
      <c r="I95" s="31"/>
      <c r="J95" s="31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2:35" ht="15" customHeight="1">
      <c r="B96" s="31"/>
      <c r="C96" s="31"/>
      <c r="D96" s="31"/>
      <c r="E96" s="31"/>
      <c r="F96" s="31"/>
      <c r="G96" s="31"/>
      <c r="H96" s="31"/>
      <c r="I96" s="31"/>
      <c r="J96" s="31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2:35" ht="15" customHeight="1">
      <c r="B97" s="31"/>
      <c r="C97" s="31"/>
      <c r="D97" s="31"/>
      <c r="E97" s="31"/>
      <c r="F97" s="31"/>
      <c r="G97" s="31"/>
      <c r="H97" s="31"/>
      <c r="I97" s="31"/>
      <c r="J97" s="31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2:35" ht="15" customHeight="1">
      <c r="B98" s="31"/>
      <c r="C98" s="31"/>
      <c r="D98" s="31"/>
      <c r="E98" s="31"/>
      <c r="F98" s="31"/>
      <c r="G98" s="31"/>
      <c r="H98" s="31"/>
      <c r="I98" s="31"/>
      <c r="J98" s="31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2:35" ht="15" customHeight="1">
      <c r="B99" s="31"/>
      <c r="C99" s="31"/>
      <c r="D99" s="31"/>
      <c r="E99" s="31"/>
      <c r="F99" s="31"/>
      <c r="G99" s="31"/>
      <c r="H99" s="31"/>
      <c r="I99" s="31"/>
      <c r="J99" s="31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2:35" ht="15" customHeight="1">
      <c r="B100" s="31"/>
      <c r="C100" s="31"/>
      <c r="D100" s="31"/>
      <c r="E100" s="31"/>
      <c r="F100" s="31"/>
      <c r="G100" s="31"/>
      <c r="H100" s="31"/>
      <c r="I100" s="31"/>
      <c r="J100" s="31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</sheetData>
  <mergeCells count="1">
    <mergeCell ref="H1:I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B101"/>
  <sheetViews>
    <sheetView workbookViewId="0"/>
  </sheetViews>
  <sheetFormatPr defaultColWidth="9.140625" defaultRowHeight="15"/>
  <cols>
    <col min="1" max="1" width="9.140625" style="21"/>
    <col min="2" max="6" width="10.7109375" style="21" customWidth="1"/>
    <col min="7" max="7" width="8.7109375" style="21" customWidth="1"/>
    <col min="8" max="12" width="10.7109375" style="21" customWidth="1"/>
    <col min="13" max="13" width="11.140625" style="21" customWidth="1"/>
    <col min="14" max="16384" width="9.140625" style="21"/>
  </cols>
  <sheetData>
    <row r="1" spans="1:28">
      <c r="A1" s="7">
        <v>26</v>
      </c>
      <c r="B1" s="27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854" t="s">
        <v>24</v>
      </c>
      <c r="M1" s="855"/>
      <c r="O1" s="1" t="s">
        <v>33</v>
      </c>
      <c r="P1" s="52" t="str">
        <f>VLOOKUP(A1,'Point Grid'!$L$8:$T$54,9,FALSE)</f>
        <v>Reserving - Chap 13: Berquist-Sherman Methods</v>
      </c>
      <c r="Q1"/>
      <c r="R1"/>
      <c r="S1"/>
      <c r="T1"/>
      <c r="U1"/>
      <c r="V1"/>
      <c r="W1"/>
      <c r="X1"/>
      <c r="Y1"/>
    </row>
    <row r="2" spans="1:28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  <c r="O2" s="1"/>
      <c r="P2"/>
      <c r="Q2"/>
      <c r="R2"/>
      <c r="S2"/>
      <c r="T2"/>
      <c r="U2"/>
      <c r="V2"/>
      <c r="W2"/>
      <c r="X2"/>
      <c r="Y2"/>
    </row>
    <row r="3" spans="1:28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31"/>
      <c r="O3" s="48" t="s">
        <v>2</v>
      </c>
      <c r="P3" t="s">
        <v>757</v>
      </c>
      <c r="Q3"/>
      <c r="R3"/>
      <c r="S3"/>
      <c r="T3"/>
      <c r="U3"/>
      <c r="V3"/>
      <c r="W3"/>
      <c r="X3"/>
      <c r="Y3"/>
    </row>
    <row r="4" spans="1:28">
      <c r="A4" s="9">
        <f>INDEX('Point Grid'!B:B,MATCH(A1,'Point Grid'!A:A,0))</f>
        <v>2.25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31"/>
      <c r="O4" s="48"/>
      <c r="P4"/>
      <c r="Q4"/>
      <c r="R4"/>
      <c r="S4"/>
      <c r="T4"/>
      <c r="U4"/>
      <c r="V4"/>
      <c r="W4"/>
      <c r="X4"/>
      <c r="Y4"/>
    </row>
    <row r="5" spans="1:28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N5" s="31"/>
      <c r="O5" s="48" t="s">
        <v>3</v>
      </c>
      <c r="P5" t="s">
        <v>758</v>
      </c>
      <c r="Q5"/>
      <c r="R5"/>
      <c r="S5"/>
      <c r="T5"/>
      <c r="U5"/>
      <c r="V5"/>
      <c r="W5"/>
      <c r="X5"/>
      <c r="Y5"/>
    </row>
    <row r="6" spans="1:28">
      <c r="A6" s="25" t="s">
        <v>2</v>
      </c>
      <c r="B6" s="17" t="s">
        <v>755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  <c r="N6" s="31"/>
      <c r="O6" s="48"/>
      <c r="P6" s="1"/>
      <c r="Q6"/>
      <c r="R6"/>
      <c r="S6"/>
      <c r="T6"/>
      <c r="U6"/>
      <c r="V6"/>
      <c r="W6"/>
      <c r="X6"/>
      <c r="Y6"/>
    </row>
    <row r="7" spans="1:28" ht="15.75" thickBot="1">
      <c r="A7" s="9">
        <f>INDEX('Point Grid'!$C$8:$I$54,MATCH($A$1,'Point Grid'!$A$8:$A$54,0),MATCH(A6,'Point Grid'!$C$7:$I$7,0))</f>
        <v>0.25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31"/>
      <c r="O7" s="48" t="s">
        <v>4</v>
      </c>
      <c r="P7" t="s">
        <v>801</v>
      </c>
      <c r="Q7"/>
      <c r="R7"/>
      <c r="S7"/>
      <c r="T7"/>
      <c r="U7"/>
      <c r="V7"/>
      <c r="W7"/>
      <c r="X7"/>
      <c r="Y7"/>
    </row>
    <row r="8" spans="1:28" ht="15.75" thickBot="1">
      <c r="A8" s="5"/>
      <c r="B8" s="17"/>
      <c r="C8" s="28"/>
      <c r="D8" s="28"/>
      <c r="E8" s="28"/>
      <c r="F8" s="28"/>
      <c r="G8" s="28"/>
      <c r="H8" s="28"/>
      <c r="I8" s="28"/>
      <c r="J8" s="28"/>
      <c r="K8" s="28"/>
      <c r="L8" s="28"/>
      <c r="M8" s="18"/>
      <c r="N8" s="31"/>
      <c r="O8"/>
      <c r="P8" t="s">
        <v>802</v>
      </c>
      <c r="Q8"/>
      <c r="R8"/>
      <c r="S8"/>
      <c r="T8"/>
      <c r="U8"/>
      <c r="V8"/>
      <c r="W8"/>
      <c r="X8"/>
      <c r="Y8"/>
    </row>
    <row r="9" spans="1:28">
      <c r="A9" s="25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  <c r="N9" s="31"/>
      <c r="O9" s="48"/>
      <c r="P9" s="37"/>
      <c r="Q9" s="122"/>
      <c r="R9" s="122"/>
      <c r="S9" s="122"/>
      <c r="T9" s="122"/>
      <c r="U9" s="122"/>
      <c r="V9" s="122"/>
      <c r="W9" s="122"/>
      <c r="X9" s="122"/>
      <c r="Y9" s="122"/>
      <c r="Z9" s="122"/>
    </row>
    <row r="10" spans="1:28">
      <c r="A10" s="25" t="s">
        <v>3</v>
      </c>
      <c r="B10" s="17" t="s">
        <v>756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31"/>
      <c r="O10"/>
      <c r="P10" s="507" t="s">
        <v>759</v>
      </c>
      <c r="Q10" s="674" t="s">
        <v>760</v>
      </c>
      <c r="R10" s="675"/>
      <c r="S10" s="675"/>
      <c r="T10" s="675"/>
      <c r="U10" s="675"/>
      <c r="V10" s="675"/>
      <c r="W10" s="676"/>
      <c r="X10" s="676"/>
      <c r="Y10" s="676"/>
      <c r="Z10" s="676"/>
      <c r="AA10" s="676"/>
      <c r="AB10" s="677"/>
    </row>
    <row r="11" spans="1:28" ht="15.75" thickBot="1">
      <c r="A11" s="9">
        <f>INDEX('Point Grid'!$C$8:$I$54,MATCH($A$1,'Point Grid'!$A$8:$A$54,0),MATCH(A10,'Point Grid'!$C$7:$I$7,0))</f>
        <v>0.25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8"/>
      <c r="N11" s="31"/>
      <c r="O11"/>
      <c r="P11" s="677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</row>
    <row r="12" spans="1:28" ht="15.75" thickBot="1">
      <c r="A12" s="5"/>
      <c r="B12" s="1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18"/>
      <c r="N12" s="31"/>
      <c r="O12"/>
      <c r="P12" s="122"/>
      <c r="Q12" s="678"/>
      <c r="R12" s="679" t="s">
        <v>761</v>
      </c>
      <c r="S12" s="679"/>
      <c r="T12" s="679"/>
      <c r="U12" s="680"/>
      <c r="V12" s="122"/>
      <c r="W12" s="678"/>
      <c r="X12" s="679" t="s">
        <v>762</v>
      </c>
      <c r="Y12" s="679"/>
      <c r="Z12" s="679"/>
      <c r="AA12" s="680"/>
      <c r="AB12" s="122"/>
    </row>
    <row r="13" spans="1:28">
      <c r="A13" s="25"/>
      <c r="B13" s="1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18"/>
      <c r="N13" s="31"/>
      <c r="O13" s="48"/>
      <c r="P13" s="122"/>
      <c r="Q13" s="681" t="s">
        <v>120</v>
      </c>
      <c r="R13" s="682">
        <v>12</v>
      </c>
      <c r="S13" s="682">
        <v>24</v>
      </c>
      <c r="T13" s="682">
        <v>36</v>
      </c>
      <c r="U13" s="683">
        <v>48</v>
      </c>
      <c r="V13" s="122"/>
      <c r="W13" s="681" t="s">
        <v>120</v>
      </c>
      <c r="X13" s="682">
        <v>12</v>
      </c>
      <c r="Y13" s="682">
        <v>24</v>
      </c>
      <c r="Z13" s="682">
        <v>36</v>
      </c>
      <c r="AA13" s="683">
        <v>48</v>
      </c>
      <c r="AB13" s="122"/>
    </row>
    <row r="14" spans="1:28">
      <c r="A14" s="25" t="s">
        <v>4</v>
      </c>
      <c r="B14" s="231" t="s">
        <v>763</v>
      </c>
      <c r="C14" s="231"/>
      <c r="D14" s="231"/>
      <c r="E14" s="231"/>
      <c r="F14" s="231"/>
      <c r="G14" s="563" t="s">
        <v>644</v>
      </c>
      <c r="H14" s="328" t="s">
        <v>626</v>
      </c>
      <c r="I14" s="564">
        <v>2025</v>
      </c>
      <c r="J14" s="154"/>
      <c r="K14" s="17"/>
      <c r="L14" s="17"/>
      <c r="M14" s="18"/>
      <c r="N14" s="31"/>
      <c r="O14"/>
      <c r="P14" s="122"/>
      <c r="Q14" s="613">
        <f>B18</f>
        <v>2022</v>
      </c>
      <c r="R14" s="685">
        <f>IFERROR(ROUND(C18/C25,1),0)</f>
        <v>7.3</v>
      </c>
      <c r="S14" s="685">
        <f>IFERROR(ROUND(D18/D25,1),0)</f>
        <v>12.6</v>
      </c>
      <c r="T14" s="685">
        <f>IFERROR(ROUND(E18/E25,1),0)</f>
        <v>14.9</v>
      </c>
      <c r="U14" s="686">
        <f>IFERROR(ROUND(F18/F25,1),0)</f>
        <v>14.8</v>
      </c>
      <c r="V14" s="122"/>
      <c r="W14" s="613">
        <f>B18</f>
        <v>2022</v>
      </c>
      <c r="X14" s="685">
        <f>IFERROR(ROUND((I18-C18)/(I25-C25),1),0)</f>
        <v>18.2</v>
      </c>
      <c r="Y14" s="685">
        <f>IFERROR(ROUND((J18-D18)/(J25-D25),1),0)</f>
        <v>48.3</v>
      </c>
      <c r="Z14" s="685">
        <f>IFERROR(ROUND((K18-E18)/(K25-E25),1),0)</f>
        <v>97</v>
      </c>
      <c r="AA14" s="687">
        <f>IFERROR(ROUND((L18-F18)/(L25-F25),1),0)</f>
        <v>0</v>
      </c>
      <c r="AB14" s="122"/>
    </row>
    <row r="15" spans="1:28" ht="15.75" thickBot="1">
      <c r="A15" s="9">
        <f>INDEX('Point Grid'!$C$8:$I$54,MATCH($A$1,'Point Grid'!$A$8:$A$54,0),MATCH(A14,'Point Grid'!$C$7:$I$7,0))</f>
        <v>1.75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8"/>
      <c r="N15" s="31"/>
      <c r="O15"/>
      <c r="P15" s="122"/>
      <c r="Q15" s="613">
        <f>Q14+1</f>
        <v>2023</v>
      </c>
      <c r="R15" s="688">
        <f>IFERROR(ROUND(C19/C26,1),0)</f>
        <v>8</v>
      </c>
      <c r="S15" s="685">
        <f>IFERROR(ROUND(D19/D26,1),0)</f>
        <v>12.1</v>
      </c>
      <c r="T15" s="685">
        <f>IFERROR(ROUND(E19/E26,1),0)</f>
        <v>14.9</v>
      </c>
      <c r="U15" s="686"/>
      <c r="V15" s="122"/>
      <c r="W15" s="613">
        <f>W14+1</f>
        <v>2023</v>
      </c>
      <c r="X15" s="689">
        <f>IFERROR(ROUND((I19-C19)/(I26-C26),1),0)</f>
        <v>20.3</v>
      </c>
      <c r="Y15" s="685">
        <f>IFERROR(ROUND((J19-D19)/(J26-D26),1),0)</f>
        <v>44.3</v>
      </c>
      <c r="Z15" s="690">
        <f>IFERROR(ROUND((K19-E19)/(K26-E26),1),0)</f>
        <v>1.2</v>
      </c>
      <c r="AA15" s="686"/>
      <c r="AB15" s="122"/>
    </row>
    <row r="16" spans="1:28" ht="15.75" thickBot="1">
      <c r="A16" s="5"/>
      <c r="B16" s="731"/>
      <c r="C16" s="732" t="s">
        <v>764</v>
      </c>
      <c r="D16" s="732"/>
      <c r="E16" s="732"/>
      <c r="F16" s="733"/>
      <c r="G16" s="231"/>
      <c r="H16" s="731"/>
      <c r="I16" s="732" t="s">
        <v>765</v>
      </c>
      <c r="J16" s="732"/>
      <c r="K16" s="732"/>
      <c r="L16" s="733"/>
      <c r="M16" s="18"/>
      <c r="N16" s="31"/>
      <c r="O16" s="48"/>
      <c r="P16" s="122"/>
      <c r="Q16" s="613">
        <f>Q15+1</f>
        <v>2024</v>
      </c>
      <c r="R16" s="685">
        <f>IFERROR(ROUND(C20/C27,1),0)</f>
        <v>8.1</v>
      </c>
      <c r="S16" s="685">
        <f>IFERROR(ROUND(D20/D27,1),0)</f>
        <v>13.7</v>
      </c>
      <c r="T16" s="685"/>
      <c r="U16" s="686"/>
      <c r="V16" s="122"/>
      <c r="W16" s="613">
        <f>W15+1</f>
        <v>2024</v>
      </c>
      <c r="X16" s="685">
        <f>IFERROR(ROUND((I20-C20)/(I27-C27),1),0)</f>
        <v>16.899999999999999</v>
      </c>
      <c r="Y16" s="690">
        <f>IFERROR(ROUND((J20-D20)/(J27-D27),1),0)</f>
        <v>61.5</v>
      </c>
      <c r="Z16" s="685"/>
      <c r="AA16" s="686"/>
      <c r="AB16" s="122"/>
    </row>
    <row r="17" spans="1:28">
      <c r="A17" s="22"/>
      <c r="B17" s="734" t="s">
        <v>120</v>
      </c>
      <c r="C17" s="735">
        <v>12</v>
      </c>
      <c r="D17" s="735">
        <v>24</v>
      </c>
      <c r="E17" s="735">
        <v>36</v>
      </c>
      <c r="F17" s="529">
        <v>48</v>
      </c>
      <c r="G17" s="520"/>
      <c r="H17" s="734" t="s">
        <v>120</v>
      </c>
      <c r="I17" s="735">
        <v>12</v>
      </c>
      <c r="J17" s="735">
        <v>24</v>
      </c>
      <c r="K17" s="735">
        <v>36</v>
      </c>
      <c r="L17" s="529">
        <v>48</v>
      </c>
      <c r="M17" s="18"/>
      <c r="N17" s="31"/>
      <c r="O17"/>
      <c r="P17" s="122"/>
      <c r="Q17" s="691">
        <f>Q16+1</f>
        <v>2025</v>
      </c>
      <c r="R17" s="692">
        <f>IFERROR(ROUND(C21/C28,1),0)</f>
        <v>7.7</v>
      </c>
      <c r="S17" s="692"/>
      <c r="T17" s="692"/>
      <c r="U17" s="693"/>
      <c r="V17" s="122"/>
      <c r="W17" s="691">
        <f>W16+1</f>
        <v>2025</v>
      </c>
      <c r="X17" s="694">
        <f>IFERROR(ROUND((I21-C21)/(I28-C28),1),0)</f>
        <v>26.4</v>
      </c>
      <c r="Y17" s="692"/>
      <c r="Z17" s="692"/>
      <c r="AA17" s="693"/>
      <c r="AB17" s="122"/>
    </row>
    <row r="18" spans="1:28" ht="15" customHeight="1">
      <c r="A18" s="22"/>
      <c r="B18" s="736">
        <v>2022</v>
      </c>
      <c r="C18" s="556">
        <v>2520</v>
      </c>
      <c r="D18" s="556">
        <v>5784</v>
      </c>
      <c r="E18" s="556">
        <v>7796</v>
      </c>
      <c r="F18" s="559">
        <v>7409</v>
      </c>
      <c r="G18" s="75"/>
      <c r="H18" s="736">
        <f>B18</f>
        <v>2022</v>
      </c>
      <c r="I18" s="556">
        <v>5198</v>
      </c>
      <c r="J18" s="556">
        <v>7425</v>
      </c>
      <c r="K18" s="556">
        <v>7311</v>
      </c>
      <c r="L18" s="559">
        <v>7409</v>
      </c>
      <c r="M18" s="18"/>
      <c r="N18" s="31"/>
      <c r="O18"/>
      <c r="P18" s="122"/>
      <c r="Q18" s="122"/>
      <c r="R18" s="323"/>
      <c r="S18" s="323"/>
      <c r="T18" s="323"/>
      <c r="U18" s="122"/>
      <c r="V18" s="122"/>
      <c r="W18" s="122"/>
      <c r="X18" s="122"/>
      <c r="Y18" s="122"/>
      <c r="Z18" s="122"/>
      <c r="AA18" s="122"/>
      <c r="AB18" s="122"/>
    </row>
    <row r="19" spans="1:28" ht="15" customHeight="1">
      <c r="A19" s="22"/>
      <c r="B19" s="736">
        <f>B18+1</f>
        <v>2023</v>
      </c>
      <c r="C19" s="556">
        <v>2954</v>
      </c>
      <c r="D19" s="556">
        <v>6257</v>
      </c>
      <c r="E19" s="556">
        <v>7585</v>
      </c>
      <c r="F19" s="559"/>
      <c r="G19" s="231"/>
      <c r="H19" s="736">
        <f>H18+1</f>
        <v>2023</v>
      </c>
      <c r="I19" s="556">
        <v>5344</v>
      </c>
      <c r="J19" s="556">
        <v>7409</v>
      </c>
      <c r="K19" s="556">
        <v>7639</v>
      </c>
      <c r="L19" s="559"/>
      <c r="M19" s="18"/>
      <c r="N19" s="31"/>
      <c r="O19"/>
      <c r="P19"/>
      <c r="Q19" s="48" t="s">
        <v>766</v>
      </c>
      <c r="R19" s="695">
        <f>R15</f>
        <v>8</v>
      </c>
      <c r="S19" s="48" t="s">
        <v>34</v>
      </c>
      <c r="T19" s="122" t="str">
        <f>C19&amp;" / "&amp;C26</f>
        <v>2954 / 371</v>
      </c>
      <c r="U19"/>
      <c r="V19"/>
      <c r="W19" s="48" t="s">
        <v>766</v>
      </c>
      <c r="X19" s="696">
        <f>X15</f>
        <v>20.3</v>
      </c>
      <c r="Y19" s="48" t="s">
        <v>34</v>
      </c>
      <c r="Z19" t="str">
        <f>"("&amp;I19&amp;" - "&amp;C19&amp;") / ("&amp;I26&amp;" - "&amp;C26&amp;")"</f>
        <v>(5344 - 2954) / (489 - 371)</v>
      </c>
      <c r="AA19"/>
      <c r="AB19"/>
    </row>
    <row r="20" spans="1:28" ht="15" customHeight="1">
      <c r="A20" s="22"/>
      <c r="B20" s="736">
        <f>B19+1</f>
        <v>2024</v>
      </c>
      <c r="C20" s="556">
        <v>2712</v>
      </c>
      <c r="D20" s="556">
        <v>6107</v>
      </c>
      <c r="E20" s="556"/>
      <c r="F20" s="559"/>
      <c r="G20" s="231"/>
      <c r="H20" s="736">
        <f>H19+1</f>
        <v>2024</v>
      </c>
      <c r="I20" s="556">
        <v>5292</v>
      </c>
      <c r="J20" s="556">
        <v>8505</v>
      </c>
      <c r="K20" s="556"/>
      <c r="L20" s="559"/>
      <c r="M20" s="18"/>
      <c r="N20" s="31"/>
      <c r="O20"/>
      <c r="P20"/>
      <c r="Q20"/>
      <c r="R20" s="392" t="s">
        <v>767</v>
      </c>
      <c r="S20" s="392" t="s">
        <v>34</v>
      </c>
      <c r="T20" s="392" t="s">
        <v>768</v>
      </c>
      <c r="U20"/>
      <c r="V20"/>
      <c r="W20"/>
      <c r="X20" s="697" t="s">
        <v>769</v>
      </c>
      <c r="Y20" s="697" t="s">
        <v>34</v>
      </c>
      <c r="Z20" s="408" t="s">
        <v>770</v>
      </c>
      <c r="AA20"/>
      <c r="AB20" s="122"/>
    </row>
    <row r="21" spans="1:28" ht="15" customHeight="1">
      <c r="A21" s="22"/>
      <c r="B21" s="737">
        <f>B20+1</f>
        <v>2025</v>
      </c>
      <c r="C21" s="552">
        <v>2728</v>
      </c>
      <c r="D21" s="552"/>
      <c r="E21" s="552"/>
      <c r="F21" s="553"/>
      <c r="G21" s="231"/>
      <c r="H21" s="737">
        <f>H20+1</f>
        <v>2025</v>
      </c>
      <c r="I21" s="552">
        <v>6615</v>
      </c>
      <c r="J21" s="552"/>
      <c r="K21" s="552"/>
      <c r="L21" s="553"/>
      <c r="M21" s="18"/>
      <c r="N21" s="31"/>
      <c r="O21"/>
      <c r="P21"/>
      <c r="Q21"/>
      <c r="R21"/>
      <c r="S21"/>
      <c r="T21"/>
      <c r="U21"/>
      <c r="V21"/>
      <c r="W21"/>
      <c r="X21"/>
      <c r="Y21"/>
      <c r="Z21"/>
      <c r="AA21"/>
      <c r="AB21" s="122"/>
    </row>
    <row r="22" spans="1:28" ht="15" customHeight="1">
      <c r="A22" s="22"/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18"/>
      <c r="N22" s="31"/>
      <c r="O22"/>
      <c r="P22" s="507" t="s">
        <v>771</v>
      </c>
      <c r="Q22" t="s">
        <v>772</v>
      </c>
      <c r="R22" s="698"/>
      <c r="S22" s="698"/>
      <c r="T22" s="698"/>
      <c r="U22" s="698"/>
      <c r="V22"/>
      <c r="W22"/>
      <c r="X22" s="698"/>
      <c r="Y22" s="698"/>
      <c r="Z22" s="698"/>
      <c r="AA22"/>
      <c r="AB22" s="122"/>
    </row>
    <row r="23" spans="1:28" ht="15" customHeight="1">
      <c r="A23" s="22"/>
      <c r="B23" s="731"/>
      <c r="C23" s="738" t="s">
        <v>773</v>
      </c>
      <c r="D23" s="732"/>
      <c r="E23" s="732"/>
      <c r="F23" s="733"/>
      <c r="G23" s="231"/>
      <c r="H23" s="731"/>
      <c r="I23" s="738" t="s">
        <v>774</v>
      </c>
      <c r="J23" s="732"/>
      <c r="K23" s="732"/>
      <c r="L23" s="733"/>
      <c r="M23" s="18"/>
      <c r="N23" s="31"/>
      <c r="O23"/>
      <c r="P23" s="122"/>
      <c r="Q23" s="122"/>
      <c r="R23" s="698"/>
      <c r="S23" s="698"/>
      <c r="T23" s="698"/>
      <c r="U23" s="698"/>
      <c r="V23" s="122"/>
      <c r="W23" s="122"/>
      <c r="X23" s="698"/>
      <c r="Y23" s="698"/>
      <c r="Z23" s="698"/>
      <c r="AA23" s="122"/>
      <c r="AB23" s="122"/>
    </row>
    <row r="24" spans="1:28" ht="15" customHeight="1">
      <c r="A24" s="22"/>
      <c r="B24" s="734" t="s">
        <v>120</v>
      </c>
      <c r="C24" s="735">
        <v>12</v>
      </c>
      <c r="D24" s="735">
        <v>24</v>
      </c>
      <c r="E24" s="735">
        <v>36</v>
      </c>
      <c r="F24" s="529">
        <v>48</v>
      </c>
      <c r="G24" s="231"/>
      <c r="H24" s="734" t="s">
        <v>120</v>
      </c>
      <c r="I24" s="735">
        <v>12</v>
      </c>
      <c r="J24" s="735">
        <v>24</v>
      </c>
      <c r="K24" s="735">
        <v>36</v>
      </c>
      <c r="L24" s="529">
        <v>48</v>
      </c>
      <c r="M24" s="18"/>
      <c r="N24" s="31"/>
      <c r="O24"/>
      <c r="P24" s="122"/>
      <c r="Q24" s="678"/>
      <c r="R24" s="679" t="s">
        <v>775</v>
      </c>
      <c r="S24" s="679"/>
      <c r="T24" s="679"/>
      <c r="U24" s="680"/>
      <c r="V24" s="122"/>
      <c r="W24" s="678"/>
      <c r="X24" s="679" t="s">
        <v>776</v>
      </c>
      <c r="Y24" s="679"/>
      <c r="Z24" s="679"/>
      <c r="AA24" s="680"/>
      <c r="AB24" s="122"/>
    </row>
    <row r="25" spans="1:28" ht="15" customHeight="1">
      <c r="A25" s="22"/>
      <c r="B25" s="736">
        <f>B18</f>
        <v>2022</v>
      </c>
      <c r="C25" s="556">
        <v>344</v>
      </c>
      <c r="D25" s="556">
        <v>458</v>
      </c>
      <c r="E25" s="556">
        <v>523</v>
      </c>
      <c r="F25" s="559">
        <v>502</v>
      </c>
      <c r="G25" s="231"/>
      <c r="H25" s="736">
        <f>B18</f>
        <v>2022</v>
      </c>
      <c r="I25" s="556">
        <v>491</v>
      </c>
      <c r="J25" s="556">
        <v>492</v>
      </c>
      <c r="K25" s="556">
        <v>518</v>
      </c>
      <c r="L25" s="559">
        <v>523</v>
      </c>
      <c r="M25" s="18"/>
      <c r="N25" s="31"/>
      <c r="O25"/>
      <c r="P25" s="122"/>
      <c r="Q25" s="681" t="s">
        <v>120</v>
      </c>
      <c r="R25" s="682">
        <v>12</v>
      </c>
      <c r="S25" s="682">
        <v>24</v>
      </c>
      <c r="T25" s="682">
        <v>36</v>
      </c>
      <c r="U25" s="683">
        <v>48</v>
      </c>
      <c r="V25" s="122"/>
      <c r="W25" s="681" t="s">
        <v>120</v>
      </c>
      <c r="X25" s="682">
        <v>12</v>
      </c>
      <c r="Y25" s="682">
        <v>24</v>
      </c>
      <c r="Z25" s="682">
        <v>36</v>
      </c>
      <c r="AA25" s="683">
        <v>48</v>
      </c>
      <c r="AB25" s="122"/>
    </row>
    <row r="26" spans="1:28" ht="15" customHeight="1">
      <c r="A26" s="22"/>
      <c r="B26" s="736">
        <f>B25+1</f>
        <v>2023</v>
      </c>
      <c r="C26" s="556">
        <v>371</v>
      </c>
      <c r="D26" s="556">
        <v>519</v>
      </c>
      <c r="E26" s="556">
        <v>510</v>
      </c>
      <c r="F26" s="559"/>
      <c r="G26" s="231"/>
      <c r="H26" s="736">
        <f>H25+1</f>
        <v>2023</v>
      </c>
      <c r="I26" s="556">
        <v>489</v>
      </c>
      <c r="J26" s="556">
        <v>545</v>
      </c>
      <c r="K26" s="556">
        <v>556</v>
      </c>
      <c r="L26" s="559"/>
      <c r="M26" s="18"/>
      <c r="N26" s="31"/>
      <c r="O26"/>
      <c r="P26" s="122"/>
      <c r="Q26" s="613">
        <f>B18</f>
        <v>2022</v>
      </c>
      <c r="R26" s="699"/>
      <c r="S26" s="699"/>
      <c r="T26" s="699"/>
      <c r="U26" s="700"/>
      <c r="V26" s="122"/>
      <c r="W26" s="613">
        <f>B18</f>
        <v>2022</v>
      </c>
      <c r="X26" s="699"/>
      <c r="Y26" s="699"/>
      <c r="Z26" s="699"/>
      <c r="AA26" s="700"/>
      <c r="AB26" s="122"/>
    </row>
    <row r="27" spans="1:28" ht="15" customHeight="1">
      <c r="A27" s="22"/>
      <c r="B27" s="736">
        <f>B26+1</f>
        <v>2024</v>
      </c>
      <c r="C27" s="556">
        <v>334</v>
      </c>
      <c r="D27" s="556">
        <v>446</v>
      </c>
      <c r="E27" s="556"/>
      <c r="F27" s="559"/>
      <c r="G27" s="231"/>
      <c r="H27" s="736">
        <f>H26+1</f>
        <v>2024</v>
      </c>
      <c r="I27" s="556">
        <v>487</v>
      </c>
      <c r="J27" s="556">
        <v>485</v>
      </c>
      <c r="K27" s="556"/>
      <c r="L27" s="559"/>
      <c r="M27" s="18"/>
      <c r="N27" s="31"/>
      <c r="O27"/>
      <c r="P27" s="122"/>
      <c r="Q27" s="613">
        <f>Q26+1</f>
        <v>2023</v>
      </c>
      <c r="R27" s="699">
        <f>IFERROR(ROUND(R15/R14-1,3),"")</f>
        <v>9.6000000000000002E-2</v>
      </c>
      <c r="S27" s="699">
        <f>IFERROR(ROUND(S15/S14-1,3),"")</f>
        <v>-0.04</v>
      </c>
      <c r="T27" s="699">
        <f>IFERROR(ROUND(T15/T14-1,3),"")</f>
        <v>0</v>
      </c>
      <c r="U27" s="700"/>
      <c r="V27" s="122"/>
      <c r="W27" s="613">
        <f>W26+1</f>
        <v>2023</v>
      </c>
      <c r="X27" s="699">
        <f>IFERROR(ROUND(X15/X14-1,3),"")</f>
        <v>0.115</v>
      </c>
      <c r="Y27" s="699">
        <f>IFERROR(ROUND(Y15/Y14-1,3),"")</f>
        <v>-8.3000000000000004E-2</v>
      </c>
      <c r="Z27" s="701">
        <f>IFERROR(ROUND(Z15/Z14-1,3),"")</f>
        <v>-0.98799999999999999</v>
      </c>
      <c r="AA27" s="700"/>
      <c r="AB27" s="122"/>
    </row>
    <row r="28" spans="1:28" ht="15" customHeight="1">
      <c r="A28" s="22"/>
      <c r="B28" s="737">
        <f>B27+1</f>
        <v>2025</v>
      </c>
      <c r="C28" s="552">
        <v>354</v>
      </c>
      <c r="D28" s="552"/>
      <c r="E28" s="552"/>
      <c r="F28" s="553"/>
      <c r="G28" s="231"/>
      <c r="H28" s="737">
        <f>H27+1</f>
        <v>2025</v>
      </c>
      <c r="I28" s="552">
        <v>501</v>
      </c>
      <c r="J28" s="552"/>
      <c r="K28" s="552"/>
      <c r="L28" s="553"/>
      <c r="M28" s="18"/>
      <c r="N28" s="31"/>
      <c r="O28"/>
      <c r="P28" s="122"/>
      <c r="Q28" s="613">
        <f>Q27+1</f>
        <v>2024</v>
      </c>
      <c r="R28" s="699">
        <f>IFERROR(ROUND(R16/R15-1,3),"")</f>
        <v>1.2999999999999999E-2</v>
      </c>
      <c r="S28" s="699">
        <f>IFERROR(ROUND(S16/S15-1,3),"")</f>
        <v>0.13200000000000001</v>
      </c>
      <c r="T28" s="699"/>
      <c r="U28" s="700" t="str">
        <f>IFERROR(ROUND(U16/U15-1,3),"")</f>
        <v/>
      </c>
      <c r="V28" s="122"/>
      <c r="W28" s="613">
        <f>W27+1</f>
        <v>2024</v>
      </c>
      <c r="X28" s="699">
        <f>IFERROR(ROUND(X16/X15-1,3),"")</f>
        <v>-0.16700000000000001</v>
      </c>
      <c r="Y28" s="702">
        <f>IFERROR(ROUND(Y16/Y15-1,3),"")</f>
        <v>0.38800000000000001</v>
      </c>
      <c r="Z28" s="699"/>
      <c r="AA28" s="700" t="str">
        <f>IFERROR(ROUND(AA16/AA15-1,3),"")</f>
        <v/>
      </c>
      <c r="AB28" s="122"/>
    </row>
    <row r="29" spans="1:28" ht="15" customHeight="1">
      <c r="A29" s="22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8"/>
      <c r="N29" s="31"/>
      <c r="O29"/>
      <c r="P29" s="122"/>
      <c r="Q29" s="691">
        <f>Q28+1</f>
        <v>2025</v>
      </c>
      <c r="R29" s="703">
        <f>IFERROR(ROUND(R17/R16-1,3),"")</f>
        <v>-4.9000000000000002E-2</v>
      </c>
      <c r="S29" s="703"/>
      <c r="T29" s="703" t="str">
        <f>IFERROR(ROUND(T17/T16-1,3),"")</f>
        <v/>
      </c>
      <c r="U29" s="704" t="str">
        <f>IFERROR(ROUND(U17/U16-1,3),"")</f>
        <v/>
      </c>
      <c r="V29" s="122"/>
      <c r="W29" s="691">
        <f>W28+1</f>
        <v>2025</v>
      </c>
      <c r="X29" s="705">
        <f>IFERROR(ROUND(X17/X16-1,3),"")</f>
        <v>0.56200000000000006</v>
      </c>
      <c r="Y29" s="703"/>
      <c r="Z29" s="703" t="str">
        <f>IFERROR(ROUND(Z17/Z16-1,3),"")</f>
        <v/>
      </c>
      <c r="AA29" s="704" t="str">
        <f>IFERROR(ROUND(AA17/AA16-1,3),"")</f>
        <v/>
      </c>
      <c r="AB29" s="122"/>
    </row>
    <row r="30" spans="1:28" ht="15" customHeight="1">
      <c r="A30" s="22"/>
      <c r="B30" s="740" t="s">
        <v>780</v>
      </c>
      <c r="C30" s="741"/>
      <c r="D30" s="741"/>
      <c r="E30" s="742"/>
      <c r="F30" s="743">
        <v>0.04</v>
      </c>
      <c r="G30" s="17"/>
      <c r="H30" s="17"/>
      <c r="I30" s="17"/>
      <c r="J30" s="17"/>
      <c r="K30" s="17"/>
      <c r="L30" s="17"/>
      <c r="M30" s="18"/>
      <c r="N30" s="31"/>
      <c r="O30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</row>
    <row r="31" spans="1:28" ht="15" customHeight="1">
      <c r="A31" s="22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8"/>
      <c r="N31" s="31"/>
      <c r="O31"/>
      <c r="P31" s="122"/>
      <c r="Q31" s="305" t="s">
        <v>777</v>
      </c>
      <c r="R31" s="122"/>
      <c r="S31" s="323"/>
      <c r="T31" s="323" t="s">
        <v>778</v>
      </c>
      <c r="U31" s="122"/>
      <c r="V31" s="122"/>
      <c r="W31" s="122"/>
      <c r="X31" s="305" t="s">
        <v>779</v>
      </c>
      <c r="Y31" s="122"/>
      <c r="Z31" s="122"/>
      <c r="AA31" s="122"/>
      <c r="AB31" s="122"/>
    </row>
    <row r="32" spans="1:28" ht="15" customHeight="1">
      <c r="A32" s="22"/>
      <c r="B32" s="739" t="s">
        <v>797</v>
      </c>
      <c r="C32" s="752" t="s">
        <v>800</v>
      </c>
      <c r="D32" s="17"/>
      <c r="E32" s="17"/>
      <c r="F32" s="17"/>
      <c r="G32" s="17"/>
      <c r="H32" s="17"/>
      <c r="I32" s="17"/>
      <c r="J32" s="17"/>
      <c r="K32" s="17"/>
      <c r="L32" s="17"/>
      <c r="M32" s="18"/>
      <c r="N32" s="31"/>
      <c r="O32"/>
      <c r="P32" s="122"/>
      <c r="Q32" s="305" t="s">
        <v>781</v>
      </c>
      <c r="R32" s="122"/>
      <c r="S32" s="122"/>
      <c r="T32" s="706">
        <f>F30</f>
        <v>0.04</v>
      </c>
      <c r="U32" s="122"/>
      <c r="V32" s="122"/>
      <c r="W32" s="122"/>
      <c r="X32" s="200" t="s">
        <v>782</v>
      </c>
      <c r="Y32" s="122"/>
      <c r="Z32" s="122"/>
      <c r="AA32" s="122"/>
      <c r="AB32" s="122"/>
    </row>
    <row r="33" spans="1:28" ht="15" customHeight="1">
      <c r="A33" s="22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8"/>
      <c r="N33" s="31"/>
      <c r="O33" s="48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</row>
    <row r="34" spans="1:28" ht="15" customHeight="1">
      <c r="A34" s="22"/>
      <c r="B34" s="731"/>
      <c r="C34" s="732" t="s">
        <v>799</v>
      </c>
      <c r="D34" s="732"/>
      <c r="E34" s="732"/>
      <c r="F34" s="733"/>
      <c r="G34" s="17"/>
      <c r="H34" s="731"/>
      <c r="I34" s="732" t="s">
        <v>798</v>
      </c>
      <c r="J34" s="732"/>
      <c r="K34" s="732"/>
      <c r="L34" s="733"/>
      <c r="M34" s="18"/>
      <c r="N34" s="31"/>
      <c r="O34"/>
      <c r="P34" s="707" t="s">
        <v>474</v>
      </c>
      <c r="Q34" s="708" t="s">
        <v>783</v>
      </c>
      <c r="R34" s="395"/>
      <c r="S34" s="395"/>
      <c r="T34" s="395"/>
      <c r="U34" s="395"/>
      <c r="V34" s="395"/>
      <c r="W34" s="395"/>
      <c r="X34" s="395"/>
      <c r="Y34" s="395"/>
      <c r="Z34" s="395"/>
      <c r="AA34" s="395"/>
      <c r="AB34" s="122"/>
    </row>
    <row r="35" spans="1:28" ht="15" customHeight="1">
      <c r="A35" s="22"/>
      <c r="B35" s="734" t="s">
        <v>120</v>
      </c>
      <c r="C35" s="735">
        <v>12</v>
      </c>
      <c r="D35" s="735">
        <v>24</v>
      </c>
      <c r="E35" s="735">
        <v>36</v>
      </c>
      <c r="F35" s="529">
        <v>48</v>
      </c>
      <c r="G35" s="17"/>
      <c r="H35" s="734" t="s">
        <v>120</v>
      </c>
      <c r="I35" s="735">
        <v>12</v>
      </c>
      <c r="J35" s="735">
        <v>24</v>
      </c>
      <c r="K35" s="735">
        <v>36</v>
      </c>
      <c r="L35" s="529">
        <v>48</v>
      </c>
      <c r="M35" s="18"/>
      <c r="N35" s="31"/>
      <c r="O35" s="48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</row>
    <row r="36" spans="1:28" ht="15" customHeight="1">
      <c r="A36" s="22"/>
      <c r="B36" s="736">
        <v>2022</v>
      </c>
      <c r="C36" s="744">
        <v>18.2</v>
      </c>
      <c r="D36" s="744">
        <v>48.3</v>
      </c>
      <c r="E36" s="744">
        <v>97</v>
      </c>
      <c r="F36" s="745">
        <v>0</v>
      </c>
      <c r="G36" s="17"/>
      <c r="H36" s="736">
        <v>2022</v>
      </c>
      <c r="I36" s="744">
        <v>23.5</v>
      </c>
      <c r="J36" s="744">
        <v>56.9</v>
      </c>
      <c r="K36" s="744">
        <v>1.2</v>
      </c>
      <c r="L36" s="745">
        <v>0</v>
      </c>
      <c r="M36" s="18"/>
      <c r="N36" s="31"/>
      <c r="O36"/>
      <c r="P36" s="122"/>
      <c r="Q36" s="678"/>
      <c r="R36" s="679" t="s">
        <v>784</v>
      </c>
      <c r="S36" s="679"/>
      <c r="T36" s="679"/>
      <c r="U36" s="680"/>
      <c r="V36" s="122"/>
      <c r="W36" s="200"/>
      <c r="X36" s="122"/>
      <c r="Y36" s="122"/>
      <c r="Z36" s="122"/>
      <c r="AA36" s="122"/>
      <c r="AB36" s="122"/>
    </row>
    <row r="37" spans="1:28" ht="15" customHeight="1">
      <c r="A37" s="22"/>
      <c r="B37" s="736">
        <v>2023</v>
      </c>
      <c r="C37" s="746">
        <v>20.3</v>
      </c>
      <c r="D37" s="744">
        <v>44.3</v>
      </c>
      <c r="E37" s="747">
        <v>1.2</v>
      </c>
      <c r="F37" s="748"/>
      <c r="G37" s="17"/>
      <c r="H37" s="736">
        <v>2023</v>
      </c>
      <c r="I37" s="746">
        <v>24.4</v>
      </c>
      <c r="J37" s="744">
        <v>59.1</v>
      </c>
      <c r="K37" s="747">
        <v>1.2</v>
      </c>
      <c r="L37" s="748"/>
      <c r="M37" s="18"/>
      <c r="N37" s="31"/>
      <c r="O37"/>
      <c r="P37" s="122"/>
      <c r="Q37" s="681" t="s">
        <v>120</v>
      </c>
      <c r="R37" s="682">
        <v>12</v>
      </c>
      <c r="S37" s="682">
        <v>24</v>
      </c>
      <c r="T37" s="682">
        <v>36</v>
      </c>
      <c r="U37" s="683">
        <v>48</v>
      </c>
      <c r="V37" s="200"/>
      <c r="W37" s="200" t="s">
        <v>785</v>
      </c>
      <c r="X37" s="122"/>
      <c r="Y37" s="122"/>
      <c r="Z37" s="122"/>
      <c r="AA37" s="122"/>
      <c r="AB37" s="122"/>
    </row>
    <row r="38" spans="1:28" ht="15" customHeight="1">
      <c r="A38" s="22"/>
      <c r="B38" s="736">
        <v>2024</v>
      </c>
      <c r="C38" s="744">
        <v>16.899999999999999</v>
      </c>
      <c r="D38" s="747">
        <v>61.5</v>
      </c>
      <c r="E38" s="744"/>
      <c r="F38" s="748"/>
      <c r="G38" s="17"/>
      <c r="H38" s="736">
        <v>2024</v>
      </c>
      <c r="I38" s="744">
        <v>25.4</v>
      </c>
      <c r="J38" s="747">
        <v>61.5</v>
      </c>
      <c r="K38" s="744"/>
      <c r="L38" s="748"/>
      <c r="M38" s="18"/>
      <c r="N38" s="31"/>
      <c r="O38"/>
      <c r="P38" s="122"/>
      <c r="Q38" s="613">
        <f>B18</f>
        <v>2022</v>
      </c>
      <c r="R38" s="685">
        <f>ROUND(X17/(1+T32)^(Q41-Q38),1)</f>
        <v>23.5</v>
      </c>
      <c r="S38" s="685">
        <f>ROUND(Y16/(1+T32)^(Q40-Q38),1)</f>
        <v>56.9</v>
      </c>
      <c r="T38" s="685">
        <f>ROUND(Z15/(1+T32)^(Q39-Q38),1)</f>
        <v>1.2</v>
      </c>
      <c r="U38" s="687">
        <f>ROUND(AA14/(1+T32)^(Q38-Q38),1)</f>
        <v>0</v>
      </c>
      <c r="V38" s="122"/>
      <c r="W38" s="122"/>
      <c r="X38" s="122"/>
      <c r="Y38" s="122"/>
      <c r="Z38" s="122"/>
      <c r="AA38" s="122"/>
      <c r="AB38" s="122"/>
    </row>
    <row r="39" spans="1:28" ht="15" customHeight="1">
      <c r="A39" s="22"/>
      <c r="B39" s="737">
        <v>2025</v>
      </c>
      <c r="C39" s="749">
        <v>26.4</v>
      </c>
      <c r="D39" s="750"/>
      <c r="E39" s="750"/>
      <c r="F39" s="751"/>
      <c r="G39" s="17"/>
      <c r="H39" s="737">
        <v>2025</v>
      </c>
      <c r="I39" s="749">
        <v>26.4</v>
      </c>
      <c r="J39" s="750"/>
      <c r="K39" s="750"/>
      <c r="L39" s="751"/>
      <c r="M39" s="18"/>
      <c r="N39" s="31"/>
      <c r="O39"/>
      <c r="P39" s="122"/>
      <c r="Q39" s="613">
        <f>Q38+1</f>
        <v>2023</v>
      </c>
      <c r="R39" s="689">
        <f>ROUND(X17/(1+T32)^(Q41-Q39),1)</f>
        <v>24.4</v>
      </c>
      <c r="S39" s="685">
        <f>ROUND(Y16/(1+T32)^(Q40-Q39),1)</f>
        <v>59.1</v>
      </c>
      <c r="T39" s="690">
        <f>ROUND(Z15/(1+T32)^(Q39-Q39),1)</f>
        <v>1.2</v>
      </c>
      <c r="U39" s="686"/>
      <c r="V39" s="323" t="s">
        <v>766</v>
      </c>
      <c r="W39" s="696">
        <f>R39</f>
        <v>24.4</v>
      </c>
      <c r="X39" s="323" t="s">
        <v>34</v>
      </c>
      <c r="Y39" s="709">
        <f>X17</f>
        <v>26.4</v>
      </c>
      <c r="Z39" s="426" t="s">
        <v>36</v>
      </c>
      <c r="AA39" s="508" t="str">
        <f>1+T32&amp;"^2"</f>
        <v>1.04^2</v>
      </c>
      <c r="AB39" s="122"/>
    </row>
    <row r="40" spans="1:28" ht="15" customHeight="1">
      <c r="A40" s="22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8"/>
      <c r="N40" s="31"/>
      <c r="O40"/>
      <c r="P40" s="122"/>
      <c r="Q40" s="613">
        <f>Q39+1</f>
        <v>2024</v>
      </c>
      <c r="R40" s="685">
        <f>ROUND(X17/(1+T32)^(Q41-Q40),1)</f>
        <v>25.4</v>
      </c>
      <c r="S40" s="690">
        <f>ROUND(Y16/(1+T32)^(Q40-Q40),1)</f>
        <v>61.5</v>
      </c>
      <c r="T40" s="685"/>
      <c r="U40" s="686"/>
      <c r="V40" s="122"/>
      <c r="W40" s="122"/>
      <c r="X40" s="122"/>
      <c r="Y40" s="122"/>
      <c r="Z40" s="122"/>
      <c r="AA40" s="122"/>
      <c r="AB40" s="122"/>
    </row>
    <row r="41" spans="1:28" ht="15" customHeight="1">
      <c r="A41" s="22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8"/>
      <c r="N41" s="31"/>
      <c r="O41"/>
      <c r="P41" s="122"/>
      <c r="Q41" s="691">
        <f>Q40+1</f>
        <v>2025</v>
      </c>
      <c r="R41" s="694">
        <f>ROUND(X17/(1+T32)^(Q41-Q41),1)</f>
        <v>26.4</v>
      </c>
      <c r="S41" s="692"/>
      <c r="T41" s="692"/>
      <c r="U41" s="693"/>
      <c r="V41" s="200"/>
      <c r="W41" s="200"/>
      <c r="X41" s="122"/>
      <c r="Y41" s="122"/>
      <c r="Z41" s="122"/>
      <c r="AA41" s="122"/>
      <c r="AB41" s="122"/>
    </row>
    <row r="42" spans="1:28" ht="15" customHeight="1">
      <c r="A42" s="2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8"/>
      <c r="N42" s="31"/>
      <c r="O4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</row>
    <row r="43" spans="1:28" ht="15" customHeight="1">
      <c r="A43" s="22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8"/>
      <c r="N43" s="31"/>
      <c r="O43"/>
      <c r="P43" s="707" t="s">
        <v>635</v>
      </c>
      <c r="Q43" s="122" t="s">
        <v>786</v>
      </c>
      <c r="R43" s="122"/>
      <c r="S43" s="122"/>
      <c r="T43" s="122"/>
      <c r="U43" s="122"/>
      <c r="V43" s="323"/>
      <c r="W43" s="122"/>
      <c r="X43" s="122"/>
      <c r="Y43" s="122"/>
      <c r="Z43" s="122"/>
      <c r="AA43" s="122"/>
      <c r="AB43" s="122"/>
    </row>
    <row r="44" spans="1:28" ht="15" customHeight="1">
      <c r="A44" s="22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31"/>
      <c r="O44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</row>
    <row r="45" spans="1:28" ht="15" customHeight="1">
      <c r="A45" s="22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8"/>
      <c r="N45" s="31"/>
      <c r="O45"/>
      <c r="P45" s="122"/>
      <c r="Q45" s="678"/>
      <c r="R45" s="679" t="s">
        <v>787</v>
      </c>
      <c r="S45" s="679"/>
      <c r="T45" s="679"/>
      <c r="U45" s="680"/>
      <c r="V45" s="122"/>
      <c r="W45" s="122"/>
      <c r="X45" s="122"/>
      <c r="Y45" s="122"/>
      <c r="Z45" s="122"/>
      <c r="AA45" s="122"/>
      <c r="AB45" s="122"/>
    </row>
    <row r="46" spans="1:28" ht="15" customHeight="1">
      <c r="A46" s="22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8"/>
      <c r="N46" s="31"/>
      <c r="O46"/>
      <c r="P46" s="122"/>
      <c r="Q46" s="681" t="s">
        <v>120</v>
      </c>
      <c r="R46" s="682">
        <v>12</v>
      </c>
      <c r="S46" s="682">
        <v>24</v>
      </c>
      <c r="T46" s="682">
        <v>36</v>
      </c>
      <c r="U46" s="683">
        <v>48</v>
      </c>
      <c r="V46" s="122"/>
      <c r="W46" s="122"/>
      <c r="X46" s="122"/>
      <c r="Y46" s="122"/>
      <c r="Z46" s="122"/>
      <c r="AA46" s="122"/>
      <c r="AB46" s="122"/>
    </row>
    <row r="47" spans="1:28" ht="15" customHeight="1">
      <c r="A47" s="22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8"/>
      <c r="N47" s="31"/>
      <c r="O47"/>
      <c r="P47" s="122"/>
      <c r="Q47" s="613">
        <f>B18</f>
        <v>2022</v>
      </c>
      <c r="R47" s="710">
        <f>R38*(I25-C25)+C18</f>
        <v>5974.5</v>
      </c>
      <c r="S47" s="710">
        <f>S38*(J25-D25)+D18</f>
        <v>7718.6</v>
      </c>
      <c r="T47" s="710">
        <f>T38*(K25-E25)+E18</f>
        <v>7790</v>
      </c>
      <c r="U47" s="711">
        <f>L18</f>
        <v>7409</v>
      </c>
      <c r="V47" s="122"/>
      <c r="W47" s="122"/>
      <c r="X47" s="122"/>
      <c r="Y47" s="122"/>
      <c r="Z47" s="122"/>
      <c r="AA47" s="122"/>
      <c r="AB47" s="122"/>
    </row>
    <row r="48" spans="1:28" ht="15" customHeight="1">
      <c r="A48" s="22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8"/>
      <c r="N48" s="31"/>
      <c r="O48"/>
      <c r="P48" s="122"/>
      <c r="Q48" s="613">
        <f>Q47+1</f>
        <v>2023</v>
      </c>
      <c r="R48" s="712">
        <f>R39*(I26-C26)+C19</f>
        <v>5833.2</v>
      </c>
      <c r="S48" s="710">
        <f>S39*(J26-D26)+D19</f>
        <v>7793.6</v>
      </c>
      <c r="T48" s="713">
        <f>K19</f>
        <v>7639</v>
      </c>
      <c r="U48" s="714"/>
      <c r="V48" s="323" t="s">
        <v>766</v>
      </c>
      <c r="W48" s="715">
        <f>R48</f>
        <v>5833.2</v>
      </c>
      <c r="X48" s="323" t="s">
        <v>34</v>
      </c>
      <c r="Y48" s="122" t="str">
        <f>R39&amp;"  x  "&amp;"("&amp;I26&amp;" - "&amp;C26&amp;")  +  "&amp;C19</f>
        <v>24.4  x  (489 - 371)  +  2954</v>
      </c>
      <c r="Z48" s="122"/>
      <c r="AA48" s="122"/>
      <c r="AB48" s="122"/>
    </row>
    <row r="49" spans="1:28" ht="15" customHeight="1">
      <c r="A49" s="22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8"/>
      <c r="N49" s="31"/>
      <c r="O49"/>
      <c r="P49" s="122"/>
      <c r="Q49" s="613">
        <f>Q48+1</f>
        <v>2024</v>
      </c>
      <c r="R49" s="710">
        <f>R40*(I27-C27)+C20</f>
        <v>6598.2</v>
      </c>
      <c r="S49" s="713">
        <f>J20</f>
        <v>8505</v>
      </c>
      <c r="T49" s="710"/>
      <c r="U49" s="714"/>
      <c r="V49" s="122"/>
      <c r="W49" s="122"/>
      <c r="X49" s="122"/>
      <c r="Y49" s="122"/>
      <c r="Z49" s="122"/>
      <c r="AA49" s="122"/>
      <c r="AB49" s="122"/>
    </row>
    <row r="50" spans="1:28" ht="15" customHeight="1">
      <c r="A50" s="22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8"/>
      <c r="N50" s="31"/>
      <c r="O50"/>
      <c r="P50" s="122"/>
      <c r="Q50" s="691">
        <f>Q49+1</f>
        <v>2025</v>
      </c>
      <c r="R50" s="716">
        <f>I21</f>
        <v>6615</v>
      </c>
      <c r="S50" s="717"/>
      <c r="T50" s="717"/>
      <c r="U50" s="718"/>
      <c r="V50" s="122"/>
      <c r="W50" s="122"/>
      <c r="X50" s="122"/>
      <c r="Y50" s="122"/>
      <c r="Z50" s="122"/>
      <c r="AA50" s="122"/>
      <c r="AB50" s="122"/>
    </row>
    <row r="51" spans="1:28" ht="15" customHeight="1">
      <c r="A51" s="22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8"/>
      <c r="N51" s="31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</row>
    <row r="52" spans="1:28" ht="15" customHeight="1">
      <c r="A52" s="22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8"/>
      <c r="N52" s="31"/>
      <c r="P52" s="280" t="s">
        <v>788</v>
      </c>
      <c r="Q52" s="719" t="s">
        <v>789</v>
      </c>
      <c r="R52" s="719"/>
      <c r="S52" s="719"/>
      <c r="T52" s="719"/>
      <c r="U52" s="719"/>
      <c r="V52" s="719"/>
      <c r="W52" s="719"/>
      <c r="X52" s="719"/>
      <c r="Y52" s="719"/>
      <c r="Z52" s="719"/>
      <c r="AA52" s="719"/>
      <c r="AB52" s="122"/>
    </row>
    <row r="53" spans="1:28" ht="15" customHeight="1">
      <c r="A53" s="22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8"/>
      <c r="N53" s="31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</row>
    <row r="54" spans="1:28" ht="15" customHeight="1" thickBot="1">
      <c r="A54" s="24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3"/>
      <c r="N54" s="31"/>
      <c r="P54" s="435" t="s">
        <v>790</v>
      </c>
      <c r="Q54" s="159" t="s">
        <v>120</v>
      </c>
      <c r="R54" s="720" t="str">
        <f>C17&amp;"-"&amp;D17</f>
        <v>12-24</v>
      </c>
      <c r="S54" s="437" t="str">
        <f>D17&amp;"-"&amp;E17</f>
        <v>24-36</v>
      </c>
      <c r="T54" s="438" t="str">
        <f>E17&amp;"-"&amp;F17</f>
        <v>36-48</v>
      </c>
      <c r="U54" s="439" t="s">
        <v>580</v>
      </c>
      <c r="V54" s="37"/>
      <c r="W54" s="440" t="s">
        <v>791</v>
      </c>
      <c r="X54" s="201"/>
      <c r="Y54" s="201"/>
      <c r="Z54" s="201"/>
      <c r="AA54" s="202"/>
      <c r="AB54" s="122"/>
    </row>
    <row r="55" spans="1:28" ht="15" customHeight="1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P55" s="37"/>
      <c r="Q55" s="222">
        <f>B18</f>
        <v>2022</v>
      </c>
      <c r="R55" s="721">
        <f>IFERROR(ROUND(S47/R47,3),"")</f>
        <v>1.292</v>
      </c>
      <c r="S55" s="722">
        <f>IFERROR(ROUND(T47/S47,3),"")</f>
        <v>1.0089999999999999</v>
      </c>
      <c r="T55" s="723">
        <f>IFERROR(ROUND(U47/T47,3),"")</f>
        <v>0.95099999999999996</v>
      </c>
      <c r="U55" s="37"/>
      <c r="V55" s="37"/>
      <c r="W55" s="444" t="s">
        <v>792</v>
      </c>
      <c r="X55" s="169"/>
      <c r="Y55" s="169"/>
      <c r="Z55" s="169"/>
      <c r="AA55" s="170"/>
      <c r="AB55" s="122"/>
    </row>
    <row r="56" spans="1:28" ht="15" customHeight="1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P56" s="158"/>
      <c r="Q56" s="222">
        <f>Q55+1</f>
        <v>2023</v>
      </c>
      <c r="R56" s="724">
        <f>IFERROR(ROUND(S48/R48,3),"")</f>
        <v>1.3360000000000001</v>
      </c>
      <c r="S56" s="725">
        <f>IFERROR(ROUND(T48/S48,3),"")</f>
        <v>0.98</v>
      </c>
      <c r="T56" s="726"/>
      <c r="U56" s="158"/>
      <c r="V56" s="158"/>
      <c r="W56" s="448" t="s">
        <v>793</v>
      </c>
      <c r="X56" s="172"/>
      <c r="Y56" s="172"/>
      <c r="Z56" s="172"/>
      <c r="AA56" s="173"/>
      <c r="AB56" s="122"/>
    </row>
    <row r="57" spans="1:28" ht="15" customHeight="1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P57" s="158"/>
      <c r="Q57" s="222">
        <f>Q56+1</f>
        <v>2024</v>
      </c>
      <c r="R57" s="724">
        <f>IFERROR(ROUND(S49/R49,3),"")</f>
        <v>1.2889999999999999</v>
      </c>
      <c r="S57" s="727"/>
      <c r="T57" s="726" t="str">
        <f>IFERROR(ROUND(U49/T49,3),"")</f>
        <v/>
      </c>
      <c r="U57" s="158"/>
      <c r="V57" s="158"/>
      <c r="W57" s="158"/>
      <c r="X57" s="158"/>
      <c r="Y57" s="158"/>
      <c r="Z57" s="158"/>
      <c r="AA57" s="158"/>
      <c r="AB57" s="122"/>
    </row>
    <row r="58" spans="1:28" ht="15" customHeight="1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P58" s="158"/>
      <c r="Q58" s="224">
        <f>Q57+1</f>
        <v>2025</v>
      </c>
      <c r="R58" s="728"/>
      <c r="S58" s="729" t="str">
        <f>IFERROR(ROUND(T50/S50,3),"")</f>
        <v/>
      </c>
      <c r="T58" s="730" t="str">
        <f>IFERROR(ROUND(U50/T50,3),"")</f>
        <v/>
      </c>
      <c r="U58" s="158"/>
      <c r="V58" s="158"/>
      <c r="W58" s="158"/>
      <c r="X58" s="158"/>
      <c r="Y58" s="158"/>
      <c r="Z58" s="158"/>
      <c r="AA58" s="158"/>
      <c r="AB58" s="122"/>
    </row>
    <row r="59" spans="1:28" ht="15" customHeight="1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P59" s="435"/>
      <c r="Q59" s="453" t="s">
        <v>585</v>
      </c>
      <c r="R59" s="454">
        <f>AVERAGE(R55:R57)</f>
        <v>1.3056666666666665</v>
      </c>
      <c r="S59" s="455">
        <f>AVERAGE(S55:S57)</f>
        <v>0.99449999999999994</v>
      </c>
      <c r="T59" s="456">
        <f>AVERAGE(T55:T57)</f>
        <v>0.95099999999999996</v>
      </c>
      <c r="U59" s="457">
        <v>1</v>
      </c>
      <c r="V59" s="194"/>
      <c r="W59" s="192"/>
      <c r="X59" s="194"/>
      <c r="Y59" s="192"/>
      <c r="Z59" s="158"/>
      <c r="AA59" s="158"/>
      <c r="AB59" s="122"/>
    </row>
    <row r="60" spans="1:28" ht="15" customHeight="1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P60" s="158"/>
      <c r="Q60" s="37"/>
      <c r="R60" s="37"/>
      <c r="S60" s="37"/>
      <c r="T60" s="37"/>
      <c r="U60" s="37"/>
      <c r="V60" s="158"/>
      <c r="W60" s="158"/>
      <c r="X60" s="158"/>
      <c r="Y60" s="158"/>
      <c r="Z60" s="158"/>
      <c r="AA60" s="158"/>
      <c r="AB60" s="122"/>
    </row>
    <row r="61" spans="1:28" ht="15" customHeight="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P61" s="424" t="s">
        <v>794</v>
      </c>
      <c r="Q61" s="458"/>
      <c r="R61" s="459" t="str">
        <f>C17&amp;"-ult"</f>
        <v>12-ult</v>
      </c>
      <c r="S61" s="460" t="str">
        <f>D17&amp;"-ult"</f>
        <v>24-ult</v>
      </c>
      <c r="T61" s="460" t="str">
        <f>E17&amp;"-ult"</f>
        <v>36-ult</v>
      </c>
      <c r="U61" s="461" t="str">
        <f>F17&amp;"-ult"</f>
        <v>48-ult</v>
      </c>
      <c r="V61" s="158"/>
      <c r="W61" s="158"/>
      <c r="X61" s="158"/>
      <c r="Y61" s="305"/>
      <c r="Z61" s="305"/>
      <c r="AA61" s="158"/>
      <c r="AB61" s="122"/>
    </row>
    <row r="62" spans="1:28" ht="15" customHeight="1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P62" s="158"/>
      <c r="Q62" s="462" t="s">
        <v>588</v>
      </c>
      <c r="R62" s="463">
        <f>S62*R59</f>
        <v>1.2348597104999999</v>
      </c>
      <c r="S62" s="463">
        <f>T62*S59</f>
        <v>0.94576949999999993</v>
      </c>
      <c r="T62" s="463">
        <f>U62*T59</f>
        <v>0.95099999999999996</v>
      </c>
      <c r="U62" s="464">
        <f>U59</f>
        <v>1</v>
      </c>
      <c r="V62" s="465" t="s">
        <v>589</v>
      </c>
      <c r="W62" s="466" t="s">
        <v>590</v>
      </c>
      <c r="X62" s="282"/>
      <c r="Y62" s="227"/>
      <c r="Z62" s="158"/>
      <c r="AA62" s="158"/>
      <c r="AB62" s="122"/>
    </row>
    <row r="63" spans="1:28" ht="15" customHeight="1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P63" s="158"/>
      <c r="Q63" s="37"/>
      <c r="R63" s="37"/>
      <c r="S63" s="37"/>
      <c r="T63" s="37"/>
      <c r="U63" s="37"/>
      <c r="V63" s="158"/>
      <c r="W63" s="467" t="s">
        <v>591</v>
      </c>
      <c r="X63" s="158"/>
      <c r="Y63" s="158"/>
      <c r="Z63" s="158"/>
      <c r="AA63" s="158"/>
      <c r="AB63" s="122"/>
    </row>
    <row r="64" spans="1:28" ht="15" customHeight="1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P64" s="435" t="s">
        <v>795</v>
      </c>
      <c r="Q64" s="458"/>
      <c r="R64" s="468" t="str">
        <f>"'"&amp;RIGHT(B21,2)&amp;"@"&amp;C17</f>
        <v>'25@12</v>
      </c>
      <c r="S64" s="469" t="str">
        <f>"'"&amp;RIGHT(B20,2)&amp;"@"&amp;D17</f>
        <v>'24@24</v>
      </c>
      <c r="T64" s="469" t="str">
        <f>"'"&amp;RIGHT(B19,2)&amp;"@"&amp;E17</f>
        <v>'23@36</v>
      </c>
      <c r="U64" s="470" t="str">
        <f>"'"&amp;RIGHT(B18,2)&amp;"@"&amp;F17</f>
        <v>'22@48</v>
      </c>
      <c r="V64" s="158"/>
      <c r="W64" s="158"/>
      <c r="X64" s="158"/>
      <c r="Y64" s="158"/>
      <c r="Z64" s="158"/>
      <c r="AA64" s="158"/>
      <c r="AB64" s="122"/>
    </row>
    <row r="65" spans="2:28" ht="15" customHeight="1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P65" s="158"/>
      <c r="Q65" s="471" t="s">
        <v>594</v>
      </c>
      <c r="R65" s="472">
        <f>R50</f>
        <v>6615</v>
      </c>
      <c r="S65" s="472">
        <f>S49</f>
        <v>8505</v>
      </c>
      <c r="T65" s="472">
        <f>T48</f>
        <v>7639</v>
      </c>
      <c r="U65" s="473">
        <f>U47</f>
        <v>7409</v>
      </c>
      <c r="V65" s="158"/>
      <c r="W65" s="158"/>
      <c r="X65" s="158"/>
      <c r="Y65" s="158"/>
      <c r="Z65" s="158"/>
      <c r="AA65" s="158"/>
      <c r="AB65" s="122"/>
    </row>
    <row r="66" spans="2:28" ht="15" customHeight="1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P66" s="158"/>
      <c r="Q66" s="474" t="s">
        <v>596</v>
      </c>
      <c r="R66" s="475">
        <f>R65*R62</f>
        <v>8168.5969849574994</v>
      </c>
      <c r="S66" s="476">
        <f>S65*S62</f>
        <v>8043.7695974999997</v>
      </c>
      <c r="T66" s="160">
        <f>T65*T62</f>
        <v>7264.6889999999994</v>
      </c>
      <c r="U66" s="161">
        <f>U65*U62</f>
        <v>7409</v>
      </c>
      <c r="V66" s="465" t="s">
        <v>589</v>
      </c>
      <c r="W66" s="466" t="s">
        <v>597</v>
      </c>
      <c r="X66" s="282"/>
      <c r="Y66" s="227"/>
      <c r="Z66" s="158"/>
      <c r="AA66" s="158"/>
      <c r="AB66" s="122"/>
    </row>
    <row r="67" spans="2:28" ht="15" customHeight="1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P67" s="158"/>
      <c r="Q67"/>
      <c r="R67"/>
      <c r="S67"/>
      <c r="T67"/>
      <c r="U67"/>
      <c r="V67"/>
      <c r="W67"/>
      <c r="X67"/>
      <c r="Y67"/>
      <c r="Z67" s="158"/>
      <c r="AA67" s="158"/>
      <c r="AB67" s="122"/>
    </row>
    <row r="68" spans="2:28" ht="15" customHeight="1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P68" s="196" t="s">
        <v>788</v>
      </c>
      <c r="Q68" s="510" t="str">
        <f>G14</f>
        <v>unpaid</v>
      </c>
      <c r="R68" s="510" t="str">
        <f>H14</f>
        <v>for AY</v>
      </c>
      <c r="S68" s="510">
        <f>I14</f>
        <v>2025</v>
      </c>
      <c r="T68" s="48" t="s">
        <v>34</v>
      </c>
      <c r="U68" s="280">
        <f>INDEX(R66:U66,1,2026-S68)-IF(Q68="ultimate",0,INDEX(C18:F21,S68-2021,2026-S68))</f>
        <v>5440.5969849574994</v>
      </c>
      <c r="V68" s="200" t="s">
        <v>796</v>
      </c>
      <c r="W68"/>
      <c r="X68"/>
      <c r="Y68"/>
      <c r="Z68" s="158"/>
      <c r="AA68" s="158"/>
      <c r="AB68" s="122"/>
    </row>
    <row r="69" spans="2:28" ht="15" customHeight="1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</row>
    <row r="70" spans="2:28" ht="15" customHeight="1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</row>
    <row r="71" spans="2:28" ht="15" customHeight="1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</row>
    <row r="72" spans="2:28" ht="15" customHeight="1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</row>
    <row r="73" spans="2:28" ht="15" customHeight="1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</row>
    <row r="74" spans="2:28" ht="15" customHeight="1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</row>
    <row r="75" spans="2:28" ht="15" customHeight="1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</row>
    <row r="76" spans="2:28" ht="15" customHeight="1"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</row>
    <row r="77" spans="2:28" ht="15" customHeight="1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</row>
    <row r="78" spans="2:28" ht="15" customHeight="1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</row>
    <row r="79" spans="2:28" ht="15" customHeight="1"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</row>
    <row r="80" spans="2:28" ht="15" customHeight="1"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</row>
    <row r="81" spans="2:14" ht="15" customHeight="1"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</row>
    <row r="82" spans="2:14" ht="15" customHeight="1"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</row>
    <row r="83" spans="2:14" ht="15" customHeight="1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</row>
    <row r="84" spans="2:14" ht="15" customHeight="1"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</row>
    <row r="85" spans="2:14" ht="15" customHeight="1"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</row>
    <row r="86" spans="2:14" ht="15" customHeight="1"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spans="2:14" ht="15" customHeight="1"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</row>
    <row r="88" spans="2:14" ht="15" customHeight="1"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</row>
    <row r="89" spans="2:14" ht="15" customHeight="1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</row>
    <row r="90" spans="2:14" ht="15" customHeight="1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</row>
    <row r="91" spans="2:14" ht="15" customHeight="1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</row>
    <row r="92" spans="2:14" ht="15" customHeight="1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</row>
    <row r="93" spans="2:14" ht="15" customHeight="1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</row>
    <row r="94" spans="2:14" ht="15" customHeight="1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</row>
    <row r="95" spans="2:14" ht="15" customHeight="1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</row>
    <row r="96" spans="2:14" ht="15" customHeight="1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</row>
    <row r="97" spans="2:14" ht="15" customHeight="1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</row>
    <row r="98" spans="2:14" ht="15" customHeight="1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</row>
    <row r="99" spans="2:14" ht="15" customHeight="1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</row>
    <row r="100" spans="2:14" ht="15" customHeight="1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</row>
    <row r="101" spans="2:14" ht="15" customHeight="1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</row>
  </sheetData>
  <mergeCells count="1">
    <mergeCell ref="L1:M1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101"/>
  <sheetViews>
    <sheetView workbookViewId="0"/>
  </sheetViews>
  <sheetFormatPr defaultColWidth="9.140625" defaultRowHeight="15"/>
  <cols>
    <col min="1" max="1" width="9.140625" style="21"/>
    <col min="2" max="2" width="16" style="21" bestFit="1" customWidth="1"/>
    <col min="3" max="9" width="11.140625" style="21" customWidth="1"/>
    <col min="10" max="16384" width="9.140625" style="21"/>
  </cols>
  <sheetData>
    <row r="1" spans="1:21">
      <c r="A1" s="7">
        <v>27</v>
      </c>
      <c r="B1" s="27" t="s">
        <v>12</v>
      </c>
      <c r="C1" s="20"/>
      <c r="D1" s="20"/>
      <c r="E1" s="20"/>
      <c r="F1" s="20"/>
      <c r="G1" s="20"/>
      <c r="H1" s="854" t="s">
        <v>24</v>
      </c>
      <c r="I1" s="855"/>
      <c r="K1" s="1" t="s">
        <v>33</v>
      </c>
      <c r="L1" s="52" t="str">
        <f>VLOOKUP(A1,'Point Grid'!$L$8:$T$54,9,FALSE)</f>
        <v>Reserving - Chap 14: Recoveries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1"/>
      <c r="K3" s="48" t="s">
        <v>2</v>
      </c>
      <c r="L3" t="s">
        <v>803</v>
      </c>
      <c r="M3"/>
      <c r="N3" s="48" t="s">
        <v>34</v>
      </c>
      <c r="O3" t="s">
        <v>804</v>
      </c>
      <c r="P3"/>
      <c r="Q3"/>
      <c r="R3" s="48" t="s">
        <v>189</v>
      </c>
      <c r="S3" t="s">
        <v>805</v>
      </c>
      <c r="T3"/>
      <c r="U3"/>
    </row>
    <row r="4" spans="1:21">
      <c r="A4" s="9">
        <f>INDEX('Point Grid'!B:B,MATCH(A1,'Point Grid'!A:A,0))</f>
        <v>1.5</v>
      </c>
      <c r="B4" s="17"/>
      <c r="C4" s="17"/>
      <c r="D4" s="17"/>
      <c r="E4" s="17"/>
      <c r="F4" s="17"/>
      <c r="G4" s="17"/>
      <c r="H4" s="17"/>
      <c r="I4" s="18"/>
      <c r="J4" s="31"/>
      <c r="K4" s="48"/>
      <c r="L4"/>
      <c r="M4"/>
      <c r="N4" s="48" t="s">
        <v>34</v>
      </c>
      <c r="O4" s="122">
        <f>3500</f>
        <v>3500</v>
      </c>
      <c r="P4"/>
      <c r="Q4"/>
      <c r="R4" s="48" t="s">
        <v>189</v>
      </c>
      <c r="S4" s="122">
        <v>600</v>
      </c>
      <c r="T4"/>
      <c r="U4"/>
    </row>
    <row r="5" spans="1:21">
      <c r="A5" s="16"/>
      <c r="B5" s="17"/>
      <c r="C5" s="17"/>
      <c r="D5" s="17"/>
      <c r="E5" s="17"/>
      <c r="F5" s="17"/>
      <c r="G5" s="17"/>
      <c r="H5" s="17"/>
      <c r="I5" s="18"/>
      <c r="J5" s="31"/>
      <c r="K5" s="48"/>
      <c r="L5"/>
      <c r="M5"/>
      <c r="N5" s="48" t="s">
        <v>34</v>
      </c>
      <c r="O5" s="425">
        <f>O4-S4</f>
        <v>2900</v>
      </c>
      <c r="P5"/>
      <c r="Q5"/>
      <c r="R5"/>
      <c r="S5"/>
      <c r="T5"/>
      <c r="U5"/>
    </row>
    <row r="6" spans="1:21">
      <c r="A6" s="25" t="s">
        <v>2</v>
      </c>
      <c r="B6" s="17" t="s">
        <v>806</v>
      </c>
      <c r="C6" s="17"/>
      <c r="D6" s="17"/>
      <c r="E6" s="17"/>
      <c r="F6" s="17"/>
      <c r="G6" s="17"/>
      <c r="H6" s="17"/>
      <c r="I6" s="18"/>
      <c r="J6" s="31"/>
      <c r="K6" s="48"/>
      <c r="L6" s="1"/>
      <c r="M6"/>
      <c r="N6"/>
      <c r="O6" s="266" t="s">
        <v>838</v>
      </c>
      <c r="P6"/>
      <c r="Q6"/>
      <c r="R6"/>
      <c r="S6"/>
      <c r="T6"/>
      <c r="U6"/>
    </row>
    <row r="7" spans="1:21" ht="15.75" thickBot="1">
      <c r="A7" s="9">
        <f>INDEX('Point Grid'!$C$8:$I$54,MATCH($A$1,'Point Grid'!$A$8:$A$54,0),MATCH(A6,'Point Grid'!$C$7:$I$7,0))</f>
        <v>0.25</v>
      </c>
      <c r="B7" s="17" t="s">
        <v>807</v>
      </c>
      <c r="C7" s="17"/>
      <c r="D7" s="17"/>
      <c r="E7" s="17"/>
      <c r="F7" s="17"/>
      <c r="G7" s="17"/>
      <c r="H7" s="17"/>
      <c r="I7" s="18"/>
      <c r="J7" s="31"/>
      <c r="K7" s="48"/>
      <c r="L7"/>
      <c r="M7"/>
      <c r="N7"/>
      <c r="O7"/>
      <c r="P7"/>
      <c r="Q7"/>
      <c r="R7"/>
      <c r="S7"/>
      <c r="T7"/>
      <c r="U7"/>
    </row>
    <row r="8" spans="1:21" ht="15.75" thickBot="1">
      <c r="A8" s="5"/>
      <c r="B8" s="17" t="s">
        <v>809</v>
      </c>
      <c r="C8" s="28"/>
      <c r="D8" s="28"/>
      <c r="E8" s="28"/>
      <c r="F8" s="28"/>
      <c r="G8" s="28"/>
      <c r="H8" s="28"/>
      <c r="I8" s="18"/>
      <c r="J8" s="31"/>
      <c r="K8" s="48" t="s">
        <v>3</v>
      </c>
      <c r="L8" t="s">
        <v>811</v>
      </c>
      <c r="M8"/>
      <c r="N8"/>
      <c r="O8"/>
      <c r="P8"/>
      <c r="Q8"/>
      <c r="R8"/>
      <c r="S8"/>
      <c r="T8"/>
      <c r="U8"/>
    </row>
    <row r="9" spans="1:21">
      <c r="A9" s="25"/>
      <c r="B9" s="17"/>
      <c r="C9" s="17"/>
      <c r="D9" s="17"/>
      <c r="E9" s="17"/>
      <c r="F9" s="17"/>
      <c r="G9" s="17"/>
      <c r="H9" s="17"/>
      <c r="I9" s="18"/>
      <c r="J9" s="31"/>
      <c r="K9" s="48"/>
      <c r="L9" t="s">
        <v>812</v>
      </c>
      <c r="M9"/>
      <c r="N9"/>
      <c r="O9"/>
      <c r="P9"/>
      <c r="Q9"/>
      <c r="R9"/>
      <c r="S9"/>
    </row>
    <row r="10" spans="1:21">
      <c r="A10" s="25" t="s">
        <v>3</v>
      </c>
      <c r="B10" s="17" t="s">
        <v>808</v>
      </c>
      <c r="C10" s="17"/>
      <c r="D10" s="17"/>
      <c r="E10" s="17"/>
      <c r="F10" s="17"/>
      <c r="G10" s="17"/>
      <c r="H10" s="17"/>
      <c r="I10" s="18"/>
      <c r="J10" s="31"/>
      <c r="K10"/>
      <c r="L10" s="1"/>
      <c r="M10"/>
      <c r="N10"/>
      <c r="O10"/>
      <c r="P10"/>
      <c r="Q10"/>
      <c r="R10"/>
      <c r="S10"/>
      <c r="T10"/>
      <c r="U10"/>
    </row>
    <row r="11" spans="1:21" ht="15.75" thickBot="1">
      <c r="A11" s="9">
        <f>INDEX('Point Grid'!$C$8:$I$54,MATCH($A$1,'Point Grid'!$A$8:$A$54,0),MATCH(A10,'Point Grid'!$C$7:$I$7,0))</f>
        <v>0.25</v>
      </c>
      <c r="B11" s="17" t="s">
        <v>810</v>
      </c>
      <c r="C11" s="17"/>
      <c r="D11" s="17"/>
      <c r="E11" s="17"/>
      <c r="F11" s="17"/>
      <c r="G11" s="17"/>
      <c r="H11" s="17"/>
      <c r="I11" s="18"/>
      <c r="J11" s="31"/>
      <c r="K11"/>
      <c r="L11" s="48" t="s">
        <v>813</v>
      </c>
      <c r="M11" s="48" t="s">
        <v>34</v>
      </c>
      <c r="N11" s="48" t="s">
        <v>814</v>
      </c>
      <c r="O11" s="48" t="s">
        <v>363</v>
      </c>
      <c r="P11" t="s">
        <v>815</v>
      </c>
      <c r="Q11"/>
      <c r="R11"/>
      <c r="S11"/>
      <c r="T11"/>
      <c r="U11"/>
    </row>
    <row r="12" spans="1:21" ht="15.75" thickBot="1">
      <c r="A12" s="5"/>
      <c r="B12" s="17"/>
      <c r="C12" s="28"/>
      <c r="D12" s="28"/>
      <c r="E12" s="28"/>
      <c r="F12" s="28"/>
      <c r="G12" s="28"/>
      <c r="H12" s="28"/>
      <c r="I12" s="18"/>
      <c r="J12" s="31"/>
      <c r="K12"/>
      <c r="L12"/>
      <c r="M12" s="48" t="s">
        <v>34</v>
      </c>
      <c r="N12" s="122">
        <f>500000</f>
        <v>500000</v>
      </c>
      <c r="O12" s="48" t="s">
        <v>363</v>
      </c>
      <c r="P12" s="80">
        <v>0.75</v>
      </c>
      <c r="Q12"/>
      <c r="R12"/>
      <c r="S12"/>
      <c r="T12"/>
      <c r="U12"/>
    </row>
    <row r="13" spans="1:21">
      <c r="A13" s="25"/>
      <c r="B13" s="17"/>
      <c r="C13" s="28"/>
      <c r="D13" s="28"/>
      <c r="E13" s="28"/>
      <c r="F13" s="28"/>
      <c r="G13" s="28"/>
      <c r="H13" s="28"/>
      <c r="I13" s="18"/>
      <c r="J13" s="31"/>
      <c r="K13" s="48"/>
      <c r="L13"/>
      <c r="M13" s="48" t="s">
        <v>34</v>
      </c>
      <c r="N13" s="425">
        <f>N12*P12</f>
        <v>375000</v>
      </c>
      <c r="O13"/>
      <c r="P13"/>
      <c r="Q13"/>
      <c r="R13"/>
      <c r="S13"/>
      <c r="T13"/>
      <c r="U13"/>
    </row>
    <row r="14" spans="1:21">
      <c r="A14" s="25" t="s">
        <v>4</v>
      </c>
      <c r="B14" s="17" t="s">
        <v>820</v>
      </c>
      <c r="C14" s="17"/>
      <c r="D14" s="17"/>
      <c r="E14" s="17"/>
      <c r="F14" s="17"/>
      <c r="G14" s="17"/>
      <c r="H14" s="17"/>
      <c r="I14" s="18"/>
      <c r="J14" s="31"/>
      <c r="K14"/>
      <c r="L14"/>
      <c r="M14"/>
      <c r="N14" s="266" t="s">
        <v>837</v>
      </c>
      <c r="O14"/>
      <c r="P14"/>
      <c r="Q14"/>
      <c r="R14"/>
      <c r="S14"/>
      <c r="T14"/>
      <c r="U14"/>
    </row>
    <row r="15" spans="1:21" ht="15.75" thickBot="1">
      <c r="A15" s="9">
        <f>INDEX('Point Grid'!$C$8:$I$54,MATCH($A$1,'Point Grid'!$A$8:$A$54,0),MATCH(A14,'Point Grid'!$C$7:$I$7,0))</f>
        <v>0.5</v>
      </c>
      <c r="B15" s="17"/>
      <c r="C15" s="17"/>
      <c r="D15" s="17"/>
      <c r="E15" s="17"/>
      <c r="F15" s="17"/>
      <c r="G15" s="17"/>
      <c r="H15" s="17"/>
      <c r="I15" s="18"/>
      <c r="J15" s="31"/>
      <c r="K15"/>
      <c r="L15"/>
      <c r="M15"/>
      <c r="N15"/>
      <c r="O15"/>
      <c r="P15"/>
      <c r="Q15"/>
      <c r="R15"/>
      <c r="S15"/>
      <c r="T15"/>
      <c r="U15"/>
    </row>
    <row r="16" spans="1:21" ht="15.75" thickBot="1">
      <c r="A16" s="5"/>
      <c r="B16" s="17"/>
      <c r="C16" s="756" t="s">
        <v>821</v>
      </c>
      <c r="D16" s="755">
        <v>450</v>
      </c>
      <c r="E16" s="17"/>
      <c r="F16" s="17"/>
      <c r="G16" s="17"/>
      <c r="H16" s="17"/>
      <c r="I16" s="18"/>
      <c r="J16" s="31"/>
      <c r="K16" s="48"/>
      <c r="L16" s="52" t="s">
        <v>816</v>
      </c>
      <c r="M16"/>
      <c r="N16" t="s">
        <v>817</v>
      </c>
      <c r="O16"/>
      <c r="P16"/>
      <c r="Q16"/>
      <c r="R16"/>
      <c r="S16"/>
      <c r="T16"/>
      <c r="U16"/>
    </row>
    <row r="17" spans="1:21">
      <c r="A17" s="22"/>
      <c r="B17" s="17"/>
      <c r="C17" s="757" t="s">
        <v>822</v>
      </c>
      <c r="D17" s="754">
        <v>600</v>
      </c>
      <c r="E17" s="17"/>
      <c r="F17" s="17"/>
      <c r="G17" s="17"/>
      <c r="H17" s="17"/>
      <c r="I17" s="18"/>
      <c r="J17" s="31"/>
      <c r="K17"/>
      <c r="L17"/>
      <c r="M17"/>
      <c r="N17" t="s">
        <v>818</v>
      </c>
      <c r="O17"/>
      <c r="P17"/>
      <c r="Q17"/>
      <c r="R17"/>
      <c r="S17"/>
      <c r="T17"/>
      <c r="U17"/>
    </row>
    <row r="18" spans="1:21" ht="15" customHeight="1">
      <c r="A18" s="22"/>
      <c r="B18" s="17"/>
      <c r="C18" s="17"/>
      <c r="D18" s="17"/>
      <c r="E18" s="17"/>
      <c r="F18" s="17"/>
      <c r="G18" s="17"/>
      <c r="H18" s="17"/>
      <c r="I18" s="18"/>
      <c r="J18" s="31"/>
      <c r="K18"/>
      <c r="L18"/>
      <c r="M18"/>
      <c r="N18" s="753" t="s">
        <v>819</v>
      </c>
      <c r="O18"/>
      <c r="P18"/>
      <c r="Q18"/>
      <c r="R18"/>
      <c r="S18"/>
      <c r="T18"/>
      <c r="U18"/>
    </row>
    <row r="19" spans="1:21" ht="15" customHeight="1">
      <c r="A19" s="22"/>
      <c r="B19" s="17" t="s">
        <v>827</v>
      </c>
      <c r="C19" s="17"/>
      <c r="D19" s="17"/>
      <c r="E19" s="17"/>
      <c r="F19" s="17"/>
      <c r="G19" s="17"/>
      <c r="H19" s="17"/>
      <c r="I19" s="18"/>
      <c r="J19" s="31"/>
      <c r="K19"/>
      <c r="L19"/>
      <c r="M19"/>
      <c r="N19"/>
      <c r="O19"/>
      <c r="P19"/>
      <c r="Q19"/>
      <c r="R19"/>
      <c r="S19"/>
      <c r="T19"/>
      <c r="U19"/>
    </row>
    <row r="20" spans="1:21" ht="15" customHeight="1">
      <c r="A20" s="22"/>
      <c r="B20" s="17" t="s">
        <v>826</v>
      </c>
      <c r="C20" s="17"/>
      <c r="D20" s="17"/>
      <c r="E20" s="17"/>
      <c r="F20" s="17"/>
      <c r="G20" s="17"/>
      <c r="H20" s="17"/>
      <c r="I20" s="18"/>
      <c r="J20" s="31"/>
      <c r="K20" s="48" t="s">
        <v>4</v>
      </c>
      <c r="L20" t="s">
        <v>823</v>
      </c>
      <c r="M20"/>
      <c r="N20"/>
      <c r="O20" s="48" t="s">
        <v>34</v>
      </c>
      <c r="P20" s="50">
        <v>0</v>
      </c>
      <c r="Q20"/>
      <c r="R20" s="434" t="s">
        <v>824</v>
      </c>
      <c r="S20"/>
      <c r="T20"/>
      <c r="U20"/>
    </row>
    <row r="21" spans="1:21" ht="15" customHeight="1">
      <c r="A21" s="22"/>
      <c r="B21" s="17"/>
      <c r="C21" s="17"/>
      <c r="D21" s="17"/>
      <c r="E21" s="17"/>
      <c r="F21" s="17"/>
      <c r="G21" s="17"/>
      <c r="H21" s="17"/>
      <c r="I21" s="18"/>
      <c r="J21" s="31"/>
      <c r="K21"/>
      <c r="L21" s="48"/>
      <c r="M21" s="48"/>
      <c r="N21"/>
      <c r="O21"/>
      <c r="P21"/>
      <c r="Q21"/>
      <c r="R21"/>
      <c r="S21"/>
      <c r="T21"/>
      <c r="U21"/>
    </row>
    <row r="22" spans="1:21" ht="15" customHeight="1">
      <c r="A22" s="25" t="s">
        <v>5</v>
      </c>
      <c r="B22" s="17" t="s">
        <v>829</v>
      </c>
      <c r="C22" s="17"/>
      <c r="D22" s="17"/>
      <c r="E22" s="17"/>
      <c r="F22" s="17"/>
      <c r="G22" s="17"/>
      <c r="H22" s="17"/>
      <c r="I22" s="18"/>
      <c r="J22" s="31"/>
      <c r="K22"/>
      <c r="L22" t="s">
        <v>825</v>
      </c>
      <c r="M22"/>
      <c r="N22"/>
      <c r="O22" s="48" t="s">
        <v>34</v>
      </c>
      <c r="P22" s="48" t="s">
        <v>822</v>
      </c>
      <c r="Q22"/>
      <c r="R22" s="48" t="s">
        <v>189</v>
      </c>
      <c r="S22" t="s">
        <v>833</v>
      </c>
      <c r="T22"/>
      <c r="U22"/>
    </row>
    <row r="23" spans="1:21" ht="15" customHeight="1" thickBot="1">
      <c r="A23" s="9">
        <f>INDEX('Point Grid'!$C$8:$I$54,MATCH($A$1,'Point Grid'!$A$8:$A$54,0),MATCH(A22,'Point Grid'!$C$7:$I$7,0))</f>
        <v>0.5</v>
      </c>
      <c r="B23" s="17" t="s">
        <v>828</v>
      </c>
      <c r="C23" s="17"/>
      <c r="D23" s="17"/>
      <c r="E23" s="17"/>
      <c r="F23" s="17"/>
      <c r="G23" s="17"/>
      <c r="H23" s="17"/>
      <c r="I23" s="18"/>
      <c r="J23" s="31"/>
      <c r="K23"/>
      <c r="L23"/>
      <c r="M23"/>
      <c r="N23"/>
      <c r="O23" s="48" t="s">
        <v>34</v>
      </c>
      <c r="P23" s="323">
        <f>D17</f>
        <v>600</v>
      </c>
      <c r="Q23" s="323"/>
      <c r="R23" s="323" t="s">
        <v>189</v>
      </c>
      <c r="S23" s="323">
        <f>500</f>
        <v>500</v>
      </c>
      <c r="T23"/>
      <c r="U23"/>
    </row>
    <row r="24" spans="1:21" ht="15" customHeight="1" thickBot="1">
      <c r="A24" s="5"/>
      <c r="B24" s="17"/>
      <c r="C24" s="17"/>
      <c r="D24" s="17"/>
      <c r="E24" s="17"/>
      <c r="F24" s="17"/>
      <c r="G24" s="17"/>
      <c r="H24" s="17"/>
      <c r="I24" s="18"/>
      <c r="J24" s="31"/>
      <c r="K24"/>
      <c r="L24"/>
      <c r="M24"/>
      <c r="N24"/>
      <c r="O24" s="48" t="s">
        <v>34</v>
      </c>
      <c r="P24" s="323">
        <f>P23-S23</f>
        <v>100</v>
      </c>
      <c r="Q24" s="323"/>
      <c r="R24" s="323"/>
      <c r="S24" s="323"/>
      <c r="T24"/>
      <c r="U24"/>
    </row>
    <row r="25" spans="1:21" ht="15" customHeight="1">
      <c r="A25" s="22"/>
      <c r="B25" s="17"/>
      <c r="C25" s="17"/>
      <c r="D25" s="17"/>
      <c r="E25" s="17"/>
      <c r="F25" s="17"/>
      <c r="G25" s="17"/>
      <c r="H25" s="17"/>
      <c r="I25" s="18"/>
      <c r="J25" s="31"/>
      <c r="K25"/>
      <c r="L25"/>
      <c r="M25"/>
      <c r="N25"/>
      <c r="O25"/>
      <c r="P25"/>
      <c r="Q25"/>
      <c r="R25"/>
      <c r="S25"/>
      <c r="T25"/>
      <c r="U25"/>
    </row>
    <row r="26" spans="1:21" ht="15" customHeight="1" thickBot="1">
      <c r="A26" s="24"/>
      <c r="B26" s="32"/>
      <c r="C26" s="32"/>
      <c r="D26" s="32"/>
      <c r="E26" s="32"/>
      <c r="F26" s="32"/>
      <c r="G26" s="32"/>
      <c r="H26" s="32"/>
      <c r="I26" s="33"/>
      <c r="J26" s="31"/>
      <c r="K26"/>
      <c r="L26" t="s">
        <v>831</v>
      </c>
      <c r="M26"/>
      <c r="N26"/>
      <c r="O26" s="48" t="s">
        <v>34</v>
      </c>
      <c r="P26" s="48">
        <f>P20</f>
        <v>0</v>
      </c>
      <c r="Q26" s="48" t="s">
        <v>35</v>
      </c>
      <c r="R26" s="48">
        <f>P24</f>
        <v>100</v>
      </c>
      <c r="S26"/>
      <c r="T26"/>
      <c r="U26"/>
    </row>
    <row r="27" spans="1:21" ht="15" customHeight="1">
      <c r="J27" s="31"/>
      <c r="K27"/>
      <c r="L27"/>
      <c r="M27"/>
      <c r="N27"/>
      <c r="O27" s="48" t="s">
        <v>34</v>
      </c>
      <c r="P27" s="196">
        <f>P26+R26</f>
        <v>100</v>
      </c>
      <c r="Q27"/>
      <c r="R27"/>
      <c r="S27"/>
      <c r="T27"/>
      <c r="U27"/>
    </row>
    <row r="28" spans="1:21" ht="15" customHeight="1">
      <c r="J28" s="31"/>
      <c r="K28"/>
      <c r="L28"/>
      <c r="M28"/>
      <c r="N28"/>
      <c r="O28"/>
      <c r="P28" s="266" t="s">
        <v>835</v>
      </c>
      <c r="Q28"/>
      <c r="R28"/>
      <c r="S28"/>
      <c r="T28"/>
      <c r="U28"/>
    </row>
    <row r="29" spans="1:21" ht="15" customHeight="1">
      <c r="J29" s="31"/>
      <c r="K29"/>
      <c r="L29"/>
      <c r="M29"/>
      <c r="N29"/>
      <c r="O29"/>
      <c r="P29"/>
      <c r="Q29"/>
      <c r="R29"/>
      <c r="S29"/>
      <c r="T29"/>
      <c r="U29"/>
    </row>
    <row r="30" spans="1:21" ht="15" customHeight="1">
      <c r="J30" s="31"/>
      <c r="K30" s="48" t="s">
        <v>5</v>
      </c>
      <c r="L30" t="s">
        <v>830</v>
      </c>
      <c r="M30"/>
      <c r="N30" s="48" t="s">
        <v>34</v>
      </c>
      <c r="O30" s="48" t="s">
        <v>821</v>
      </c>
      <c r="P30" s="48" t="s">
        <v>35</v>
      </c>
      <c r="Q30" s="48" t="s">
        <v>822</v>
      </c>
      <c r="R30"/>
      <c r="S30"/>
      <c r="T30"/>
      <c r="U30"/>
    </row>
    <row r="31" spans="1:21" ht="15" customHeight="1">
      <c r="J31" s="31"/>
      <c r="K31"/>
      <c r="L31"/>
      <c r="M31"/>
      <c r="N31" s="48" t="s">
        <v>34</v>
      </c>
      <c r="O31" s="323">
        <f>D16</f>
        <v>450</v>
      </c>
      <c r="P31" s="323" t="s">
        <v>35</v>
      </c>
      <c r="Q31" s="323">
        <f>D17</f>
        <v>600</v>
      </c>
      <c r="R31"/>
      <c r="S31"/>
      <c r="T31"/>
      <c r="U31"/>
    </row>
    <row r="32" spans="1:21" ht="15" customHeight="1">
      <c r="J32" s="31"/>
      <c r="K32"/>
      <c r="L32"/>
      <c r="M32"/>
      <c r="N32" s="48" t="s">
        <v>34</v>
      </c>
      <c r="O32" s="323">
        <f>O31+Q31</f>
        <v>1050</v>
      </c>
      <c r="P32" s="323"/>
      <c r="Q32" s="323"/>
      <c r="R32"/>
      <c r="S32"/>
      <c r="T32"/>
      <c r="U32"/>
    </row>
    <row r="33" spans="2:21" ht="15" customHeight="1">
      <c r="J33" s="31"/>
      <c r="K33" s="48"/>
      <c r="L33" s="1"/>
      <c r="M33"/>
      <c r="N33"/>
      <c r="O33"/>
      <c r="P33"/>
      <c r="Q33"/>
      <c r="R33"/>
      <c r="S33"/>
      <c r="T33"/>
      <c r="U33"/>
    </row>
    <row r="34" spans="2:21" ht="15" customHeight="1">
      <c r="J34" s="31"/>
      <c r="K34"/>
      <c r="L34" t="s">
        <v>832</v>
      </c>
      <c r="M34"/>
      <c r="N34" s="48" t="s">
        <v>34</v>
      </c>
      <c r="O34" s="49" t="s">
        <v>830</v>
      </c>
      <c r="P34"/>
      <c r="Q34" s="48" t="s">
        <v>189</v>
      </c>
      <c r="R34" t="s">
        <v>834</v>
      </c>
      <c r="S34"/>
      <c r="T34"/>
      <c r="U34"/>
    </row>
    <row r="35" spans="2:21" ht="15" customHeight="1">
      <c r="J35" s="31"/>
      <c r="K35" s="48"/>
      <c r="L35"/>
      <c r="M35"/>
      <c r="N35" s="48" t="s">
        <v>34</v>
      </c>
      <c r="O35" s="323">
        <f>O32</f>
        <v>1050</v>
      </c>
      <c r="P35" s="48"/>
      <c r="Q35" s="48" t="s">
        <v>189</v>
      </c>
      <c r="R35" s="48">
        <v>500</v>
      </c>
      <c r="S35"/>
      <c r="T35"/>
      <c r="U35"/>
    </row>
    <row r="36" spans="2:21" ht="15" customHeight="1">
      <c r="J36" s="31"/>
      <c r="K36"/>
      <c r="L36"/>
      <c r="M36"/>
      <c r="N36" s="48" t="s">
        <v>34</v>
      </c>
      <c r="O36" s="280">
        <f>O35-R35</f>
        <v>550</v>
      </c>
      <c r="P36" s="48"/>
      <c r="Q36" s="48"/>
      <c r="R36" s="48"/>
      <c r="S36"/>
      <c r="T36"/>
      <c r="U36"/>
    </row>
    <row r="37" spans="2:21" ht="15" customHeight="1">
      <c r="J37" s="31"/>
      <c r="K37"/>
      <c r="L37"/>
      <c r="M37"/>
      <c r="N37"/>
      <c r="O37" s="266" t="s">
        <v>836</v>
      </c>
      <c r="P37"/>
      <c r="Q37"/>
      <c r="R37"/>
      <c r="S37"/>
      <c r="T37"/>
      <c r="U37"/>
    </row>
    <row r="38" spans="2:21" ht="15" customHeight="1">
      <c r="J38" s="31"/>
      <c r="K38"/>
      <c r="L38"/>
      <c r="M38"/>
      <c r="N38"/>
      <c r="O38"/>
      <c r="P38"/>
      <c r="Q38"/>
      <c r="R38"/>
      <c r="S38"/>
      <c r="T38"/>
      <c r="U38"/>
    </row>
    <row r="39" spans="2:21" ht="15" customHeight="1">
      <c r="J39" s="31"/>
      <c r="K39"/>
      <c r="L39"/>
      <c r="M39"/>
      <c r="N39"/>
      <c r="O39"/>
      <c r="P39"/>
      <c r="Q39"/>
      <c r="R39"/>
      <c r="S39"/>
      <c r="T39"/>
      <c r="U39"/>
    </row>
    <row r="40" spans="2:21" ht="15" customHeight="1">
      <c r="J40" s="31"/>
      <c r="K40"/>
      <c r="L40"/>
      <c r="M40"/>
      <c r="N40"/>
      <c r="O40"/>
      <c r="P40"/>
      <c r="Q40"/>
      <c r="R40"/>
      <c r="S40"/>
      <c r="T40"/>
      <c r="U40"/>
    </row>
    <row r="41" spans="2:21" ht="15" customHeight="1">
      <c r="J41" s="31"/>
      <c r="K41"/>
      <c r="L41"/>
      <c r="M41"/>
      <c r="N41"/>
      <c r="O41"/>
      <c r="P41"/>
      <c r="Q41"/>
      <c r="R41"/>
      <c r="S41"/>
      <c r="T41"/>
      <c r="U41"/>
    </row>
    <row r="42" spans="2:21" ht="15" customHeight="1">
      <c r="J42" s="31"/>
      <c r="K42"/>
      <c r="L42"/>
      <c r="M42"/>
      <c r="N42"/>
      <c r="O42"/>
      <c r="P42"/>
      <c r="Q42"/>
      <c r="R42"/>
      <c r="S42"/>
      <c r="T42"/>
      <c r="U42"/>
    </row>
    <row r="43" spans="2:21" ht="15" customHeight="1">
      <c r="J43" s="31"/>
      <c r="K43"/>
      <c r="L43"/>
      <c r="M43"/>
      <c r="N43"/>
      <c r="O43"/>
      <c r="P43"/>
      <c r="Q43"/>
      <c r="R43"/>
      <c r="S43"/>
      <c r="T43"/>
      <c r="U43"/>
    </row>
    <row r="44" spans="2:21" ht="15" customHeight="1">
      <c r="J44" s="31"/>
      <c r="K44"/>
      <c r="L44"/>
      <c r="M44"/>
      <c r="N44"/>
      <c r="O44"/>
      <c r="P44"/>
      <c r="Q44"/>
      <c r="R44"/>
      <c r="S44"/>
      <c r="T44"/>
      <c r="U44"/>
    </row>
    <row r="45" spans="2:21" ht="15" customHeight="1">
      <c r="J45" s="31"/>
      <c r="K45"/>
      <c r="L45"/>
      <c r="M45"/>
      <c r="N45"/>
      <c r="O45"/>
      <c r="P45"/>
      <c r="Q45"/>
      <c r="R45"/>
      <c r="S45"/>
      <c r="T45"/>
      <c r="U45"/>
    </row>
    <row r="46" spans="2:21" ht="15" customHeight="1">
      <c r="B46" s="31"/>
      <c r="C46" s="31"/>
      <c r="D46" s="31"/>
      <c r="E46" s="31"/>
      <c r="F46" s="31"/>
      <c r="G46" s="31"/>
      <c r="H46" s="31"/>
      <c r="I46" s="31"/>
      <c r="J46" s="31"/>
      <c r="K46"/>
      <c r="L46"/>
      <c r="M46"/>
      <c r="N46"/>
      <c r="O46"/>
      <c r="P46"/>
      <c r="Q46"/>
      <c r="R46"/>
      <c r="S46"/>
      <c r="T46"/>
      <c r="U46"/>
    </row>
    <row r="47" spans="2:21" ht="15" customHeight="1">
      <c r="B47" s="31"/>
      <c r="C47" s="31"/>
      <c r="D47" s="31"/>
      <c r="E47" s="31"/>
      <c r="F47" s="31"/>
      <c r="G47" s="31"/>
      <c r="H47" s="31"/>
      <c r="I47" s="31"/>
      <c r="J47" s="31"/>
      <c r="K47"/>
      <c r="L47"/>
      <c r="M47"/>
      <c r="N47"/>
      <c r="O47"/>
      <c r="P47"/>
      <c r="Q47"/>
      <c r="R47"/>
      <c r="S47"/>
      <c r="T47"/>
      <c r="U47"/>
    </row>
    <row r="48" spans="2:21" ht="15" customHeight="1">
      <c r="B48" s="31"/>
      <c r="C48" s="31"/>
      <c r="D48" s="31"/>
      <c r="E48" s="31"/>
      <c r="F48" s="31"/>
      <c r="G48" s="31"/>
      <c r="H48" s="31"/>
      <c r="I48" s="31"/>
      <c r="J48" s="31"/>
      <c r="K48"/>
      <c r="L48"/>
      <c r="M48"/>
      <c r="N48"/>
      <c r="O48"/>
      <c r="P48"/>
      <c r="Q48"/>
      <c r="R48"/>
      <c r="S48"/>
      <c r="T48"/>
      <c r="U48"/>
    </row>
    <row r="49" spans="2:21" ht="15" customHeight="1">
      <c r="B49" s="31"/>
      <c r="C49" s="31"/>
      <c r="D49" s="31"/>
      <c r="E49" s="31"/>
      <c r="F49" s="31"/>
      <c r="G49" s="31"/>
      <c r="H49" s="31"/>
      <c r="I49" s="31"/>
      <c r="J49" s="31"/>
      <c r="K49"/>
      <c r="L49"/>
      <c r="M49"/>
      <c r="N49"/>
      <c r="O49"/>
      <c r="P49"/>
      <c r="Q49"/>
      <c r="R49"/>
      <c r="S49"/>
      <c r="T49"/>
      <c r="U49"/>
    </row>
    <row r="50" spans="2:21" ht="15" customHeight="1">
      <c r="B50" s="31"/>
      <c r="C50" s="31"/>
      <c r="D50" s="31"/>
      <c r="E50" s="31"/>
      <c r="F50" s="31"/>
      <c r="G50" s="31"/>
      <c r="H50" s="31"/>
      <c r="I50" s="31"/>
      <c r="J50" s="31"/>
      <c r="K50"/>
      <c r="L50"/>
      <c r="M50"/>
      <c r="N50"/>
      <c r="O50"/>
      <c r="P50"/>
      <c r="Q50"/>
      <c r="R50"/>
      <c r="S50"/>
      <c r="T50"/>
      <c r="U50"/>
    </row>
    <row r="51" spans="2:21" ht="15" customHeight="1">
      <c r="B51" s="31"/>
      <c r="C51" s="31"/>
      <c r="D51" s="31"/>
      <c r="E51" s="31"/>
      <c r="F51" s="31"/>
      <c r="G51" s="31"/>
      <c r="H51" s="31"/>
      <c r="I51" s="31"/>
      <c r="J51" s="31"/>
    </row>
    <row r="52" spans="2:21" ht="15" customHeight="1">
      <c r="B52" s="31"/>
      <c r="C52" s="31"/>
      <c r="D52" s="31"/>
      <c r="E52" s="31"/>
      <c r="F52" s="31"/>
      <c r="G52" s="31"/>
      <c r="H52" s="31"/>
      <c r="I52" s="31"/>
      <c r="J52" s="31"/>
    </row>
    <row r="53" spans="2:21" ht="15" customHeight="1">
      <c r="B53" s="31"/>
      <c r="C53" s="31"/>
      <c r="D53" s="31"/>
      <c r="E53" s="31"/>
      <c r="F53" s="31"/>
      <c r="G53" s="31"/>
      <c r="H53" s="31"/>
      <c r="I53" s="31"/>
      <c r="J53" s="31"/>
    </row>
    <row r="54" spans="2:21" ht="15" customHeight="1">
      <c r="B54" s="31"/>
      <c r="C54" s="31"/>
      <c r="D54" s="31"/>
      <c r="E54" s="31"/>
      <c r="F54" s="31"/>
      <c r="G54" s="31"/>
      <c r="H54" s="31"/>
      <c r="I54" s="31"/>
      <c r="J54" s="31"/>
    </row>
    <row r="55" spans="2:21" ht="15" customHeight="1">
      <c r="B55" s="31"/>
      <c r="C55" s="31"/>
      <c r="D55" s="31"/>
      <c r="E55" s="31"/>
      <c r="F55" s="31"/>
      <c r="G55" s="31"/>
      <c r="H55" s="31"/>
      <c r="I55" s="31"/>
      <c r="J55" s="31"/>
    </row>
    <row r="56" spans="2:21" ht="15" customHeight="1">
      <c r="B56" s="31"/>
      <c r="C56" s="31"/>
      <c r="D56" s="31"/>
      <c r="E56" s="31"/>
      <c r="F56" s="31"/>
      <c r="G56" s="31"/>
      <c r="H56" s="31"/>
      <c r="I56" s="31"/>
      <c r="J56" s="31"/>
    </row>
    <row r="57" spans="2:21" ht="15" customHeight="1">
      <c r="B57" s="31"/>
      <c r="C57" s="31"/>
      <c r="D57" s="31"/>
      <c r="E57" s="31"/>
      <c r="F57" s="31"/>
      <c r="G57" s="31"/>
      <c r="H57" s="31"/>
      <c r="I57" s="31"/>
      <c r="J57" s="31"/>
    </row>
    <row r="58" spans="2:21" ht="15" customHeight="1">
      <c r="B58" s="31"/>
      <c r="C58" s="31"/>
      <c r="D58" s="31"/>
      <c r="E58" s="31"/>
      <c r="F58" s="31"/>
      <c r="G58" s="31"/>
      <c r="H58" s="31"/>
      <c r="I58" s="31"/>
      <c r="J58" s="31"/>
    </row>
    <row r="59" spans="2:21" ht="15" customHeight="1">
      <c r="B59" s="31"/>
      <c r="C59" s="31"/>
      <c r="D59" s="31"/>
      <c r="E59" s="31"/>
      <c r="F59" s="31"/>
      <c r="G59" s="31"/>
      <c r="H59" s="31"/>
      <c r="I59" s="31"/>
      <c r="J59" s="31"/>
    </row>
    <row r="60" spans="2:21" ht="15" customHeight="1">
      <c r="B60" s="31"/>
      <c r="C60" s="31"/>
      <c r="D60" s="31"/>
      <c r="E60" s="31"/>
      <c r="F60" s="31"/>
      <c r="G60" s="31"/>
      <c r="H60" s="31"/>
      <c r="I60" s="31"/>
      <c r="J60" s="31"/>
    </row>
    <row r="61" spans="2:21" ht="15" customHeight="1">
      <c r="B61" s="31"/>
      <c r="C61" s="31"/>
      <c r="D61" s="31"/>
      <c r="E61" s="31"/>
      <c r="F61" s="31"/>
      <c r="G61" s="31"/>
      <c r="H61" s="31"/>
      <c r="I61" s="31"/>
      <c r="J61" s="31"/>
    </row>
    <row r="62" spans="2:21" ht="15" customHeight="1">
      <c r="B62" s="31"/>
      <c r="C62" s="31"/>
      <c r="D62" s="31"/>
      <c r="E62" s="31"/>
      <c r="F62" s="31"/>
      <c r="G62" s="31"/>
      <c r="H62" s="31"/>
      <c r="I62" s="31"/>
      <c r="J62" s="31"/>
    </row>
    <row r="63" spans="2:21" ht="15" customHeight="1">
      <c r="B63" s="31"/>
      <c r="C63" s="31"/>
      <c r="D63" s="31"/>
      <c r="E63" s="31"/>
      <c r="F63" s="31"/>
      <c r="G63" s="31"/>
      <c r="H63" s="31"/>
      <c r="I63" s="31"/>
      <c r="J63" s="31"/>
    </row>
    <row r="64" spans="2:21" ht="15" customHeight="1">
      <c r="B64" s="31"/>
      <c r="C64" s="31"/>
      <c r="D64" s="31"/>
      <c r="E64" s="31"/>
      <c r="F64" s="31"/>
      <c r="G64" s="31"/>
      <c r="H64" s="31"/>
      <c r="I64" s="31"/>
      <c r="J64" s="31"/>
    </row>
    <row r="65" spans="2:10" ht="15" customHeight="1">
      <c r="B65" s="31"/>
      <c r="C65" s="31"/>
      <c r="D65" s="31"/>
      <c r="E65" s="31"/>
      <c r="F65" s="31"/>
      <c r="G65" s="31"/>
      <c r="H65" s="31"/>
      <c r="I65" s="31"/>
      <c r="J65" s="31"/>
    </row>
    <row r="66" spans="2:10" ht="15" customHeight="1">
      <c r="B66" s="31"/>
      <c r="C66" s="31"/>
      <c r="D66" s="31"/>
      <c r="E66" s="31"/>
      <c r="F66" s="31"/>
      <c r="G66" s="31"/>
      <c r="H66" s="31"/>
      <c r="I66" s="31"/>
      <c r="J66" s="31"/>
    </row>
    <row r="67" spans="2:10" ht="15" customHeight="1">
      <c r="B67" s="31"/>
      <c r="C67" s="31"/>
      <c r="D67" s="31"/>
      <c r="E67" s="31"/>
      <c r="F67" s="31"/>
      <c r="G67" s="31"/>
      <c r="H67" s="31"/>
      <c r="I67" s="31"/>
      <c r="J67" s="31"/>
    </row>
    <row r="68" spans="2:10" ht="15" customHeight="1">
      <c r="B68" s="31"/>
      <c r="C68" s="31"/>
      <c r="D68" s="31"/>
      <c r="E68" s="31"/>
      <c r="F68" s="31"/>
      <c r="G68" s="31"/>
      <c r="H68" s="31"/>
      <c r="I68" s="31"/>
      <c r="J68" s="31"/>
    </row>
    <row r="69" spans="2:10" ht="15" customHeight="1">
      <c r="B69" s="31"/>
      <c r="C69" s="31"/>
      <c r="D69" s="31"/>
      <c r="E69" s="31"/>
      <c r="F69" s="31"/>
      <c r="G69" s="31"/>
      <c r="H69" s="31"/>
      <c r="I69" s="31"/>
      <c r="J69" s="31"/>
    </row>
    <row r="70" spans="2:10" ht="15" customHeight="1">
      <c r="B70" s="31"/>
      <c r="C70" s="31"/>
      <c r="D70" s="31"/>
      <c r="E70" s="31"/>
      <c r="F70" s="31"/>
      <c r="G70" s="31"/>
      <c r="H70" s="31"/>
      <c r="I70" s="31"/>
      <c r="J70" s="31"/>
    </row>
    <row r="71" spans="2:10" ht="15" customHeight="1">
      <c r="B71" s="31"/>
      <c r="C71" s="31"/>
      <c r="D71" s="31"/>
      <c r="E71" s="31"/>
      <c r="F71" s="31"/>
      <c r="G71" s="31"/>
      <c r="H71" s="31"/>
      <c r="I71" s="31"/>
      <c r="J71" s="31"/>
    </row>
    <row r="72" spans="2:10" ht="15" customHeight="1">
      <c r="B72" s="31"/>
      <c r="C72" s="31"/>
      <c r="D72" s="31"/>
      <c r="E72" s="31"/>
      <c r="F72" s="31"/>
      <c r="G72" s="31"/>
      <c r="H72" s="31"/>
      <c r="I72" s="31"/>
      <c r="J72" s="31"/>
    </row>
    <row r="73" spans="2:10" ht="15" customHeight="1">
      <c r="B73" s="31"/>
      <c r="C73" s="31"/>
      <c r="D73" s="31"/>
      <c r="E73" s="31"/>
      <c r="F73" s="31"/>
      <c r="G73" s="31"/>
      <c r="H73" s="31"/>
      <c r="I73" s="31"/>
      <c r="J73" s="31"/>
    </row>
    <row r="74" spans="2:10" ht="15" customHeight="1">
      <c r="B74" s="31"/>
      <c r="C74" s="31"/>
      <c r="D74" s="31"/>
      <c r="E74" s="31"/>
      <c r="F74" s="31"/>
      <c r="G74" s="31"/>
      <c r="H74" s="31"/>
      <c r="I74" s="31"/>
      <c r="J74" s="31"/>
    </row>
    <row r="75" spans="2:10" ht="15" customHeight="1">
      <c r="B75" s="31"/>
      <c r="C75" s="31"/>
      <c r="D75" s="31"/>
      <c r="E75" s="31"/>
      <c r="F75" s="31"/>
      <c r="G75" s="31"/>
      <c r="H75" s="31"/>
      <c r="I75" s="31"/>
      <c r="J75" s="31"/>
    </row>
    <row r="76" spans="2:10" ht="15" customHeight="1">
      <c r="B76" s="31"/>
      <c r="C76" s="31"/>
      <c r="D76" s="31"/>
      <c r="E76" s="31"/>
      <c r="F76" s="31"/>
      <c r="G76" s="31"/>
      <c r="H76" s="31"/>
      <c r="I76" s="31"/>
      <c r="J76" s="31"/>
    </row>
    <row r="77" spans="2:10" ht="15" customHeight="1">
      <c r="B77" s="31"/>
      <c r="C77" s="31"/>
      <c r="D77" s="31"/>
      <c r="E77" s="31"/>
      <c r="F77" s="31"/>
      <c r="G77" s="31"/>
      <c r="H77" s="31"/>
      <c r="I77" s="31"/>
      <c r="J77" s="31"/>
    </row>
    <row r="78" spans="2:10" ht="15" customHeight="1">
      <c r="B78" s="31"/>
      <c r="C78" s="31"/>
      <c r="D78" s="31"/>
      <c r="E78" s="31"/>
      <c r="F78" s="31"/>
      <c r="G78" s="31"/>
      <c r="H78" s="31"/>
      <c r="I78" s="31"/>
      <c r="J78" s="31"/>
    </row>
    <row r="79" spans="2:10" ht="15" customHeight="1">
      <c r="B79" s="31"/>
      <c r="C79" s="31"/>
      <c r="D79" s="31"/>
      <c r="E79" s="31"/>
      <c r="F79" s="31"/>
      <c r="G79" s="31"/>
      <c r="H79" s="31"/>
      <c r="I79" s="31"/>
      <c r="J79" s="31"/>
    </row>
    <row r="80" spans="2:10" ht="15" customHeight="1">
      <c r="B80" s="31"/>
      <c r="C80" s="31"/>
      <c r="D80" s="31"/>
      <c r="E80" s="31"/>
      <c r="F80" s="31"/>
      <c r="G80" s="31"/>
      <c r="H80" s="31"/>
      <c r="I80" s="31"/>
      <c r="J80" s="31"/>
    </row>
    <row r="81" spans="2:10" ht="15" customHeight="1">
      <c r="B81" s="31"/>
      <c r="C81" s="31"/>
      <c r="D81" s="31"/>
      <c r="E81" s="31"/>
      <c r="F81" s="31"/>
      <c r="G81" s="31"/>
      <c r="H81" s="31"/>
      <c r="I81" s="31"/>
      <c r="J81" s="31"/>
    </row>
    <row r="82" spans="2:10" ht="15" customHeight="1">
      <c r="B82" s="31"/>
      <c r="C82" s="31"/>
      <c r="D82" s="31"/>
      <c r="E82" s="31"/>
      <c r="F82" s="31"/>
      <c r="G82" s="31"/>
      <c r="H82" s="31"/>
      <c r="I82" s="31"/>
      <c r="J82" s="31"/>
    </row>
    <row r="83" spans="2:10" ht="15" customHeight="1">
      <c r="B83" s="31"/>
      <c r="C83" s="31"/>
      <c r="D83" s="31"/>
      <c r="E83" s="31"/>
      <c r="F83" s="31"/>
      <c r="G83" s="31"/>
      <c r="H83" s="31"/>
      <c r="I83" s="31"/>
      <c r="J83" s="31"/>
    </row>
    <row r="84" spans="2:10" ht="15" customHeight="1">
      <c r="B84" s="31"/>
      <c r="C84" s="31"/>
      <c r="D84" s="31"/>
      <c r="E84" s="31"/>
      <c r="F84" s="31"/>
      <c r="G84" s="31"/>
      <c r="H84" s="31"/>
      <c r="I84" s="31"/>
      <c r="J84" s="31"/>
    </row>
    <row r="85" spans="2:10" ht="15" customHeight="1">
      <c r="B85" s="31"/>
      <c r="C85" s="31"/>
      <c r="D85" s="31"/>
      <c r="E85" s="31"/>
      <c r="F85" s="31"/>
      <c r="G85" s="31"/>
      <c r="H85" s="31"/>
      <c r="I85" s="31"/>
      <c r="J85" s="31"/>
    </row>
    <row r="86" spans="2:10" ht="15" customHeight="1">
      <c r="B86" s="31"/>
      <c r="C86" s="31"/>
      <c r="D86" s="31"/>
      <c r="E86" s="31"/>
      <c r="F86" s="31"/>
      <c r="G86" s="31"/>
      <c r="H86" s="31"/>
      <c r="I86" s="31"/>
      <c r="J86" s="31"/>
    </row>
    <row r="87" spans="2:10" ht="15" customHeight="1">
      <c r="B87" s="31"/>
      <c r="C87" s="31"/>
      <c r="D87" s="31"/>
      <c r="E87" s="31"/>
      <c r="F87" s="31"/>
      <c r="G87" s="31"/>
      <c r="H87" s="31"/>
      <c r="I87" s="31"/>
      <c r="J87" s="31"/>
    </row>
    <row r="88" spans="2:10" ht="15" customHeight="1">
      <c r="B88" s="31"/>
      <c r="C88" s="31"/>
      <c r="D88" s="31"/>
      <c r="E88" s="31"/>
      <c r="F88" s="31"/>
      <c r="G88" s="31"/>
      <c r="H88" s="31"/>
      <c r="I88" s="31"/>
      <c r="J88" s="31"/>
    </row>
    <row r="89" spans="2:10" ht="15" customHeight="1">
      <c r="B89" s="31"/>
      <c r="C89" s="31"/>
      <c r="D89" s="31"/>
      <c r="E89" s="31"/>
      <c r="F89" s="31"/>
      <c r="G89" s="31"/>
      <c r="H89" s="31"/>
      <c r="I89" s="31"/>
      <c r="J89" s="31"/>
    </row>
    <row r="90" spans="2:10" ht="15" customHeight="1">
      <c r="B90" s="31"/>
      <c r="C90" s="31"/>
      <c r="D90" s="31"/>
      <c r="E90" s="31"/>
      <c r="F90" s="31"/>
      <c r="G90" s="31"/>
      <c r="H90" s="31"/>
      <c r="I90" s="31"/>
      <c r="J90" s="31"/>
    </row>
    <row r="91" spans="2:10" ht="15" customHeight="1">
      <c r="B91" s="31"/>
      <c r="C91" s="31"/>
      <c r="D91" s="31"/>
      <c r="E91" s="31"/>
      <c r="F91" s="31"/>
      <c r="G91" s="31"/>
      <c r="H91" s="31"/>
      <c r="I91" s="31"/>
      <c r="J91" s="31"/>
    </row>
    <row r="92" spans="2:10" ht="15" customHeight="1">
      <c r="B92" s="31"/>
      <c r="C92" s="31"/>
      <c r="D92" s="31"/>
      <c r="E92" s="31"/>
      <c r="F92" s="31"/>
      <c r="G92" s="31"/>
      <c r="H92" s="31"/>
      <c r="I92" s="31"/>
      <c r="J92" s="31"/>
    </row>
    <row r="93" spans="2:10" ht="15" customHeight="1">
      <c r="B93" s="31"/>
      <c r="C93" s="31"/>
      <c r="D93" s="31"/>
      <c r="E93" s="31"/>
      <c r="F93" s="31"/>
      <c r="G93" s="31"/>
      <c r="H93" s="31"/>
      <c r="I93" s="31"/>
      <c r="J93" s="31"/>
    </row>
    <row r="94" spans="2:10" ht="15" customHeight="1">
      <c r="B94" s="31"/>
      <c r="C94" s="31"/>
      <c r="D94" s="31"/>
      <c r="E94" s="31"/>
      <c r="F94" s="31"/>
      <c r="G94" s="31"/>
      <c r="H94" s="31"/>
      <c r="I94" s="31"/>
      <c r="J94" s="31"/>
    </row>
    <row r="95" spans="2:10" ht="15" customHeight="1">
      <c r="B95" s="31"/>
      <c r="C95" s="31"/>
      <c r="D95" s="31"/>
      <c r="E95" s="31"/>
      <c r="F95" s="31"/>
      <c r="G95" s="31"/>
      <c r="H95" s="31"/>
      <c r="I95" s="31"/>
      <c r="J95" s="31"/>
    </row>
    <row r="96" spans="2:10" ht="15" customHeight="1">
      <c r="B96" s="31"/>
      <c r="C96" s="31"/>
      <c r="D96" s="31"/>
      <c r="E96" s="31"/>
      <c r="F96" s="31"/>
      <c r="G96" s="31"/>
      <c r="H96" s="31"/>
      <c r="I96" s="31"/>
      <c r="J96" s="31"/>
    </row>
    <row r="97" spans="2:10" ht="15" customHeight="1">
      <c r="B97" s="31"/>
      <c r="C97" s="31"/>
      <c r="D97" s="31"/>
      <c r="E97" s="31"/>
      <c r="F97" s="31"/>
      <c r="G97" s="31"/>
      <c r="H97" s="31"/>
      <c r="I97" s="31"/>
      <c r="J97" s="31"/>
    </row>
    <row r="98" spans="2:10" ht="15" customHeight="1">
      <c r="B98" s="31"/>
      <c r="C98" s="31"/>
      <c r="D98" s="31"/>
      <c r="E98" s="31"/>
      <c r="F98" s="31"/>
      <c r="G98" s="31"/>
      <c r="H98" s="31"/>
      <c r="I98" s="31"/>
      <c r="J98" s="31"/>
    </row>
    <row r="99" spans="2:10" ht="15" customHeight="1">
      <c r="B99" s="31"/>
      <c r="C99" s="31"/>
      <c r="D99" s="31"/>
      <c r="E99" s="31"/>
      <c r="F99" s="31"/>
      <c r="G99" s="31"/>
      <c r="H99" s="31"/>
      <c r="I99" s="31"/>
      <c r="J99" s="31"/>
    </row>
    <row r="100" spans="2:10" ht="15" customHeight="1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2:10" ht="15" customHeight="1">
      <c r="B101" s="31"/>
      <c r="C101" s="31"/>
      <c r="D101" s="31"/>
      <c r="E101" s="31"/>
      <c r="F101" s="31"/>
      <c r="G101" s="31"/>
      <c r="H101" s="31"/>
      <c r="I101" s="31"/>
      <c r="J101" s="31"/>
    </row>
  </sheetData>
  <mergeCells count="1">
    <mergeCell ref="H1:I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V140"/>
  <sheetViews>
    <sheetView workbookViewId="0"/>
  </sheetViews>
  <sheetFormatPr defaultColWidth="9.140625" defaultRowHeight="15"/>
  <cols>
    <col min="1" max="1" width="9.140625" style="21"/>
    <col min="2" max="2" width="16" style="21" customWidth="1"/>
    <col min="3" max="3" width="11.140625" style="21" customWidth="1"/>
    <col min="4" max="7" width="20.7109375" style="21" customWidth="1"/>
    <col min="8" max="9" width="11.140625" style="21" customWidth="1"/>
    <col min="10" max="16384" width="9.140625" style="21"/>
  </cols>
  <sheetData>
    <row r="1" spans="1:21">
      <c r="A1" s="7">
        <v>28</v>
      </c>
      <c r="B1" s="27" t="s">
        <v>12</v>
      </c>
      <c r="C1" s="20"/>
      <c r="D1" s="20"/>
      <c r="E1" s="20"/>
      <c r="F1" s="20"/>
      <c r="G1" s="20"/>
      <c r="H1" s="854" t="s">
        <v>24</v>
      </c>
      <c r="I1" s="855"/>
      <c r="K1" s="1" t="s">
        <v>33</v>
      </c>
      <c r="L1" s="52" t="str">
        <f>VLOOKUP(A1,'Point Grid'!$L$8:$T$54,9,FALSE)</f>
        <v>Reserving - Chap 15: Evaluation of Methods</v>
      </c>
      <c r="M1"/>
      <c r="N1"/>
      <c r="O1"/>
      <c r="P1"/>
      <c r="Q1"/>
      <c r="R1"/>
      <c r="S1"/>
      <c r="T1"/>
      <c r="U1"/>
    </row>
    <row r="2" spans="1:21">
      <c r="A2" s="22"/>
      <c r="B2" s="19"/>
      <c r="C2" s="19"/>
      <c r="D2" s="19"/>
      <c r="E2" s="19"/>
      <c r="F2" s="19"/>
      <c r="G2" s="19"/>
      <c r="H2" s="19"/>
      <c r="I2" s="23"/>
      <c r="K2" s="1"/>
      <c r="L2"/>
      <c r="M2"/>
      <c r="N2"/>
      <c r="O2"/>
      <c r="P2"/>
      <c r="Q2"/>
      <c r="R2"/>
      <c r="S2"/>
      <c r="T2"/>
      <c r="U2"/>
    </row>
    <row r="3" spans="1:21">
      <c r="A3" s="8" t="s">
        <v>13</v>
      </c>
      <c r="B3" s="17"/>
      <c r="C3" s="17"/>
      <c r="D3" s="17"/>
      <c r="E3" s="17"/>
      <c r="F3" s="17"/>
      <c r="G3" s="17"/>
      <c r="H3" s="17"/>
      <c r="I3" s="18"/>
      <c r="J3" s="31"/>
      <c r="K3" s="48" t="s">
        <v>2</v>
      </c>
      <c r="L3" t="s">
        <v>846</v>
      </c>
      <c r="M3"/>
      <c r="N3"/>
      <c r="O3"/>
      <c r="P3"/>
      <c r="Q3"/>
      <c r="R3"/>
      <c r="S3"/>
      <c r="T3"/>
      <c r="U3"/>
    </row>
    <row r="4" spans="1:21">
      <c r="A4" s="9">
        <f>INDEX('Point Grid'!B:B,MATCH(A1,'Point Grid'!A:A,0))</f>
        <v>3</v>
      </c>
      <c r="B4" s="17"/>
      <c r="C4" s="17"/>
      <c r="D4" s="17"/>
      <c r="E4" s="17"/>
      <c r="F4" s="17"/>
      <c r="G4" s="17"/>
      <c r="H4" s="17"/>
      <c r="I4" s="18"/>
      <c r="J4" s="31"/>
      <c r="K4" s="48"/>
      <c r="L4" t="s">
        <v>847</v>
      </c>
      <c r="M4"/>
      <c r="N4"/>
      <c r="O4"/>
      <c r="P4"/>
      <c r="Q4"/>
      <c r="R4"/>
      <c r="S4"/>
      <c r="T4"/>
      <c r="U4"/>
    </row>
    <row r="5" spans="1:21">
      <c r="A5" s="16"/>
      <c r="B5" s="17"/>
      <c r="C5" s="17"/>
      <c r="D5" s="17"/>
      <c r="E5" s="17"/>
      <c r="F5" s="17"/>
      <c r="G5" s="17"/>
      <c r="H5" s="17"/>
      <c r="I5" s="18"/>
      <c r="J5" s="31"/>
      <c r="K5" s="48"/>
      <c r="L5" t="s">
        <v>848</v>
      </c>
      <c r="M5"/>
      <c r="N5"/>
      <c r="O5"/>
      <c r="P5"/>
      <c r="Q5"/>
      <c r="R5"/>
      <c r="S5"/>
      <c r="T5"/>
      <c r="U5"/>
    </row>
    <row r="6" spans="1:21">
      <c r="A6" s="25" t="s">
        <v>2</v>
      </c>
      <c r="B6" s="17" t="s">
        <v>842</v>
      </c>
      <c r="C6" s="17"/>
      <c r="D6" s="17"/>
      <c r="E6" s="17"/>
      <c r="F6" s="17"/>
      <c r="G6" s="17"/>
      <c r="H6" s="17"/>
      <c r="I6" s="18"/>
      <c r="J6" s="31"/>
      <c r="K6" s="48"/>
      <c r="L6" t="s">
        <v>849</v>
      </c>
      <c r="M6"/>
      <c r="N6"/>
      <c r="O6"/>
      <c r="P6"/>
      <c r="Q6"/>
      <c r="R6"/>
      <c r="S6"/>
      <c r="T6"/>
      <c r="U6"/>
    </row>
    <row r="7" spans="1:21" ht="15.75" thickBot="1">
      <c r="A7" s="9">
        <f>INDEX('Point Grid'!$C$8:$I$54,MATCH($A$1,'Point Grid'!$A$8:$A$54,0),MATCH(A6,'Point Grid'!$C$7:$I$7,0))</f>
        <v>0.5</v>
      </c>
      <c r="B7" s="17" t="s">
        <v>843</v>
      </c>
      <c r="C7" s="17"/>
      <c r="D7" s="17"/>
      <c r="E7" s="17"/>
      <c r="F7" s="17"/>
      <c r="G7" s="17"/>
      <c r="H7" s="17"/>
      <c r="I7" s="18"/>
      <c r="J7" s="31"/>
      <c r="K7" s="48"/>
      <c r="L7" t="s">
        <v>850</v>
      </c>
      <c r="M7"/>
      <c r="N7"/>
      <c r="O7"/>
      <c r="P7"/>
      <c r="Q7"/>
      <c r="R7"/>
      <c r="S7"/>
      <c r="T7"/>
      <c r="U7"/>
    </row>
    <row r="8" spans="1:21" ht="15.75" thickBot="1">
      <c r="A8" s="5"/>
      <c r="B8" s="17"/>
      <c r="C8" s="28"/>
      <c r="D8" s="28"/>
      <c r="E8" s="28"/>
      <c r="F8" s="28"/>
      <c r="G8" s="28"/>
      <c r="H8" s="28"/>
      <c r="I8" s="18"/>
      <c r="J8" s="31"/>
      <c r="K8"/>
      <c r="L8" t="s">
        <v>851</v>
      </c>
      <c r="M8"/>
      <c r="N8"/>
      <c r="O8"/>
      <c r="P8"/>
      <c r="Q8"/>
      <c r="R8"/>
      <c r="S8"/>
      <c r="T8"/>
      <c r="U8"/>
    </row>
    <row r="9" spans="1:21">
      <c r="A9" s="25"/>
      <c r="B9" s="17"/>
      <c r="C9" s="758" t="s">
        <v>120</v>
      </c>
      <c r="D9" s="758" t="s">
        <v>839</v>
      </c>
      <c r="E9" s="758" t="s">
        <v>128</v>
      </c>
      <c r="F9" s="758" t="s">
        <v>839</v>
      </c>
      <c r="G9" s="758" t="s">
        <v>128</v>
      </c>
      <c r="H9" s="17"/>
      <c r="I9" s="18"/>
      <c r="J9" s="31"/>
      <c r="K9" s="48"/>
      <c r="L9" t="s">
        <v>854</v>
      </c>
      <c r="M9"/>
      <c r="N9"/>
      <c r="O9"/>
      <c r="P9"/>
      <c r="Q9"/>
      <c r="R9"/>
      <c r="S9"/>
    </row>
    <row r="10" spans="1:21" ht="15.75" thickBot="1">
      <c r="A10" s="25"/>
      <c r="B10" s="17"/>
      <c r="C10" s="759"/>
      <c r="D10" s="759" t="s">
        <v>840</v>
      </c>
      <c r="E10" s="759" t="s">
        <v>840</v>
      </c>
      <c r="F10" s="759" t="s">
        <v>841</v>
      </c>
      <c r="G10" s="759" t="s">
        <v>841</v>
      </c>
      <c r="H10" s="17"/>
      <c r="I10" s="18"/>
      <c r="J10" s="31"/>
      <c r="K10" s="48"/>
      <c r="L10" t="s">
        <v>855</v>
      </c>
      <c r="M10"/>
      <c r="N10"/>
      <c r="O10"/>
      <c r="P10"/>
      <c r="Q10"/>
      <c r="R10"/>
      <c r="S10"/>
    </row>
    <row r="11" spans="1:21" ht="15.75" thickBot="1">
      <c r="A11" s="25"/>
      <c r="B11" s="17"/>
      <c r="C11" s="760">
        <v>2020</v>
      </c>
      <c r="D11" s="761">
        <v>1000</v>
      </c>
      <c r="E11" s="761">
        <v>1000</v>
      </c>
      <c r="F11" s="761">
        <v>1000</v>
      </c>
      <c r="G11" s="761">
        <v>1000</v>
      </c>
      <c r="H11" s="17"/>
      <c r="I11" s="18"/>
      <c r="J11" s="31"/>
      <c r="K11" s="48"/>
      <c r="L11" t="s">
        <v>856</v>
      </c>
      <c r="M11"/>
      <c r="N11"/>
      <c r="O11"/>
      <c r="P11"/>
      <c r="Q11"/>
      <c r="R11"/>
      <c r="S11"/>
    </row>
    <row r="12" spans="1:21" ht="15.75" thickBot="1">
      <c r="A12" s="25"/>
      <c r="B12" s="17"/>
      <c r="C12" s="760">
        <v>2021</v>
      </c>
      <c r="D12" s="761">
        <v>1000</v>
      </c>
      <c r="E12" s="761">
        <v>1000</v>
      </c>
      <c r="F12" s="761">
        <v>1000</v>
      </c>
      <c r="G12" s="761">
        <v>1000</v>
      </c>
      <c r="H12" s="17"/>
      <c r="I12" s="18"/>
      <c r="J12" s="31"/>
      <c r="K12" s="48"/>
      <c r="L12"/>
      <c r="M12"/>
      <c r="N12"/>
      <c r="O12"/>
      <c r="P12"/>
      <c r="Q12"/>
      <c r="R12"/>
      <c r="S12"/>
    </row>
    <row r="13" spans="1:21" ht="15.75" thickBot="1">
      <c r="A13" s="25"/>
      <c r="B13" s="17"/>
      <c r="C13" s="760">
        <v>2022</v>
      </c>
      <c r="D13" s="761">
        <v>1000</v>
      </c>
      <c r="E13" s="761">
        <v>1000</v>
      </c>
      <c r="F13" s="761">
        <v>1000</v>
      </c>
      <c r="G13" s="761">
        <v>1000</v>
      </c>
      <c r="H13" s="17"/>
      <c r="I13" s="18"/>
      <c r="J13" s="31"/>
      <c r="K13" s="48" t="s">
        <v>3</v>
      </c>
      <c r="L13" t="s">
        <v>857</v>
      </c>
      <c r="M13"/>
      <c r="N13"/>
      <c r="O13"/>
      <c r="P13"/>
      <c r="Q13"/>
      <c r="R13"/>
      <c r="S13"/>
    </row>
    <row r="14" spans="1:21" ht="15.75" thickBot="1">
      <c r="A14" s="25"/>
      <c r="B14" s="17"/>
      <c r="C14" s="760">
        <v>2023</v>
      </c>
      <c r="D14" s="761">
        <v>1000</v>
      </c>
      <c r="E14" s="762">
        <v>1050</v>
      </c>
      <c r="F14" s="761">
        <v>1000</v>
      </c>
      <c r="G14" s="761">
        <v>1000</v>
      </c>
      <c r="H14" s="17"/>
      <c r="I14" s="18"/>
      <c r="J14" s="31"/>
      <c r="K14" s="48"/>
      <c r="L14" t="s">
        <v>858</v>
      </c>
      <c r="M14"/>
      <c r="N14"/>
      <c r="O14"/>
      <c r="P14"/>
      <c r="Q14"/>
      <c r="R14"/>
      <c r="S14"/>
    </row>
    <row r="15" spans="1:21" ht="15.75" thickBot="1">
      <c r="A15" s="25"/>
      <c r="B15" s="17"/>
      <c r="C15" s="760">
        <v>2024</v>
      </c>
      <c r="D15" s="761">
        <v>1000</v>
      </c>
      <c r="E15" s="762">
        <v>1125</v>
      </c>
      <c r="F15" s="761">
        <v>1000</v>
      </c>
      <c r="G15" s="761">
        <v>1000</v>
      </c>
      <c r="H15" s="17"/>
      <c r="I15" s="18"/>
      <c r="J15" s="31"/>
      <c r="K15" s="48"/>
      <c r="L15" t="s">
        <v>859</v>
      </c>
      <c r="M15"/>
      <c r="N15"/>
      <c r="O15"/>
      <c r="P15"/>
      <c r="Q15"/>
      <c r="R15"/>
      <c r="S15"/>
    </row>
    <row r="16" spans="1:21" ht="15.75" thickBot="1">
      <c r="A16" s="25"/>
      <c r="B16" s="17"/>
      <c r="C16" s="760">
        <v>2025</v>
      </c>
      <c r="D16" s="761">
        <v>1000</v>
      </c>
      <c r="E16" s="762">
        <v>1300</v>
      </c>
      <c r="F16" s="761">
        <v>1000</v>
      </c>
      <c r="G16" s="761">
        <v>1000</v>
      </c>
      <c r="H16" s="17"/>
      <c r="I16" s="18"/>
      <c r="J16" s="31"/>
      <c r="K16" s="48"/>
      <c r="L16" t="s">
        <v>860</v>
      </c>
      <c r="M16"/>
      <c r="N16"/>
      <c r="O16"/>
      <c r="P16"/>
      <c r="Q16"/>
      <c r="R16"/>
      <c r="S16"/>
    </row>
    <row r="17" spans="1:22">
      <c r="A17" s="25"/>
      <c r="B17" s="17"/>
      <c r="C17" s="17"/>
      <c r="D17" s="17"/>
      <c r="E17" s="17"/>
      <c r="F17" s="17"/>
      <c r="G17" s="17"/>
      <c r="H17" s="17"/>
      <c r="I17" s="18"/>
      <c r="J17" s="31"/>
      <c r="K17" s="48"/>
      <c r="L17" t="s">
        <v>861</v>
      </c>
      <c r="M17"/>
      <c r="N17"/>
      <c r="O17"/>
      <c r="P17"/>
      <c r="Q17"/>
      <c r="R17"/>
      <c r="S17"/>
    </row>
    <row r="18" spans="1:22">
      <c r="A18" s="25"/>
      <c r="B18" s="17" t="s">
        <v>845</v>
      </c>
      <c r="C18" s="17"/>
      <c r="D18" s="17"/>
      <c r="E18" s="17"/>
      <c r="F18" s="17"/>
      <c r="G18" s="17"/>
      <c r="H18" s="17"/>
      <c r="I18" s="18"/>
      <c r="J18" s="31"/>
      <c r="K18" s="48"/>
      <c r="L18" t="s">
        <v>863</v>
      </c>
      <c r="M18"/>
      <c r="N18"/>
      <c r="O18"/>
      <c r="P18"/>
      <c r="Q18"/>
      <c r="R18"/>
      <c r="S18"/>
    </row>
    <row r="19" spans="1:22">
      <c r="A19" s="25"/>
      <c r="B19" s="17" t="s">
        <v>844</v>
      </c>
      <c r="C19" s="17"/>
      <c r="D19" s="17"/>
      <c r="E19" s="17"/>
      <c r="F19" s="17"/>
      <c r="G19" s="17"/>
      <c r="H19" s="17"/>
      <c r="I19" s="18"/>
      <c r="J19" s="31"/>
      <c r="K19" s="48"/>
      <c r="L19" t="s">
        <v>862</v>
      </c>
      <c r="M19"/>
      <c r="N19"/>
      <c r="O19"/>
      <c r="P19"/>
      <c r="Q19"/>
      <c r="R19"/>
      <c r="S19"/>
    </row>
    <row r="20" spans="1:22">
      <c r="A20" s="25"/>
      <c r="B20" s="17"/>
      <c r="C20" s="17"/>
      <c r="D20" s="17"/>
      <c r="E20" s="17"/>
      <c r="F20" s="17"/>
      <c r="G20" s="17"/>
      <c r="H20" s="17"/>
      <c r="I20" s="18"/>
      <c r="J20" s="31"/>
      <c r="K20" s="48"/>
      <c r="L20"/>
      <c r="M20"/>
      <c r="N20"/>
      <c r="O20"/>
      <c r="P20"/>
      <c r="Q20"/>
      <c r="R20"/>
      <c r="S20"/>
    </row>
    <row r="21" spans="1:22">
      <c r="A21" s="25" t="s">
        <v>3</v>
      </c>
      <c r="B21" s="17" t="s">
        <v>852</v>
      </c>
      <c r="C21" s="17"/>
      <c r="D21" s="17"/>
      <c r="E21" s="17"/>
      <c r="F21" s="17"/>
      <c r="G21" s="17"/>
      <c r="H21" s="17"/>
      <c r="I21" s="18"/>
      <c r="J21" s="31"/>
      <c r="K21" s="48" t="s">
        <v>4</v>
      </c>
      <c r="L21" s="50" t="s">
        <v>81</v>
      </c>
      <c r="M21" t="s">
        <v>874</v>
      </c>
      <c r="N21"/>
      <c r="O21"/>
      <c r="P21"/>
      <c r="Q21"/>
      <c r="R21"/>
      <c r="S21"/>
      <c r="T21"/>
      <c r="U21"/>
    </row>
    <row r="22" spans="1:22" ht="15.75" thickBot="1">
      <c r="A22" s="9">
        <f>INDEX('Point Grid'!$C$8:$I$54,MATCH($A$1,'Point Grid'!$A$8:$A$54,0),MATCH(A21,'Point Grid'!$C$7:$I$7,0))</f>
        <v>0.5</v>
      </c>
      <c r="B22" s="17" t="s">
        <v>853</v>
      </c>
      <c r="C22" s="17"/>
      <c r="D22" s="17"/>
      <c r="E22" s="17"/>
      <c r="F22" s="17"/>
      <c r="G22" s="17"/>
      <c r="H22" s="17"/>
      <c r="I22" s="18"/>
      <c r="J22" s="31"/>
      <c r="K22"/>
      <c r="L22"/>
      <c r="M22" t="s">
        <v>872</v>
      </c>
      <c r="N22"/>
      <c r="O22"/>
      <c r="P22"/>
      <c r="Q22"/>
      <c r="R22"/>
      <c r="S22"/>
      <c r="T22"/>
      <c r="U22"/>
    </row>
    <row r="23" spans="1:22" ht="15.75" thickBot="1">
      <c r="A23" s="5"/>
      <c r="B23" s="17"/>
      <c r="C23" s="28"/>
      <c r="D23" s="28"/>
      <c r="E23" s="28"/>
      <c r="F23" s="28"/>
      <c r="G23" s="28"/>
      <c r="H23" s="28"/>
      <c r="I23" s="18"/>
      <c r="J23" s="31"/>
      <c r="K23"/>
      <c r="L23"/>
      <c r="M23" t="s">
        <v>873</v>
      </c>
      <c r="N23"/>
      <c r="O23"/>
      <c r="P23"/>
      <c r="Q23"/>
      <c r="R23"/>
      <c r="S23"/>
      <c r="T23"/>
      <c r="U23"/>
    </row>
    <row r="24" spans="1:22">
      <c r="A24" s="25"/>
      <c r="B24" s="17"/>
      <c r="C24" s="28"/>
      <c r="D24" s="28"/>
      <c r="E24" s="28"/>
      <c r="F24" s="28"/>
      <c r="G24" s="28"/>
      <c r="H24" s="28"/>
      <c r="I24" s="18"/>
      <c r="J24" s="31"/>
      <c r="K24" s="48"/>
      <c r="L24"/>
      <c r="M24"/>
      <c r="N24"/>
      <c r="O24"/>
      <c r="P24"/>
      <c r="Q24"/>
      <c r="R24"/>
      <c r="S24"/>
      <c r="T24"/>
      <c r="U24"/>
    </row>
    <row r="25" spans="1:22">
      <c r="A25" s="25" t="s">
        <v>4</v>
      </c>
      <c r="B25" s="17" t="s">
        <v>864</v>
      </c>
      <c r="C25" s="17"/>
      <c r="D25" s="17"/>
      <c r="E25" s="17"/>
      <c r="F25" s="17"/>
      <c r="G25" s="17"/>
      <c r="H25" s="17"/>
      <c r="I25" s="18"/>
      <c r="J25" s="31"/>
      <c r="K25"/>
      <c r="L25" s="48" t="s">
        <v>82</v>
      </c>
      <c r="M25" t="s">
        <v>875</v>
      </c>
      <c r="N25"/>
      <c r="O25"/>
      <c r="P25"/>
      <c r="Q25"/>
      <c r="R25"/>
      <c r="S25"/>
      <c r="T25"/>
      <c r="U25"/>
    </row>
    <row r="26" spans="1:22" ht="15.75" thickBot="1">
      <c r="A26" s="9">
        <f>INDEX('Point Grid'!$C$8:$I$54,MATCH($A$1,'Point Grid'!$A$8:$A$54,0),MATCH(A25,'Point Grid'!$C$7:$I$7,0))</f>
        <v>0.5</v>
      </c>
      <c r="B26" s="17"/>
      <c r="C26" s="17"/>
      <c r="D26" s="17"/>
      <c r="E26" s="17"/>
      <c r="F26" s="17"/>
      <c r="G26" s="17"/>
      <c r="H26" s="17"/>
      <c r="I26" s="18"/>
      <c r="J26" s="31"/>
      <c r="K26"/>
      <c r="L26"/>
      <c r="M26" t="s">
        <v>876</v>
      </c>
      <c r="N26"/>
      <c r="O26"/>
      <c r="P26"/>
      <c r="Q26"/>
      <c r="R26"/>
      <c r="S26"/>
      <c r="T26"/>
      <c r="U26"/>
    </row>
    <row r="27" spans="1:22" ht="15.75" thickBot="1">
      <c r="A27" s="5"/>
      <c r="B27" s="35" t="s">
        <v>374</v>
      </c>
      <c r="C27" s="17" t="s">
        <v>865</v>
      </c>
      <c r="D27" s="17"/>
      <c r="E27" s="17"/>
      <c r="F27" s="17"/>
      <c r="G27" s="17"/>
      <c r="H27" s="17"/>
      <c r="I27" s="18"/>
      <c r="J27" s="31"/>
      <c r="K27" s="48"/>
      <c r="L27" s="1"/>
      <c r="M27" t="s">
        <v>877</v>
      </c>
      <c r="N27"/>
      <c r="O27"/>
      <c r="P27"/>
      <c r="Q27"/>
      <c r="R27"/>
      <c r="S27"/>
      <c r="T27"/>
      <c r="U27"/>
    </row>
    <row r="28" spans="1:22">
      <c r="A28" s="22"/>
      <c r="B28" s="35" t="s">
        <v>374</v>
      </c>
      <c r="C28" s="17" t="s">
        <v>866</v>
      </c>
      <c r="D28" s="17"/>
      <c r="E28" s="17"/>
      <c r="F28" s="17"/>
      <c r="G28" s="17"/>
      <c r="H28" s="17"/>
      <c r="I28" s="18"/>
      <c r="J28" s="31"/>
      <c r="K28"/>
      <c r="L28"/>
      <c r="M28" t="s">
        <v>878</v>
      </c>
      <c r="N28"/>
      <c r="O28"/>
      <c r="P28"/>
      <c r="Q28"/>
      <c r="R28"/>
      <c r="S28"/>
      <c r="T28"/>
      <c r="U28"/>
    </row>
    <row r="29" spans="1:22">
      <c r="A29" s="22"/>
      <c r="B29" s="35"/>
      <c r="C29" s="17" t="s">
        <v>867</v>
      </c>
      <c r="D29" s="17"/>
      <c r="E29" s="17"/>
      <c r="F29" s="17"/>
      <c r="G29" s="17"/>
      <c r="H29" s="17"/>
      <c r="I29" s="18"/>
      <c r="J29" s="31"/>
      <c r="K29"/>
      <c r="L29"/>
      <c r="M29" t="s">
        <v>879</v>
      </c>
      <c r="N29"/>
      <c r="O29"/>
      <c r="P29"/>
      <c r="Q29"/>
      <c r="R29"/>
      <c r="S29"/>
      <c r="T29"/>
      <c r="U29"/>
    </row>
    <row r="30" spans="1:22">
      <c r="A30" s="22"/>
      <c r="B30" s="35" t="s">
        <v>374</v>
      </c>
      <c r="C30" s="17" t="s">
        <v>868</v>
      </c>
      <c r="D30" s="17"/>
      <c r="E30" s="17"/>
      <c r="F30" s="17"/>
      <c r="G30" s="17"/>
      <c r="H30" s="17"/>
      <c r="I30" s="18"/>
      <c r="J30" s="31"/>
      <c r="K30"/>
      <c r="L30"/>
      <c r="M30" t="s">
        <v>880</v>
      </c>
      <c r="N30"/>
      <c r="O30"/>
      <c r="P30"/>
      <c r="Q30"/>
      <c r="R30"/>
      <c r="S30"/>
      <c r="T30"/>
      <c r="U30"/>
    </row>
    <row r="31" spans="1:22">
      <c r="A31" s="22"/>
      <c r="B31" s="17"/>
      <c r="C31" s="17"/>
      <c r="D31" s="17"/>
      <c r="E31" s="17"/>
      <c r="F31" s="17"/>
      <c r="G31" s="17"/>
      <c r="H31" s="17"/>
      <c r="I31" s="18"/>
      <c r="J31" s="31"/>
      <c r="K31"/>
      <c r="L31"/>
      <c r="M31"/>
      <c r="N31"/>
      <c r="O31"/>
      <c r="P31"/>
      <c r="Q31"/>
      <c r="R31"/>
      <c r="S31"/>
      <c r="T31"/>
      <c r="U31"/>
    </row>
    <row r="32" spans="1:22">
      <c r="A32" s="22"/>
      <c r="B32" s="17" t="s">
        <v>869</v>
      </c>
      <c r="C32" s="17"/>
      <c r="D32" s="17"/>
      <c r="E32" s="17"/>
      <c r="F32" s="17"/>
      <c r="G32" s="17"/>
      <c r="H32" s="17"/>
      <c r="I32" s="18"/>
      <c r="J32" s="31"/>
      <c r="K32" s="48" t="s">
        <v>5</v>
      </c>
      <c r="L32" s="507" t="s">
        <v>169</v>
      </c>
      <c r="M32" s="122" t="s">
        <v>881</v>
      </c>
      <c r="N32" s="122"/>
      <c r="O32" s="122"/>
      <c r="P32" s="122"/>
      <c r="Q32" s="122"/>
      <c r="R32" s="122"/>
      <c r="S32" s="122"/>
      <c r="T32" s="122"/>
      <c r="U32" s="122"/>
      <c r="V32" s="122"/>
    </row>
    <row r="33" spans="1:22">
      <c r="A33" s="22"/>
      <c r="B33" s="17"/>
      <c r="C33" s="17"/>
      <c r="D33" s="17"/>
      <c r="E33" s="17"/>
      <c r="F33" s="17"/>
      <c r="G33" s="17"/>
      <c r="H33" s="17"/>
      <c r="I33" s="18"/>
      <c r="J33" s="31"/>
      <c r="K33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</row>
    <row r="34" spans="1:22">
      <c r="A34" s="22"/>
      <c r="B34" s="35" t="s">
        <v>81</v>
      </c>
      <c r="C34" s="17" t="s">
        <v>870</v>
      </c>
      <c r="D34" s="17"/>
      <c r="E34" s="17"/>
      <c r="F34" s="17"/>
      <c r="G34" s="17"/>
      <c r="H34" s="17"/>
      <c r="I34" s="18"/>
      <c r="J34" s="31"/>
      <c r="K34"/>
      <c r="L34" s="122"/>
      <c r="M34" s="51" t="s">
        <v>882</v>
      </c>
      <c r="N34" s="684">
        <f>E37</f>
        <v>48</v>
      </c>
      <c r="O34" s="323" t="s">
        <v>883</v>
      </c>
      <c r="P34" s="684">
        <f>G37</f>
        <v>60</v>
      </c>
      <c r="Q34" s="632" t="s">
        <v>884</v>
      </c>
      <c r="R34" s="632"/>
      <c r="S34" s="763"/>
      <c r="T34" s="389">
        <f>E42</f>
        <v>48</v>
      </c>
      <c r="U34" s="764" t="s">
        <v>883</v>
      </c>
      <c r="V34" s="389">
        <f>T34+12</f>
        <v>60</v>
      </c>
    </row>
    <row r="35" spans="1:22">
      <c r="A35" s="22"/>
      <c r="B35" s="35" t="s">
        <v>82</v>
      </c>
      <c r="C35" s="17" t="s">
        <v>871</v>
      </c>
      <c r="D35" s="17"/>
      <c r="E35" s="17"/>
      <c r="F35" s="17"/>
      <c r="G35" s="17"/>
      <c r="H35" s="17"/>
      <c r="I35" s="18"/>
      <c r="J35" s="31"/>
      <c r="K35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</row>
    <row r="36" spans="1:22">
      <c r="A36" s="22"/>
      <c r="B36" s="17"/>
      <c r="C36" s="17"/>
      <c r="D36" s="17"/>
      <c r="E36" s="17"/>
      <c r="F36" s="17"/>
      <c r="G36" s="17"/>
      <c r="H36" s="17"/>
      <c r="I36" s="18"/>
      <c r="J36" s="31"/>
      <c r="K36"/>
      <c r="L36" s="389" t="s">
        <v>174</v>
      </c>
      <c r="M36" s="122" t="s">
        <v>885</v>
      </c>
      <c r="N36" s="122"/>
      <c r="O36" s="122"/>
      <c r="P36" s="122"/>
      <c r="Q36" s="122"/>
      <c r="R36" s="122"/>
      <c r="S36" s="122"/>
      <c r="T36" s="122"/>
      <c r="U36" s="122"/>
      <c r="V36" s="122"/>
    </row>
    <row r="37" spans="1:22" ht="15" customHeight="1">
      <c r="A37" s="25" t="s">
        <v>5</v>
      </c>
      <c r="B37" s="231" t="s">
        <v>891</v>
      </c>
      <c r="C37" s="231"/>
      <c r="D37" s="655"/>
      <c r="E37" s="433">
        <v>48</v>
      </c>
      <c r="F37" s="328" t="s">
        <v>883</v>
      </c>
      <c r="G37" s="433">
        <v>60</v>
      </c>
      <c r="H37" s="154" t="s">
        <v>892</v>
      </c>
      <c r="I37" s="18"/>
      <c r="J37" s="31"/>
      <c r="K37"/>
      <c r="L37" s="122"/>
      <c r="M37" s="323"/>
      <c r="N37" s="122"/>
      <c r="O37" s="122"/>
      <c r="P37" s="122"/>
      <c r="Q37" s="122"/>
      <c r="R37" s="122"/>
      <c r="S37" s="122"/>
      <c r="T37" s="122"/>
      <c r="U37" s="122"/>
      <c r="V37" s="122"/>
    </row>
    <row r="38" spans="1:22" ht="15" customHeight="1" thickBot="1">
      <c r="A38" s="9">
        <f>INDEX('Point Grid'!$C$8:$I$54,MATCH($A$1,'Point Grid'!$A$8:$A$54,0),MATCH(A37,'Point Grid'!$C$7:$I$7,0))</f>
        <v>1.5</v>
      </c>
      <c r="B38" s="231"/>
      <c r="C38" s="231"/>
      <c r="D38" s="231"/>
      <c r="E38" s="231"/>
      <c r="F38" s="231"/>
      <c r="G38" s="231"/>
      <c r="H38" s="231"/>
      <c r="I38" s="18"/>
      <c r="J38" s="31"/>
      <c r="K38"/>
      <c r="L38" s="122"/>
      <c r="M38" s="765" t="s">
        <v>596</v>
      </c>
      <c r="N38"/>
      <c r="O38" s="323" t="s">
        <v>34</v>
      </c>
      <c r="P38" t="str">
        <f>"paid @"&amp;E42</f>
        <v>paid @48</v>
      </c>
      <c r="Q38" s="323" t="s">
        <v>363</v>
      </c>
      <c r="R38" s="51" t="str">
        <f>T34&amp; "-ultimate CDF"</f>
        <v>48-ultimate CDF</v>
      </c>
      <c r="S38"/>
      <c r="T38"/>
      <c r="U38" s="122"/>
      <c r="V38" s="122"/>
    </row>
    <row r="39" spans="1:22" ht="15" customHeight="1" thickBot="1">
      <c r="A39" s="5"/>
      <c r="B39" s="231"/>
      <c r="C39" s="231"/>
      <c r="D39" s="231"/>
      <c r="E39" s="231"/>
      <c r="F39" s="231"/>
      <c r="G39" s="231"/>
      <c r="H39" s="231"/>
      <c r="I39" s="18"/>
      <c r="J39" s="31"/>
      <c r="K39"/>
      <c r="L39" s="122"/>
      <c r="M39"/>
      <c r="N39"/>
      <c r="O39" s="323" t="s">
        <v>34</v>
      </c>
      <c r="P39" s="323">
        <f>G42</f>
        <v>4570</v>
      </c>
      <c r="Q39" s="323" t="s">
        <v>363</v>
      </c>
      <c r="R39" s="508">
        <f>VLOOKUP(E42,B44:E49,4,FALSE)</f>
        <v>1.04</v>
      </c>
      <c r="S39"/>
      <c r="T39"/>
      <c r="U39" s="122"/>
      <c r="V39" s="122"/>
    </row>
    <row r="40" spans="1:22" ht="15" customHeight="1">
      <c r="A40" s="22"/>
      <c r="B40" s="231" t="s">
        <v>886</v>
      </c>
      <c r="C40" s="231"/>
      <c r="D40" s="231"/>
      <c r="E40" s="231"/>
      <c r="F40" s="231"/>
      <c r="G40" s="231"/>
      <c r="H40" s="231"/>
      <c r="I40" s="18"/>
      <c r="J40" s="31"/>
      <c r="K40" s="37"/>
      <c r="L40"/>
      <c r="M40"/>
      <c r="N40"/>
      <c r="O40" s="323" t="s">
        <v>34</v>
      </c>
      <c r="P40" s="766">
        <f>ROUND(P39*R39,0)</f>
        <v>4753</v>
      </c>
      <c r="Q40"/>
      <c r="R40"/>
      <c r="S40"/>
      <c r="T40"/>
      <c r="U40"/>
      <c r="V40"/>
    </row>
    <row r="41" spans="1:22" ht="15" customHeight="1">
      <c r="A41" s="22"/>
      <c r="B41" s="520"/>
      <c r="C41" s="520"/>
      <c r="D41" s="520"/>
      <c r="E41" s="520"/>
      <c r="F41" s="520"/>
      <c r="G41" s="520"/>
      <c r="H41" s="520"/>
      <c r="I41" s="18"/>
      <c r="J41" s="31"/>
      <c r="K41" s="122"/>
      <c r="L41" s="122"/>
      <c r="M41"/>
      <c r="N41"/>
      <c r="O41"/>
      <c r="P41"/>
      <c r="Q41"/>
      <c r="R41"/>
      <c r="S41" s="323"/>
      <c r="T41"/>
      <c r="U41" s="122"/>
      <c r="V41" s="122"/>
    </row>
    <row r="42" spans="1:22" ht="15" customHeight="1">
      <c r="A42" s="22"/>
      <c r="B42" s="770" t="s">
        <v>645</v>
      </c>
      <c r="C42" s="771" t="s">
        <v>125</v>
      </c>
      <c r="D42" s="772" t="s">
        <v>391</v>
      </c>
      <c r="E42" s="774">
        <v>48</v>
      </c>
      <c r="F42" s="773" t="s">
        <v>223</v>
      </c>
      <c r="G42" s="775">
        <v>4570</v>
      </c>
      <c r="H42" s="75"/>
      <c r="I42" s="18"/>
      <c r="J42" s="31"/>
      <c r="K42" s="122"/>
      <c r="L42" s="122"/>
      <c r="M42" s="122" t="str">
        <f>"unpaid @ "&amp;E42</f>
        <v>unpaid @ 48</v>
      </c>
      <c r="N42"/>
      <c r="O42" s="323" t="s">
        <v>34</v>
      </c>
      <c r="P42" s="766" t="s">
        <v>596</v>
      </c>
      <c r="Q42" s="323" t="s">
        <v>189</v>
      </c>
      <c r="R42" s="48" t="str">
        <f>"paid @"&amp;E42</f>
        <v>paid @48</v>
      </c>
      <c r="S42" s="122"/>
      <c r="T42" s="122"/>
      <c r="U42" s="122"/>
      <c r="V42" s="122"/>
    </row>
    <row r="43" spans="1:22" ht="15" customHeight="1">
      <c r="A43" s="22"/>
      <c r="B43" s="231"/>
      <c r="C43" s="231"/>
      <c r="D43" s="231"/>
      <c r="E43" s="231"/>
      <c r="F43" s="231"/>
      <c r="G43" s="231"/>
      <c r="H43" s="231"/>
      <c r="I43" s="18"/>
      <c r="J43" s="31"/>
      <c r="L43" s="122"/>
      <c r="M43"/>
      <c r="N43"/>
      <c r="O43" s="323" t="s">
        <v>34</v>
      </c>
      <c r="P43" s="766">
        <f>P40</f>
        <v>4753</v>
      </c>
      <c r="Q43" s="323" t="s">
        <v>189</v>
      </c>
      <c r="R43" s="323">
        <f>G42</f>
        <v>4570</v>
      </c>
      <c r="S43" s="122"/>
      <c r="T43" s="122"/>
      <c r="U43" s="122"/>
      <c r="V43" s="122"/>
    </row>
    <row r="44" spans="1:22" ht="15" customHeight="1">
      <c r="A44" s="22"/>
      <c r="B44" s="512">
        <v>12</v>
      </c>
      <c r="C44" s="666" t="s">
        <v>735</v>
      </c>
      <c r="D44" s="515" t="s">
        <v>741</v>
      </c>
      <c r="E44" s="667">
        <v>2.56</v>
      </c>
      <c r="F44" s="75"/>
      <c r="G44" s="75"/>
      <c r="H44" s="231"/>
      <c r="I44" s="18"/>
      <c r="J44" s="31"/>
      <c r="L44" s="122"/>
      <c r="M44" s="122"/>
      <c r="N44" s="122"/>
      <c r="O44" s="323" t="s">
        <v>34</v>
      </c>
      <c r="P44" s="192">
        <f>P43-R43</f>
        <v>183</v>
      </c>
      <c r="Q44" s="323"/>
      <c r="R44" s="323"/>
      <c r="S44" s="122"/>
      <c r="T44" s="122"/>
      <c r="U44" s="122"/>
      <c r="V44" s="122"/>
    </row>
    <row r="45" spans="1:22" ht="15" customHeight="1">
      <c r="A45" s="22"/>
      <c r="B45" s="530">
        <v>24</v>
      </c>
      <c r="C45" s="668" t="s">
        <v>735</v>
      </c>
      <c r="D45" s="519" t="s">
        <v>741</v>
      </c>
      <c r="E45" s="669">
        <v>1.34</v>
      </c>
      <c r="F45" s="75"/>
      <c r="G45" s="75"/>
      <c r="H45" s="231"/>
      <c r="I45" s="18"/>
      <c r="J45" s="31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</row>
    <row r="46" spans="1:22" ht="15" customHeight="1">
      <c r="A46" s="22"/>
      <c r="B46" s="670">
        <v>36</v>
      </c>
      <c r="C46" s="671" t="s">
        <v>735</v>
      </c>
      <c r="D46" s="672" t="s">
        <v>741</v>
      </c>
      <c r="E46" s="673">
        <v>1.1000000000000001</v>
      </c>
      <c r="F46" s="75"/>
      <c r="G46" s="75"/>
      <c r="H46" s="231"/>
      <c r="I46" s="18"/>
      <c r="J46" s="31"/>
      <c r="L46" s="122"/>
      <c r="M46" s="305" t="str">
        <f>"%paid @ "&amp;E42</f>
        <v>%paid @ 48</v>
      </c>
      <c r="N46" s="122"/>
      <c r="O46" s="323" t="s">
        <v>34</v>
      </c>
      <c r="P46" s="323">
        <v>1</v>
      </c>
      <c r="Q46" s="426" t="s">
        <v>36</v>
      </c>
      <c r="R46" s="122" t="str">
        <f>T34&amp; "-ultimate CDF"</f>
        <v>48-ultimate CDF</v>
      </c>
      <c r="S46" s="122"/>
      <c r="T46" s="122"/>
      <c r="U46" s="122"/>
      <c r="V46" s="122"/>
    </row>
    <row r="47" spans="1:22" ht="15" customHeight="1">
      <c r="A47" s="22"/>
      <c r="B47" s="530">
        <v>48</v>
      </c>
      <c r="C47" s="668" t="s">
        <v>735</v>
      </c>
      <c r="D47" s="519" t="s">
        <v>741</v>
      </c>
      <c r="E47" s="669">
        <v>1.04</v>
      </c>
      <c r="F47" s="75"/>
      <c r="G47" s="75"/>
      <c r="H47" s="231"/>
      <c r="I47" s="18"/>
      <c r="J47" s="31"/>
      <c r="L47" s="122"/>
      <c r="M47" s="122"/>
      <c r="N47" s="122"/>
      <c r="O47" s="323" t="s">
        <v>34</v>
      </c>
      <c r="P47" s="323">
        <v>1</v>
      </c>
      <c r="Q47" s="426" t="s">
        <v>36</v>
      </c>
      <c r="R47" s="508">
        <f>R39</f>
        <v>1.04</v>
      </c>
      <c r="S47" s="122"/>
      <c r="T47" s="122"/>
      <c r="U47" s="122"/>
      <c r="V47" s="122"/>
    </row>
    <row r="48" spans="1:22" ht="15" customHeight="1">
      <c r="A48" s="22"/>
      <c r="B48" s="530">
        <v>60</v>
      </c>
      <c r="C48" s="668" t="s">
        <v>735</v>
      </c>
      <c r="D48" s="519" t="s">
        <v>741</v>
      </c>
      <c r="E48" s="669">
        <v>1.02</v>
      </c>
      <c r="F48" s="75"/>
      <c r="G48" s="75"/>
      <c r="H48" s="231"/>
      <c r="I48" s="18"/>
      <c r="J48" s="31"/>
      <c r="L48" s="122"/>
      <c r="M48" s="122"/>
      <c r="N48" s="122"/>
      <c r="O48" s="323" t="s">
        <v>34</v>
      </c>
      <c r="P48" s="767">
        <f>P47/R47</f>
        <v>0.96153846153846145</v>
      </c>
      <c r="Q48" s="122"/>
      <c r="R48" s="122"/>
      <c r="S48" s="122"/>
      <c r="T48" s="122"/>
      <c r="U48" s="122"/>
      <c r="V48" s="122"/>
    </row>
    <row r="49" spans="1:22" ht="15" customHeight="1">
      <c r="A49" s="22"/>
      <c r="B49" s="670">
        <v>72</v>
      </c>
      <c r="C49" s="671" t="s">
        <v>735</v>
      </c>
      <c r="D49" s="672" t="s">
        <v>741</v>
      </c>
      <c r="E49" s="673">
        <v>1.01</v>
      </c>
      <c r="F49" s="75"/>
      <c r="G49" s="75"/>
      <c r="H49" s="231"/>
      <c r="I49" s="18"/>
      <c r="J49" s="31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</row>
    <row r="50" spans="1:22" ht="15" customHeight="1">
      <c r="A50" s="22"/>
      <c r="B50" s="17"/>
      <c r="C50" s="17"/>
      <c r="D50" s="17"/>
      <c r="E50" s="17"/>
      <c r="F50" s="17"/>
      <c r="G50" s="17"/>
      <c r="H50" s="17"/>
      <c r="I50" s="18"/>
      <c r="J50" s="31"/>
      <c r="L50" s="122"/>
      <c r="M50" s="122" t="str">
        <f>"%paid @ "&amp;V34</f>
        <v>%paid @ 60</v>
      </c>
      <c r="N50" s="122"/>
      <c r="O50" s="323" t="s">
        <v>34</v>
      </c>
      <c r="P50" s="323">
        <v>1</v>
      </c>
      <c r="Q50" s="426" t="s">
        <v>36</v>
      </c>
      <c r="R50" s="122" t="str">
        <f>V34&amp; "-ultimate CDF"</f>
        <v>60-ultimate CDF</v>
      </c>
      <c r="S50" s="122"/>
      <c r="T50" s="122"/>
      <c r="U50" s="122"/>
      <c r="V50" s="122"/>
    </row>
    <row r="51" spans="1:22" ht="15" customHeight="1">
      <c r="A51" s="22"/>
      <c r="B51" s="17"/>
      <c r="C51" s="17"/>
      <c r="D51" s="17"/>
      <c r="E51" s="17"/>
      <c r="F51" s="17"/>
      <c r="G51" s="17"/>
      <c r="H51" s="17"/>
      <c r="I51" s="18"/>
      <c r="J51" s="31"/>
      <c r="L51" s="122"/>
      <c r="M51" s="122"/>
      <c r="N51" s="122"/>
      <c r="O51" s="323" t="s">
        <v>34</v>
      </c>
      <c r="P51" s="323">
        <v>1</v>
      </c>
      <c r="Q51" s="426" t="s">
        <v>36</v>
      </c>
      <c r="R51" s="508">
        <f>VLOOKUP(V34,B44:E49,4,FALSE)</f>
        <v>1.02</v>
      </c>
      <c r="S51" s="122"/>
      <c r="T51" s="122"/>
      <c r="U51" s="122"/>
      <c r="V51" s="122"/>
    </row>
    <row r="52" spans="1:22" ht="15" customHeight="1">
      <c r="A52" s="22"/>
      <c r="B52" s="17"/>
      <c r="C52" s="17"/>
      <c r="D52" s="17"/>
      <c r="E52" s="17"/>
      <c r="F52" s="17"/>
      <c r="G52" s="17"/>
      <c r="H52" s="17"/>
      <c r="I52" s="18"/>
      <c r="J52" s="31"/>
      <c r="L52" s="122"/>
      <c r="M52" s="122"/>
      <c r="N52" s="122"/>
      <c r="O52" s="323" t="s">
        <v>34</v>
      </c>
      <c r="P52" s="768">
        <f>P51/R51</f>
        <v>0.98039215686274506</v>
      </c>
      <c r="Q52" s="122"/>
      <c r="R52" s="122"/>
      <c r="S52" s="122"/>
      <c r="T52" s="122"/>
      <c r="U52" s="122"/>
      <c r="V52" s="122"/>
    </row>
    <row r="53" spans="1:22" ht="15" customHeight="1" thickBot="1">
      <c r="A53" s="24"/>
      <c r="B53" s="32"/>
      <c r="C53" s="32"/>
      <c r="D53" s="32"/>
      <c r="E53" s="32"/>
      <c r="F53" s="32"/>
      <c r="G53" s="32"/>
      <c r="H53" s="32"/>
      <c r="I53" s="33"/>
      <c r="J53" s="31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</row>
    <row r="54" spans="1:22" ht="15" customHeight="1">
      <c r="B54" s="31"/>
      <c r="C54" s="31"/>
      <c r="D54" s="31"/>
      <c r="E54" s="31"/>
      <c r="F54" s="31"/>
      <c r="G54" s="31"/>
      <c r="H54" s="31"/>
      <c r="I54" s="31"/>
      <c r="J54" s="31"/>
      <c r="L54" s="122"/>
      <c r="M54" s="414" t="str">
        <f>"%unpaid @ "&amp;E42</f>
        <v>%unpaid @ 48</v>
      </c>
      <c r="N54" s="122"/>
      <c r="O54" s="323" t="s">
        <v>34</v>
      </c>
      <c r="P54" s="323">
        <v>1</v>
      </c>
      <c r="Q54" s="426" t="s">
        <v>189</v>
      </c>
      <c r="R54" s="122" t="str">
        <f>"%paid @ "&amp;E42</f>
        <v>%paid @ 48</v>
      </c>
      <c r="S54" s="122"/>
      <c r="T54" s="122"/>
      <c r="U54" s="122"/>
      <c r="V54" s="122"/>
    </row>
    <row r="55" spans="1:22" ht="15" customHeight="1">
      <c r="J55" s="31"/>
      <c r="L55" s="122"/>
      <c r="M55" s="122"/>
      <c r="N55" s="122"/>
      <c r="O55" s="323" t="s">
        <v>34</v>
      </c>
      <c r="P55" s="323">
        <v>1</v>
      </c>
      <c r="Q55" s="426" t="s">
        <v>189</v>
      </c>
      <c r="R55" s="767">
        <f>P48</f>
        <v>0.96153846153846145</v>
      </c>
      <c r="S55" s="122"/>
      <c r="T55" s="122"/>
      <c r="U55" s="122"/>
      <c r="V55" s="122"/>
    </row>
    <row r="56" spans="1:22" ht="15" customHeight="1">
      <c r="J56" s="31"/>
      <c r="K56" s="122"/>
      <c r="L56" s="122"/>
      <c r="M56" s="122"/>
      <c r="N56" s="122"/>
      <c r="O56" s="323" t="s">
        <v>34</v>
      </c>
      <c r="P56" s="768">
        <f>P55-R55</f>
        <v>3.8461538461538547E-2</v>
      </c>
      <c r="Q56" s="122"/>
      <c r="R56" s="122"/>
      <c r="S56" s="122"/>
      <c r="T56" s="122"/>
      <c r="U56" s="122"/>
      <c r="V56" s="122"/>
    </row>
    <row r="57" spans="1:22" ht="15" customHeight="1">
      <c r="J57" s="31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</row>
    <row r="58" spans="1:22" ht="15" customHeight="1">
      <c r="J58" s="31"/>
      <c r="K58" s="122"/>
      <c r="L58" s="354" t="s">
        <v>395</v>
      </c>
      <c r="M58" s="122" t="s">
        <v>887</v>
      </c>
      <c r="N58" s="122"/>
      <c r="O58" s="122"/>
      <c r="P58" s="122"/>
      <c r="Q58" s="122"/>
      <c r="R58" s="122"/>
      <c r="S58" s="122"/>
      <c r="T58" s="122"/>
      <c r="U58" s="122"/>
      <c r="V58" s="122"/>
    </row>
    <row r="59" spans="1:22" ht="15" customHeight="1">
      <c r="J59" s="31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</row>
    <row r="60" spans="1:22" ht="15" customHeight="1">
      <c r="J60" s="31"/>
      <c r="K60" s="122"/>
      <c r="L60" s="122"/>
      <c r="M60" s="51" t="s">
        <v>888</v>
      </c>
      <c r="N60" s="122"/>
      <c r="O60" s="323" t="s">
        <v>34</v>
      </c>
      <c r="P60" s="122" t="str">
        <f>M42&amp;" x ( "&amp;M50&amp;" - "&amp;M46&amp;" )  /  ("&amp;M54&amp;" )"</f>
        <v>unpaid @ 48 x ( %paid @ 60 - %paid @ 48 )  /  (%unpaid @ 48 )</v>
      </c>
      <c r="Q60" s="122"/>
      <c r="R60" s="122"/>
      <c r="S60" s="122"/>
      <c r="T60" s="122"/>
      <c r="U60" s="122"/>
      <c r="V60" s="122"/>
    </row>
    <row r="61" spans="1:22" ht="15" customHeight="1">
      <c r="J61" s="31"/>
      <c r="K61" s="122"/>
      <c r="L61" s="122"/>
      <c r="M61" s="122"/>
      <c r="N61" s="122"/>
      <c r="O61" s="323" t="s">
        <v>34</v>
      </c>
      <c r="P61" s="323">
        <f>P44</f>
        <v>183</v>
      </c>
      <c r="Q61" s="506" t="s">
        <v>889</v>
      </c>
      <c r="R61" s="768">
        <f>P52</f>
        <v>0.98039215686274506</v>
      </c>
      <c r="S61" s="323" t="s">
        <v>189</v>
      </c>
      <c r="T61" s="767">
        <f>P48</f>
        <v>0.96153846153846145</v>
      </c>
      <c r="U61" s="122" t="s">
        <v>890</v>
      </c>
      <c r="V61" s="768">
        <f>P56</f>
        <v>3.8461538461538547E-2</v>
      </c>
    </row>
    <row r="62" spans="1:22" ht="15" customHeight="1">
      <c r="J62" s="31"/>
      <c r="K62" s="122"/>
      <c r="L62" s="122"/>
      <c r="M62" s="122"/>
      <c r="N62" s="122"/>
      <c r="O62" s="323" t="s">
        <v>34</v>
      </c>
      <c r="P62" s="769">
        <f>P61*(R61-T61)/V61</f>
        <v>89.705882352941188</v>
      </c>
      <c r="Q62" s="122"/>
      <c r="R62" s="122"/>
      <c r="S62" s="122"/>
      <c r="T62" s="122"/>
      <c r="U62" s="122"/>
      <c r="V62" s="122"/>
    </row>
    <row r="63" spans="1:22" ht="15" customHeight="1">
      <c r="J63" s="31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</row>
    <row r="64" spans="1:22" ht="15" customHeight="1">
      <c r="J64" s="31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</row>
    <row r="65" spans="10:22" ht="15" customHeight="1">
      <c r="J65" s="31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</row>
    <row r="66" spans="10:22" ht="15" customHeight="1">
      <c r="J66" s="31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</row>
    <row r="67" spans="10:22" ht="15" customHeight="1">
      <c r="J67" s="31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</row>
    <row r="68" spans="10:22" ht="15" customHeight="1">
      <c r="J68" s="31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</row>
    <row r="69" spans="10:22" ht="15" customHeight="1">
      <c r="J69" s="31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</row>
    <row r="70" spans="10:22" ht="15" customHeight="1">
      <c r="J70" s="31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92"/>
    </row>
    <row r="71" spans="10:22" ht="15" customHeight="1">
      <c r="J71" s="31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92"/>
    </row>
    <row r="72" spans="10:22" ht="15" customHeight="1">
      <c r="J72" s="31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92"/>
    </row>
    <row r="73" spans="10:22" ht="15" customHeight="1">
      <c r="J73" s="31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92"/>
    </row>
    <row r="74" spans="10:22" ht="15" customHeight="1">
      <c r="J74" s="31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92"/>
    </row>
    <row r="75" spans="10:22" ht="15" customHeight="1">
      <c r="J75" s="31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92"/>
    </row>
    <row r="76" spans="10:22" ht="15" customHeight="1">
      <c r="J76" s="31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92"/>
    </row>
    <row r="77" spans="10:22" ht="15" customHeight="1">
      <c r="J77" s="31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92"/>
    </row>
    <row r="78" spans="10:22" ht="15" customHeight="1">
      <c r="J78" s="31"/>
      <c r="K78"/>
      <c r="L78"/>
      <c r="M78"/>
      <c r="N78"/>
      <c r="O78"/>
      <c r="P78"/>
      <c r="Q78"/>
      <c r="R78"/>
      <c r="S78"/>
      <c r="T78"/>
      <c r="U78"/>
    </row>
    <row r="79" spans="10:22" ht="15" customHeight="1">
      <c r="J79" s="31"/>
      <c r="K79"/>
      <c r="L79"/>
      <c r="M79"/>
      <c r="N79"/>
      <c r="O79"/>
      <c r="P79"/>
      <c r="Q79"/>
      <c r="R79"/>
      <c r="S79"/>
      <c r="T79"/>
      <c r="U79"/>
    </row>
    <row r="80" spans="10:22" ht="15" customHeight="1">
      <c r="J80" s="31"/>
      <c r="K80"/>
      <c r="L80"/>
      <c r="M80"/>
      <c r="N80"/>
      <c r="O80"/>
      <c r="P80"/>
      <c r="Q80"/>
      <c r="R80"/>
      <c r="S80"/>
      <c r="T80"/>
      <c r="U80"/>
    </row>
    <row r="81" spans="2:21" ht="15" customHeight="1">
      <c r="J81" s="31"/>
      <c r="K81"/>
      <c r="L81"/>
      <c r="M81"/>
      <c r="N81"/>
      <c r="O81"/>
      <c r="P81"/>
      <c r="Q81"/>
      <c r="R81"/>
      <c r="S81"/>
      <c r="T81"/>
      <c r="U81"/>
    </row>
    <row r="82" spans="2:21" ht="15" customHeight="1">
      <c r="J82" s="31"/>
      <c r="K82"/>
      <c r="L82"/>
      <c r="M82"/>
      <c r="N82"/>
      <c r="O82"/>
      <c r="P82"/>
      <c r="Q82"/>
      <c r="R82"/>
      <c r="S82"/>
      <c r="T82"/>
      <c r="U82"/>
    </row>
    <row r="83" spans="2:21" ht="15" customHeight="1">
      <c r="J83" s="31"/>
      <c r="K83"/>
      <c r="L83"/>
      <c r="M83"/>
      <c r="N83"/>
      <c r="O83"/>
      <c r="P83"/>
      <c r="Q83"/>
      <c r="R83"/>
      <c r="S83"/>
      <c r="T83"/>
      <c r="U83"/>
    </row>
    <row r="84" spans="2:21" ht="15" customHeight="1">
      <c r="J84" s="31"/>
      <c r="K84"/>
      <c r="L84"/>
      <c r="M84"/>
      <c r="N84"/>
      <c r="O84"/>
      <c r="P84"/>
      <c r="Q84"/>
      <c r="R84"/>
      <c r="S84"/>
      <c r="T84"/>
      <c r="U84"/>
    </row>
    <row r="85" spans="2:21" ht="15" customHeight="1">
      <c r="B85" s="31"/>
      <c r="C85" s="31"/>
      <c r="D85" s="31"/>
      <c r="E85" s="31"/>
      <c r="F85" s="31"/>
      <c r="G85" s="31"/>
      <c r="H85" s="31"/>
      <c r="I85" s="31"/>
      <c r="J85" s="31"/>
      <c r="K85"/>
      <c r="L85"/>
      <c r="M85"/>
      <c r="N85"/>
      <c r="O85"/>
      <c r="P85"/>
      <c r="Q85"/>
      <c r="R85"/>
      <c r="S85"/>
      <c r="T85"/>
      <c r="U85"/>
    </row>
    <row r="86" spans="2:21" ht="15" customHeight="1">
      <c r="B86" s="31"/>
      <c r="C86" s="31"/>
      <c r="D86" s="31"/>
      <c r="E86" s="31"/>
      <c r="F86" s="31"/>
      <c r="G86" s="31"/>
      <c r="H86" s="31"/>
      <c r="I86" s="31"/>
      <c r="J86" s="31"/>
      <c r="K86"/>
      <c r="L86"/>
      <c r="M86"/>
      <c r="N86"/>
      <c r="O86"/>
      <c r="P86"/>
      <c r="Q86"/>
      <c r="R86"/>
      <c r="S86"/>
      <c r="T86"/>
      <c r="U86"/>
    </row>
    <row r="87" spans="2:21" ht="15" customHeight="1">
      <c r="B87" s="31"/>
      <c r="C87" s="31"/>
      <c r="D87" s="31"/>
      <c r="E87" s="31"/>
      <c r="F87" s="31"/>
      <c r="G87" s="31"/>
      <c r="H87" s="31"/>
      <c r="I87" s="31"/>
      <c r="J87" s="31"/>
      <c r="K87"/>
      <c r="L87"/>
      <c r="M87"/>
      <c r="N87"/>
      <c r="O87"/>
      <c r="P87"/>
      <c r="Q87"/>
      <c r="R87"/>
      <c r="S87"/>
      <c r="T87"/>
      <c r="U87"/>
    </row>
    <row r="88" spans="2:21" ht="15" customHeight="1">
      <c r="B88" s="31"/>
      <c r="C88" s="31"/>
      <c r="D88" s="31"/>
      <c r="E88" s="31"/>
      <c r="F88" s="31"/>
      <c r="G88" s="31"/>
      <c r="H88" s="31"/>
      <c r="I88" s="31"/>
      <c r="J88" s="31"/>
      <c r="K88"/>
      <c r="L88"/>
      <c r="M88"/>
      <c r="N88"/>
      <c r="O88"/>
      <c r="P88"/>
      <c r="Q88"/>
      <c r="R88"/>
      <c r="S88"/>
      <c r="T88"/>
      <c r="U88"/>
    </row>
    <row r="89" spans="2:21" ht="15" customHeight="1">
      <c r="B89" s="31"/>
      <c r="C89" s="31"/>
      <c r="D89" s="31"/>
      <c r="E89" s="31"/>
      <c r="F89" s="31"/>
      <c r="G89" s="31"/>
      <c r="H89" s="31"/>
      <c r="I89" s="31"/>
      <c r="J89" s="31"/>
      <c r="K89"/>
      <c r="L89"/>
      <c r="M89"/>
      <c r="N89"/>
      <c r="O89"/>
      <c r="P89"/>
      <c r="Q89"/>
      <c r="R89"/>
      <c r="S89"/>
      <c r="T89"/>
      <c r="U89"/>
    </row>
    <row r="90" spans="2:21" ht="15" customHeight="1">
      <c r="B90" s="31"/>
      <c r="C90" s="31"/>
      <c r="D90" s="31"/>
      <c r="E90" s="31"/>
      <c r="F90" s="31"/>
      <c r="G90" s="31"/>
      <c r="H90" s="31"/>
      <c r="I90" s="31"/>
      <c r="J90" s="31"/>
    </row>
    <row r="91" spans="2:21" ht="15" customHeight="1">
      <c r="B91" s="31"/>
      <c r="C91" s="31"/>
      <c r="D91" s="31"/>
      <c r="E91" s="31"/>
      <c r="F91" s="31"/>
      <c r="G91" s="31"/>
      <c r="H91" s="31"/>
      <c r="I91" s="31"/>
      <c r="J91" s="31"/>
    </row>
    <row r="92" spans="2:21" ht="15" customHeight="1">
      <c r="B92" s="31"/>
      <c r="C92" s="31"/>
      <c r="D92" s="31"/>
      <c r="E92" s="31"/>
      <c r="F92" s="31"/>
      <c r="G92" s="31"/>
      <c r="H92" s="31"/>
      <c r="I92" s="31"/>
      <c r="J92" s="31"/>
    </row>
    <row r="93" spans="2:21" ht="15" customHeight="1">
      <c r="B93" s="31"/>
      <c r="C93" s="31"/>
      <c r="D93" s="31"/>
      <c r="E93" s="31"/>
      <c r="F93" s="31"/>
      <c r="G93" s="31"/>
      <c r="H93" s="31"/>
      <c r="I93" s="31"/>
      <c r="J93" s="31"/>
    </row>
    <row r="94" spans="2:21" ht="15" customHeight="1">
      <c r="B94" s="31"/>
      <c r="C94" s="31"/>
      <c r="D94" s="31"/>
      <c r="E94" s="31"/>
      <c r="F94" s="31"/>
      <c r="G94" s="31"/>
      <c r="H94" s="31"/>
      <c r="I94" s="31"/>
      <c r="J94" s="31"/>
    </row>
    <row r="95" spans="2:21" ht="15" customHeight="1">
      <c r="B95" s="31"/>
      <c r="C95" s="31"/>
      <c r="D95" s="31"/>
      <c r="E95" s="31"/>
      <c r="F95" s="31"/>
      <c r="G95" s="31"/>
      <c r="H95" s="31"/>
      <c r="I95" s="31"/>
      <c r="J95" s="31"/>
    </row>
    <row r="96" spans="2:21" ht="15" customHeight="1">
      <c r="B96" s="31"/>
      <c r="C96" s="31"/>
      <c r="D96" s="31"/>
      <c r="E96" s="31"/>
      <c r="F96" s="31"/>
      <c r="G96" s="31"/>
      <c r="H96" s="31"/>
      <c r="I96" s="31"/>
      <c r="J96" s="31"/>
    </row>
    <row r="97" spans="2:10" ht="15" customHeight="1">
      <c r="B97" s="31"/>
      <c r="C97" s="31"/>
      <c r="D97" s="31"/>
      <c r="E97" s="31"/>
      <c r="F97" s="31"/>
      <c r="G97" s="31"/>
      <c r="H97" s="31"/>
      <c r="I97" s="31"/>
      <c r="J97" s="31"/>
    </row>
    <row r="98" spans="2:10" ht="15" customHeight="1">
      <c r="B98" s="31"/>
      <c r="C98" s="31"/>
      <c r="D98" s="31"/>
      <c r="E98" s="31"/>
      <c r="F98" s="31"/>
      <c r="G98" s="31"/>
      <c r="H98" s="31"/>
      <c r="I98" s="31"/>
      <c r="J98" s="31"/>
    </row>
    <row r="99" spans="2:10" ht="15" customHeight="1">
      <c r="B99" s="31"/>
      <c r="C99" s="31"/>
      <c r="D99" s="31"/>
      <c r="E99" s="31"/>
      <c r="F99" s="31"/>
      <c r="G99" s="31"/>
      <c r="H99" s="31"/>
      <c r="I99" s="31"/>
      <c r="J99" s="31"/>
    </row>
    <row r="100" spans="2:10" ht="15" customHeight="1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2:10" ht="15" customHeight="1">
      <c r="B101" s="31"/>
      <c r="C101" s="31"/>
      <c r="D101" s="31"/>
      <c r="E101" s="31"/>
      <c r="F101" s="31"/>
      <c r="G101" s="31"/>
      <c r="H101" s="31"/>
      <c r="I101" s="31"/>
      <c r="J101" s="31"/>
    </row>
    <row r="102" spans="2:10" ht="15" customHeight="1">
      <c r="B102" s="31"/>
      <c r="C102" s="31"/>
      <c r="D102" s="31"/>
      <c r="E102" s="31"/>
      <c r="F102" s="31"/>
      <c r="G102" s="31"/>
      <c r="H102" s="31"/>
      <c r="I102" s="31"/>
      <c r="J102" s="31"/>
    </row>
    <row r="103" spans="2:10" ht="15" customHeight="1">
      <c r="B103" s="31"/>
      <c r="C103" s="31"/>
      <c r="D103" s="31"/>
      <c r="E103" s="31"/>
      <c r="F103" s="31"/>
      <c r="G103" s="31"/>
      <c r="H103" s="31"/>
      <c r="I103" s="31"/>
      <c r="J103" s="31"/>
    </row>
    <row r="104" spans="2:10" ht="15" customHeight="1">
      <c r="B104" s="31"/>
      <c r="C104" s="31"/>
      <c r="D104" s="31"/>
      <c r="E104" s="31"/>
      <c r="F104" s="31"/>
      <c r="G104" s="31"/>
      <c r="H104" s="31"/>
      <c r="I104" s="31"/>
      <c r="J104" s="31"/>
    </row>
    <row r="105" spans="2:10" ht="15" customHeight="1">
      <c r="B105" s="31"/>
      <c r="C105" s="31"/>
      <c r="D105" s="31"/>
      <c r="E105" s="31"/>
      <c r="F105" s="31"/>
      <c r="G105" s="31"/>
      <c r="H105" s="31"/>
      <c r="I105" s="31"/>
      <c r="J105" s="31"/>
    </row>
    <row r="106" spans="2:10" ht="15" customHeight="1">
      <c r="B106" s="31"/>
      <c r="C106" s="31"/>
      <c r="D106" s="31"/>
      <c r="E106" s="31"/>
      <c r="F106" s="31"/>
      <c r="G106" s="31"/>
      <c r="H106" s="31"/>
      <c r="I106" s="31"/>
      <c r="J106" s="31"/>
    </row>
    <row r="107" spans="2:10" ht="15" customHeight="1">
      <c r="B107" s="31"/>
      <c r="C107" s="31"/>
      <c r="D107" s="31"/>
      <c r="E107" s="31"/>
      <c r="F107" s="31"/>
      <c r="G107" s="31"/>
      <c r="H107" s="31"/>
      <c r="I107" s="31"/>
      <c r="J107" s="31"/>
    </row>
    <row r="108" spans="2:10" ht="15" customHeight="1">
      <c r="B108" s="31"/>
      <c r="C108" s="31"/>
      <c r="D108" s="31"/>
      <c r="E108" s="31"/>
      <c r="F108" s="31"/>
      <c r="G108" s="31"/>
      <c r="H108" s="31"/>
      <c r="I108" s="31"/>
      <c r="J108" s="31"/>
    </row>
    <row r="109" spans="2:10" ht="15" customHeight="1">
      <c r="B109" s="31"/>
      <c r="C109" s="31"/>
      <c r="D109" s="31"/>
      <c r="E109" s="31"/>
      <c r="F109" s="31"/>
      <c r="G109" s="31"/>
      <c r="H109" s="31"/>
      <c r="I109" s="31"/>
      <c r="J109" s="31"/>
    </row>
    <row r="110" spans="2:10" ht="15" customHeight="1">
      <c r="B110" s="31"/>
      <c r="C110" s="31"/>
      <c r="D110" s="31"/>
      <c r="E110" s="31"/>
      <c r="F110" s="31"/>
      <c r="G110" s="31"/>
      <c r="H110" s="31"/>
      <c r="I110" s="31"/>
      <c r="J110" s="31"/>
    </row>
    <row r="111" spans="2:10" ht="15" customHeight="1">
      <c r="B111" s="31"/>
      <c r="C111" s="31"/>
      <c r="D111" s="31"/>
      <c r="E111" s="31"/>
      <c r="F111" s="31"/>
      <c r="G111" s="31"/>
      <c r="H111" s="31"/>
      <c r="I111" s="31"/>
      <c r="J111" s="31"/>
    </row>
    <row r="112" spans="2:10" ht="15" customHeight="1">
      <c r="B112" s="31"/>
      <c r="C112" s="31"/>
      <c r="D112" s="31"/>
      <c r="E112" s="31"/>
      <c r="F112" s="31"/>
      <c r="G112" s="31"/>
      <c r="H112" s="31"/>
      <c r="I112" s="31"/>
      <c r="J112" s="31"/>
    </row>
    <row r="113" spans="2:10" ht="15" customHeight="1">
      <c r="B113" s="31"/>
      <c r="C113" s="31"/>
      <c r="D113" s="31"/>
      <c r="E113" s="31"/>
      <c r="F113" s="31"/>
      <c r="G113" s="31"/>
      <c r="H113" s="31"/>
      <c r="I113" s="31"/>
      <c r="J113" s="31"/>
    </row>
    <row r="114" spans="2:10" ht="15" customHeight="1">
      <c r="B114" s="31"/>
      <c r="C114" s="31"/>
      <c r="D114" s="31"/>
      <c r="E114" s="31"/>
      <c r="F114" s="31"/>
      <c r="G114" s="31"/>
      <c r="H114" s="31"/>
      <c r="I114" s="31"/>
      <c r="J114" s="31"/>
    </row>
    <row r="115" spans="2:10" ht="15" customHeight="1">
      <c r="B115" s="31"/>
      <c r="C115" s="31"/>
      <c r="D115" s="31"/>
      <c r="E115" s="31"/>
      <c r="F115" s="31"/>
      <c r="G115" s="31"/>
      <c r="H115" s="31"/>
      <c r="I115" s="31"/>
      <c r="J115" s="31"/>
    </row>
    <row r="116" spans="2:10" ht="15" customHeight="1">
      <c r="B116" s="31"/>
      <c r="C116" s="31"/>
      <c r="D116" s="31"/>
      <c r="E116" s="31"/>
      <c r="F116" s="31"/>
      <c r="G116" s="31"/>
      <c r="H116" s="31"/>
      <c r="I116" s="31"/>
      <c r="J116" s="31"/>
    </row>
    <row r="117" spans="2:10" ht="15" customHeight="1">
      <c r="B117" s="31"/>
      <c r="C117" s="31"/>
      <c r="D117" s="31"/>
      <c r="E117" s="31"/>
      <c r="F117" s="31"/>
      <c r="G117" s="31"/>
      <c r="H117" s="31"/>
      <c r="I117" s="31"/>
      <c r="J117" s="31"/>
    </row>
    <row r="118" spans="2:10" ht="15" customHeight="1">
      <c r="B118" s="31"/>
      <c r="C118" s="31"/>
      <c r="D118" s="31"/>
      <c r="E118" s="31"/>
      <c r="F118" s="31"/>
      <c r="G118" s="31"/>
      <c r="H118" s="31"/>
      <c r="I118" s="31"/>
      <c r="J118" s="31"/>
    </row>
    <row r="119" spans="2:10" ht="15" customHeight="1">
      <c r="B119" s="31"/>
      <c r="C119" s="31"/>
      <c r="D119" s="31"/>
      <c r="E119" s="31"/>
      <c r="F119" s="31"/>
      <c r="G119" s="31"/>
      <c r="H119" s="31"/>
      <c r="I119" s="31"/>
      <c r="J119" s="31"/>
    </row>
    <row r="120" spans="2:10" ht="15" customHeight="1">
      <c r="B120" s="31"/>
      <c r="C120" s="31"/>
      <c r="D120" s="31"/>
      <c r="E120" s="31"/>
      <c r="F120" s="31"/>
      <c r="G120" s="31"/>
      <c r="H120" s="31"/>
      <c r="I120" s="31"/>
      <c r="J120" s="31"/>
    </row>
    <row r="121" spans="2:10" ht="15" customHeight="1">
      <c r="B121" s="31"/>
      <c r="C121" s="31"/>
      <c r="D121" s="31"/>
      <c r="E121" s="31"/>
      <c r="F121" s="31"/>
      <c r="G121" s="31"/>
      <c r="H121" s="31"/>
      <c r="I121" s="31"/>
      <c r="J121" s="31"/>
    </row>
    <row r="122" spans="2:10" ht="15" customHeight="1">
      <c r="B122" s="31"/>
      <c r="C122" s="31"/>
      <c r="D122" s="31"/>
      <c r="E122" s="31"/>
      <c r="F122" s="31"/>
      <c r="G122" s="31"/>
      <c r="H122" s="31"/>
      <c r="I122" s="31"/>
      <c r="J122" s="31"/>
    </row>
    <row r="123" spans="2:10" ht="15" customHeight="1">
      <c r="B123" s="31"/>
      <c r="C123" s="31"/>
      <c r="D123" s="31"/>
      <c r="E123" s="31"/>
      <c r="F123" s="31"/>
      <c r="G123" s="31"/>
      <c r="H123" s="31"/>
      <c r="I123" s="31"/>
      <c r="J123" s="31"/>
    </row>
    <row r="124" spans="2:10" ht="15" customHeight="1">
      <c r="B124" s="31"/>
      <c r="C124" s="31"/>
      <c r="D124" s="31"/>
      <c r="E124" s="31"/>
      <c r="F124" s="31"/>
      <c r="G124" s="31"/>
      <c r="H124" s="31"/>
      <c r="I124" s="31"/>
      <c r="J124" s="31"/>
    </row>
    <row r="125" spans="2:10" ht="15" customHeight="1">
      <c r="B125" s="31"/>
      <c r="C125" s="31"/>
      <c r="D125" s="31"/>
      <c r="E125" s="31"/>
      <c r="F125" s="31"/>
      <c r="G125" s="31"/>
      <c r="H125" s="31"/>
      <c r="I125" s="31"/>
      <c r="J125" s="31"/>
    </row>
    <row r="126" spans="2:10" ht="15" customHeight="1">
      <c r="B126" s="31"/>
      <c r="C126" s="31"/>
      <c r="D126" s="31"/>
      <c r="E126" s="31"/>
      <c r="F126" s="31"/>
      <c r="G126" s="31"/>
      <c r="H126" s="31"/>
      <c r="I126" s="31"/>
      <c r="J126" s="31"/>
    </row>
    <row r="127" spans="2:10" ht="15" customHeight="1">
      <c r="B127" s="31"/>
      <c r="C127" s="31"/>
      <c r="D127" s="31"/>
      <c r="E127" s="31"/>
      <c r="F127" s="31"/>
      <c r="G127" s="31"/>
      <c r="H127" s="31"/>
      <c r="I127" s="31"/>
      <c r="J127" s="31"/>
    </row>
    <row r="128" spans="2:10" ht="15" customHeight="1">
      <c r="B128" s="31"/>
      <c r="C128" s="31"/>
      <c r="D128" s="31"/>
      <c r="E128" s="31"/>
      <c r="F128" s="31"/>
      <c r="G128" s="31"/>
      <c r="H128" s="31"/>
      <c r="I128" s="31"/>
      <c r="J128" s="31"/>
    </row>
    <row r="129" spans="2:10" ht="15" customHeight="1">
      <c r="B129" s="31"/>
      <c r="C129" s="31"/>
      <c r="D129" s="31"/>
      <c r="E129" s="31"/>
      <c r="F129" s="31"/>
      <c r="G129" s="31"/>
      <c r="H129" s="31"/>
      <c r="I129" s="31"/>
      <c r="J129" s="31"/>
    </row>
    <row r="130" spans="2:10" ht="15" customHeight="1">
      <c r="B130" s="31"/>
      <c r="C130" s="31"/>
      <c r="D130" s="31"/>
      <c r="E130" s="31"/>
      <c r="F130" s="31"/>
      <c r="G130" s="31"/>
      <c r="H130" s="31"/>
      <c r="I130" s="31"/>
      <c r="J130" s="31"/>
    </row>
    <row r="131" spans="2:10" ht="15" customHeight="1">
      <c r="B131" s="31"/>
      <c r="C131" s="31"/>
      <c r="D131" s="31"/>
      <c r="E131" s="31"/>
      <c r="F131" s="31"/>
      <c r="G131" s="31"/>
      <c r="H131" s="31"/>
      <c r="I131" s="31"/>
      <c r="J131" s="31"/>
    </row>
    <row r="132" spans="2:10" ht="15" customHeight="1">
      <c r="B132" s="31"/>
      <c r="C132" s="31"/>
      <c r="D132" s="31"/>
      <c r="E132" s="31"/>
      <c r="F132" s="31"/>
      <c r="G132" s="31"/>
      <c r="H132" s="31"/>
      <c r="I132" s="31"/>
      <c r="J132" s="31"/>
    </row>
    <row r="133" spans="2:10" ht="15" customHeight="1">
      <c r="B133" s="31"/>
      <c r="C133" s="31"/>
      <c r="D133" s="31"/>
      <c r="E133" s="31"/>
      <c r="F133" s="31"/>
      <c r="G133" s="31"/>
      <c r="H133" s="31"/>
      <c r="I133" s="31"/>
      <c r="J133" s="31"/>
    </row>
    <row r="134" spans="2:10" ht="15" customHeight="1">
      <c r="B134" s="31"/>
      <c r="C134" s="31"/>
      <c r="D134" s="31"/>
      <c r="E134" s="31"/>
      <c r="F134" s="31"/>
      <c r="G134" s="31"/>
      <c r="H134" s="31"/>
      <c r="I134" s="31"/>
      <c r="J134" s="31"/>
    </row>
    <row r="135" spans="2:10" ht="15" customHeight="1">
      <c r="B135" s="31"/>
      <c r="C135" s="31"/>
      <c r="D135" s="31"/>
      <c r="E135" s="31"/>
      <c r="F135" s="31"/>
      <c r="G135" s="31"/>
      <c r="H135" s="31"/>
      <c r="I135" s="31"/>
      <c r="J135" s="31"/>
    </row>
    <row r="136" spans="2:10" ht="15" customHeight="1">
      <c r="B136" s="31"/>
      <c r="C136" s="31"/>
      <c r="D136" s="31"/>
      <c r="E136" s="31"/>
      <c r="F136" s="31"/>
      <c r="G136" s="31"/>
      <c r="H136" s="31"/>
      <c r="I136" s="31"/>
      <c r="J136" s="31"/>
    </row>
    <row r="137" spans="2:10" ht="15" customHeight="1">
      <c r="B137" s="31"/>
      <c r="C137" s="31"/>
      <c r="D137" s="31"/>
      <c r="E137" s="31"/>
      <c r="F137" s="31"/>
      <c r="G137" s="31"/>
      <c r="H137" s="31"/>
      <c r="I137" s="31"/>
      <c r="J137" s="31"/>
    </row>
    <row r="138" spans="2:10" ht="15" customHeight="1">
      <c r="B138" s="31"/>
      <c r="C138" s="31"/>
      <c r="D138" s="31"/>
      <c r="E138" s="31"/>
      <c r="F138" s="31"/>
      <c r="G138" s="31"/>
      <c r="H138" s="31"/>
      <c r="I138" s="31"/>
      <c r="J138" s="31"/>
    </row>
    <row r="139" spans="2:10" ht="15" customHeight="1">
      <c r="B139" s="31"/>
      <c r="C139" s="31"/>
      <c r="D139" s="31"/>
      <c r="E139" s="31"/>
      <c r="F139" s="31"/>
      <c r="G139" s="31"/>
      <c r="H139" s="31"/>
      <c r="I139" s="31"/>
      <c r="J139" s="31"/>
    </row>
    <row r="140" spans="2:10" ht="15" customHeight="1">
      <c r="B140" s="31"/>
      <c r="C140" s="31"/>
      <c r="D140" s="31"/>
      <c r="E140" s="31"/>
      <c r="F140" s="31"/>
      <c r="G140" s="31"/>
      <c r="H140" s="31"/>
      <c r="I140" s="31"/>
      <c r="J140" s="31"/>
    </row>
  </sheetData>
  <mergeCells count="1">
    <mergeCell ref="H1:I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O109"/>
  <sheetViews>
    <sheetView workbookViewId="0"/>
  </sheetViews>
  <sheetFormatPr defaultColWidth="9.140625" defaultRowHeight="15"/>
  <cols>
    <col min="1" max="1" width="9.140625" style="21"/>
    <col min="2" max="2" width="16" style="21" customWidth="1"/>
    <col min="3" max="12" width="8.7109375" style="21" customWidth="1"/>
    <col min="13" max="14" width="11.140625" style="21" customWidth="1"/>
    <col min="15" max="16384" width="9.140625" style="21"/>
  </cols>
  <sheetData>
    <row r="1" spans="1:27">
      <c r="A1" s="7">
        <v>29</v>
      </c>
      <c r="B1" s="27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854" t="s">
        <v>24</v>
      </c>
      <c r="N1" s="855"/>
      <c r="P1" s="1" t="s">
        <v>33</v>
      </c>
      <c r="Q1" s="52" t="str">
        <f>VLOOKUP(A1,'Point Grid'!$L$8:$T$54,9,FALSE)</f>
        <v>Reserving - Chap 16: ALAE</v>
      </c>
      <c r="R1"/>
      <c r="S1"/>
      <c r="T1"/>
      <c r="U1"/>
      <c r="V1"/>
      <c r="W1"/>
      <c r="X1"/>
      <c r="Y1"/>
      <c r="Z1"/>
    </row>
    <row r="2" spans="1:27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3"/>
      <c r="P2" s="1"/>
      <c r="Q2"/>
      <c r="R2"/>
      <c r="S2"/>
      <c r="T2"/>
      <c r="U2"/>
      <c r="V2"/>
      <c r="W2"/>
      <c r="X2"/>
      <c r="Y2"/>
      <c r="Z2"/>
    </row>
    <row r="3" spans="1:27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  <c r="O3" s="31"/>
      <c r="P3" s="48" t="s">
        <v>2</v>
      </c>
      <c r="Q3" s="196" t="s">
        <v>893</v>
      </c>
      <c r="R3" t="s">
        <v>894</v>
      </c>
      <c r="S3" s="37"/>
      <c r="T3" s="37"/>
      <c r="U3" s="37"/>
      <c r="V3" s="37"/>
      <c r="W3" s="37"/>
      <c r="X3" s="37"/>
      <c r="Y3" s="37"/>
      <c r="Z3" s="37"/>
      <c r="AA3" s="37"/>
    </row>
    <row r="4" spans="1:27">
      <c r="A4" s="9">
        <f>INDEX('Point Grid'!B:B,MATCH(A1,'Point Grid'!A:A,0))</f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  <c r="O4" s="31"/>
      <c r="P4" s="48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27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  <c r="O5" s="31"/>
      <c r="P5" s="48"/>
      <c r="Q5" s="37"/>
      <c r="R5" s="538" t="s">
        <v>120</v>
      </c>
      <c r="S5" s="77">
        <v>12</v>
      </c>
      <c r="T5" s="77">
        <v>24</v>
      </c>
      <c r="U5" s="77">
        <v>36</v>
      </c>
      <c r="V5" s="77">
        <v>48</v>
      </c>
      <c r="W5" s="266"/>
      <c r="X5"/>
      <c r="Y5"/>
      <c r="Z5" s="158"/>
      <c r="AA5" s="158"/>
    </row>
    <row r="6" spans="1:27">
      <c r="A6" s="25" t="s">
        <v>2</v>
      </c>
      <c r="B6" s="812" t="s">
        <v>964</v>
      </c>
      <c r="C6" s="824" t="s">
        <v>896</v>
      </c>
      <c r="D6" s="825"/>
      <c r="E6" s="811" t="s">
        <v>897</v>
      </c>
      <c r="F6" s="811"/>
      <c r="G6" s="811"/>
      <c r="H6" s="826" t="s">
        <v>596</v>
      </c>
      <c r="I6" s="812" t="s">
        <v>898</v>
      </c>
      <c r="J6" s="811" t="s">
        <v>626</v>
      </c>
      <c r="K6" s="826">
        <f>B22</f>
        <v>2023</v>
      </c>
      <c r="L6" s="75"/>
      <c r="M6" s="17"/>
      <c r="N6" s="18"/>
      <c r="O6" s="31"/>
      <c r="P6" s="48"/>
      <c r="Q6" s="37"/>
      <c r="R6" s="776">
        <f>R7-1</f>
        <v>2020</v>
      </c>
      <c r="S6" s="777">
        <f>ROUND(I11/C11,4)</f>
        <v>2.4E-2</v>
      </c>
      <c r="T6" s="777">
        <f>ROUND(J11/D11,4)</f>
        <v>3.1300000000000001E-2</v>
      </c>
      <c r="U6" s="777">
        <f>ROUND(K11/E11,4)</f>
        <v>3.3000000000000002E-2</v>
      </c>
      <c r="V6" s="778">
        <f>ROUND(L11/F11,4)</f>
        <v>3.4299999999999997E-2</v>
      </c>
      <c r="W6"/>
      <c r="X6"/>
      <c r="Y6"/>
      <c r="Z6" s="158"/>
      <c r="AA6" s="158"/>
    </row>
    <row r="7" spans="1:27" ht="15.75" thickBot="1">
      <c r="A7" s="9">
        <f>INDEX('Point Grid'!$C$8:$I$54,MATCH($A$1,'Point Grid'!$A$8:$A$54,0),MATCH(A6,'Point Grid'!$C$7:$I$7,0))</f>
        <v>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17"/>
      <c r="N7" s="18"/>
      <c r="O7" s="31"/>
      <c r="P7" s="48"/>
      <c r="Q7" s="37"/>
      <c r="R7" s="776">
        <f>R8-1</f>
        <v>2021</v>
      </c>
      <c r="S7" s="777">
        <f>ROUND(I12/C12,4)</f>
        <v>2.1999999999999999E-2</v>
      </c>
      <c r="T7" s="777">
        <f>ROUND(J12/D12,4)</f>
        <v>2.7400000000000001E-2</v>
      </c>
      <c r="U7" s="778">
        <f>ROUND(K12/E12,4)</f>
        <v>2.92E-2</v>
      </c>
      <c r="V7" s="777"/>
      <c r="W7"/>
      <c r="X7"/>
      <c r="Y7"/>
      <c r="Z7"/>
      <c r="AA7" s="158"/>
    </row>
    <row r="8" spans="1:27" ht="15.75" thickBot="1">
      <c r="A8" s="5"/>
      <c r="B8" s="75" t="s">
        <v>899</v>
      </c>
      <c r="C8" s="75"/>
      <c r="D8" s="75"/>
      <c r="E8" s="75"/>
      <c r="F8" s="75"/>
      <c r="G8" s="75"/>
      <c r="H8" s="75" t="s">
        <v>900</v>
      </c>
      <c r="I8" s="75"/>
      <c r="J8" s="75"/>
      <c r="K8" s="75"/>
      <c r="L8" s="75"/>
      <c r="M8" s="28"/>
      <c r="N8" s="18"/>
      <c r="O8" s="31"/>
      <c r="P8"/>
      <c r="Q8" s="37"/>
      <c r="R8" s="776">
        <f>R9-1</f>
        <v>2022</v>
      </c>
      <c r="S8" s="777">
        <f>ROUND(I13/C13,4)</f>
        <v>2.1000000000000001E-2</v>
      </c>
      <c r="T8" s="778">
        <f>ROUND(J13/D13,4)</f>
        <v>2.7400000000000001E-2</v>
      </c>
      <c r="U8" s="777"/>
      <c r="V8" s="777"/>
      <c r="W8"/>
      <c r="X8"/>
      <c r="Y8"/>
      <c r="Z8"/>
      <c r="AA8" s="158"/>
    </row>
    <row r="9" spans="1:27">
      <c r="A9" s="2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17"/>
      <c r="N9" s="18"/>
      <c r="O9" s="31"/>
      <c r="P9" s="48"/>
      <c r="Q9" s="37"/>
      <c r="R9" s="776">
        <f>B14</f>
        <v>2023</v>
      </c>
      <c r="S9" s="778">
        <f>ROUND(I14/C14,4)</f>
        <v>2.5899999999999999E-2</v>
      </c>
      <c r="T9" s="777"/>
      <c r="U9" s="777"/>
      <c r="V9" s="777"/>
      <c r="W9" s="37"/>
      <c r="X9" s="37"/>
      <c r="Y9" s="37"/>
      <c r="Z9"/>
      <c r="AA9" s="37"/>
    </row>
    <row r="10" spans="1:27">
      <c r="A10" s="25"/>
      <c r="B10" s="813" t="s">
        <v>120</v>
      </c>
      <c r="C10" s="420">
        <v>12</v>
      </c>
      <c r="D10" s="420">
        <v>24</v>
      </c>
      <c r="E10" s="420">
        <v>36</v>
      </c>
      <c r="F10" s="420">
        <v>48</v>
      </c>
      <c r="G10" s="75"/>
      <c r="H10" s="813" t="s">
        <v>120</v>
      </c>
      <c r="I10" s="420">
        <v>12</v>
      </c>
      <c r="J10" s="420">
        <v>24</v>
      </c>
      <c r="K10" s="420">
        <v>36</v>
      </c>
      <c r="L10" s="420">
        <v>48</v>
      </c>
      <c r="M10" s="17"/>
      <c r="N10" s="18"/>
      <c r="O10" s="31"/>
      <c r="P10" s="48"/>
      <c r="Q10" s="37"/>
      <c r="R10" s="37"/>
      <c r="S10" s="37"/>
      <c r="T10" s="37"/>
      <c r="U10" s="37"/>
      <c r="V10" s="37"/>
      <c r="W10" s="37"/>
      <c r="X10" s="37"/>
      <c r="Y10" s="37"/>
      <c r="Z10"/>
      <c r="AA10" s="37"/>
    </row>
    <row r="11" spans="1:27">
      <c r="A11" s="25"/>
      <c r="B11" s="814">
        <f>B12-1</f>
        <v>2020</v>
      </c>
      <c r="C11" s="815">
        <v>7200</v>
      </c>
      <c r="D11" s="815">
        <v>21600</v>
      </c>
      <c r="E11" s="815">
        <v>31800</v>
      </c>
      <c r="F11" s="815">
        <v>34300</v>
      </c>
      <c r="G11" s="75"/>
      <c r="H11" s="814">
        <f>B11</f>
        <v>2020</v>
      </c>
      <c r="I11" s="815">
        <v>173</v>
      </c>
      <c r="J11" s="815">
        <v>676</v>
      </c>
      <c r="K11" s="815">
        <v>1049</v>
      </c>
      <c r="L11" s="815">
        <v>1177</v>
      </c>
      <c r="M11" s="17"/>
      <c r="N11" s="18"/>
      <c r="O11" s="31"/>
      <c r="P11" s="48"/>
      <c r="Q11" s="196" t="s">
        <v>901</v>
      </c>
      <c r="R11" s="37" t="s">
        <v>902</v>
      </c>
      <c r="S11" s="37"/>
      <c r="T11" s="37"/>
      <c r="U11" s="37"/>
      <c r="V11" s="37"/>
      <c r="W11" s="37"/>
      <c r="X11" s="37"/>
      <c r="Y11" s="37"/>
      <c r="Z11"/>
      <c r="AA11" s="37"/>
    </row>
    <row r="12" spans="1:27">
      <c r="A12" s="25"/>
      <c r="B12" s="814">
        <f>B13-1</f>
        <v>2021</v>
      </c>
      <c r="C12" s="815">
        <v>7500</v>
      </c>
      <c r="D12" s="815">
        <v>24300</v>
      </c>
      <c r="E12" s="815">
        <v>36800</v>
      </c>
      <c r="F12" s="75"/>
      <c r="G12" s="75"/>
      <c r="H12" s="814">
        <f>B12</f>
        <v>2021</v>
      </c>
      <c r="I12" s="815">
        <v>165</v>
      </c>
      <c r="J12" s="815">
        <v>665</v>
      </c>
      <c r="K12" s="815">
        <v>1075</v>
      </c>
      <c r="L12" s="815"/>
      <c r="M12" s="17"/>
      <c r="N12" s="18"/>
      <c r="O12" s="31"/>
      <c r="P12" s="48"/>
      <c r="Q12" s="37"/>
      <c r="R12" s="37"/>
      <c r="S12" s="37"/>
      <c r="T12" s="37"/>
      <c r="U12" s="37"/>
      <c r="V12" s="37"/>
      <c r="W12" s="37"/>
      <c r="X12" s="37"/>
      <c r="Y12" s="37"/>
      <c r="Z12"/>
      <c r="AA12" s="37"/>
    </row>
    <row r="13" spans="1:27">
      <c r="A13" s="25"/>
      <c r="B13" s="814">
        <f>B14-1</f>
        <v>2022</v>
      </c>
      <c r="C13" s="815">
        <v>7200</v>
      </c>
      <c r="D13" s="815">
        <v>22000</v>
      </c>
      <c r="E13" s="75"/>
      <c r="F13" s="75"/>
      <c r="G13" s="75"/>
      <c r="H13" s="814">
        <f>B13</f>
        <v>2022</v>
      </c>
      <c r="I13" s="815">
        <v>151</v>
      </c>
      <c r="J13" s="815">
        <v>602</v>
      </c>
      <c r="K13" s="815"/>
      <c r="L13" s="815"/>
      <c r="M13" s="17"/>
      <c r="N13" s="18"/>
      <c r="O13" s="31"/>
      <c r="P13" s="48"/>
      <c r="Q13" s="37"/>
      <c r="R13" s="538" t="s">
        <v>120</v>
      </c>
      <c r="S13" s="77" t="str">
        <f>S5&amp;"-"&amp;T5</f>
        <v>12-24</v>
      </c>
      <c r="T13" s="77" t="str">
        <f>T5&amp;"-"&amp;U5</f>
        <v>24-36</v>
      </c>
      <c r="U13" s="77" t="str">
        <f>U5&amp;"-"&amp;V5</f>
        <v>36-48</v>
      </c>
      <c r="V13" s="77" t="str">
        <f>V5&amp;"-"&amp;G10</f>
        <v>48-</v>
      </c>
      <c r="W13" s="266"/>
      <c r="X13" s="779"/>
      <c r="Y13"/>
      <c r="Z13"/>
      <c r="AA13"/>
    </row>
    <row r="14" spans="1:27">
      <c r="A14" s="25"/>
      <c r="B14" s="814">
        <v>2023</v>
      </c>
      <c r="C14" s="815">
        <v>7900</v>
      </c>
      <c r="D14" s="75"/>
      <c r="E14" s="75"/>
      <c r="F14" s="75"/>
      <c r="G14" s="75"/>
      <c r="H14" s="814">
        <f>B14</f>
        <v>2023</v>
      </c>
      <c r="I14" s="815">
        <v>205</v>
      </c>
      <c r="J14" s="815"/>
      <c r="K14" s="815"/>
      <c r="L14" s="815"/>
      <c r="M14" s="17"/>
      <c r="N14" s="18"/>
      <c r="O14" s="31"/>
      <c r="P14" s="48"/>
      <c r="Q14" s="37"/>
      <c r="R14" s="776">
        <f>R6</f>
        <v>2020</v>
      </c>
      <c r="S14" s="780">
        <f>ROUND(IF(C6="additive",T6-S6,T6/S6),4)</f>
        <v>7.3000000000000001E-3</v>
      </c>
      <c r="T14" s="780">
        <f>ROUND(IF(C6="additive",U6-T6,U6/T6),4)</f>
        <v>1.6999999999999999E-3</v>
      </c>
      <c r="U14" s="780">
        <f>ROUND(IF(C6="additive",V6-U6,V6/U6),4)</f>
        <v>1.2999999999999999E-3</v>
      </c>
      <c r="V14" s="781"/>
      <c r="W14" s="52" t="s">
        <v>903</v>
      </c>
      <c r="X14" s="623" t="str">
        <f>IF(C6="additive","ADDITIVE ", "MULTIPLICATIVE ") &amp; "development"</f>
        <v>ADDITIVE development</v>
      </c>
      <c r="Y14"/>
      <c r="Z14"/>
      <c r="AA14"/>
    </row>
    <row r="15" spans="1:27">
      <c r="A15" s="2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17"/>
      <c r="N15" s="18"/>
      <c r="O15" s="31"/>
      <c r="P15" s="48"/>
      <c r="Q15" s="37"/>
      <c r="R15" s="776">
        <f>R7</f>
        <v>2021</v>
      </c>
      <c r="S15" s="780">
        <f>ROUND(IF(C6="additive",T7-S7,T7/S7),4)</f>
        <v>5.4000000000000003E-3</v>
      </c>
      <c r="T15" s="780">
        <f>ROUND(IF(C6="additive",U7-T7,U7/T7),4)</f>
        <v>1.8E-3</v>
      </c>
      <c r="U15" s="782"/>
      <c r="V15" s="781"/>
      <c r="W15" s="37"/>
      <c r="X15"/>
      <c r="Y15"/>
      <c r="Z15"/>
      <c r="AA15"/>
    </row>
    <row r="16" spans="1:27">
      <c r="A16" s="25"/>
      <c r="B16" s="75" t="s">
        <v>904</v>
      </c>
      <c r="C16" s="75"/>
      <c r="D16" s="75"/>
      <c r="E16" s="75"/>
      <c r="F16" s="75"/>
      <c r="G16" s="75"/>
      <c r="H16" s="75"/>
      <c r="I16" s="816"/>
      <c r="J16" s="550"/>
      <c r="K16" s="550"/>
      <c r="L16" s="550"/>
      <c r="M16" s="17"/>
      <c r="N16" s="18"/>
      <c r="O16" s="31"/>
      <c r="P16" s="48"/>
      <c r="Q16" s="37"/>
      <c r="R16" s="776">
        <f>R8</f>
        <v>2022</v>
      </c>
      <c r="S16" s="780">
        <f>ROUND(IF(C6="additive",T8-S8,T8/S8),4)</f>
        <v>6.4000000000000003E-3</v>
      </c>
      <c r="T16" s="780"/>
      <c r="U16" s="782"/>
      <c r="V16" s="781"/>
      <c r="W16" s="37"/>
      <c r="X16"/>
      <c r="Y16"/>
      <c r="Z16"/>
      <c r="AA16"/>
    </row>
    <row r="17" spans="1:27">
      <c r="A17" s="25"/>
      <c r="B17" s="75"/>
      <c r="C17" s="75"/>
      <c r="D17" s="75"/>
      <c r="E17" s="75"/>
      <c r="F17" s="75"/>
      <c r="G17" s="75"/>
      <c r="H17" s="75"/>
      <c r="I17" s="816"/>
      <c r="J17" s="550"/>
      <c r="K17" s="75"/>
      <c r="L17" s="75"/>
      <c r="M17" s="17"/>
      <c r="N17" s="18"/>
      <c r="O17" s="31"/>
      <c r="P17" s="48"/>
      <c r="Q17" s="37"/>
      <c r="R17" s="776">
        <f>B14</f>
        <v>2023</v>
      </c>
      <c r="S17" s="781"/>
      <c r="T17" s="781"/>
      <c r="U17" s="781"/>
      <c r="V17" s="781"/>
      <c r="W17" s="37"/>
      <c r="X17"/>
      <c r="Y17"/>
      <c r="Z17"/>
      <c r="AA17"/>
    </row>
    <row r="18" spans="1:27">
      <c r="A18" s="25"/>
      <c r="B18" s="813" t="s">
        <v>120</v>
      </c>
      <c r="C18" s="817" t="s">
        <v>905</v>
      </c>
      <c r="D18" s="419"/>
      <c r="E18" s="818"/>
      <c r="F18" s="75"/>
      <c r="G18" s="75"/>
      <c r="H18" s="75"/>
      <c r="I18" s="816"/>
      <c r="J18" s="75"/>
      <c r="K18" s="75"/>
      <c r="L18" s="75"/>
      <c r="M18" s="17"/>
      <c r="N18" s="18"/>
      <c r="O18" s="31"/>
      <c r="P18" s="48"/>
      <c r="Q18" s="37"/>
      <c r="R18" s="783" t="s">
        <v>585</v>
      </c>
      <c r="S18" s="784">
        <f>ROUND(AVERAGE(S14:S16),4)</f>
        <v>6.4000000000000003E-3</v>
      </c>
      <c r="T18" s="785">
        <f>ROUND(AVERAGE(T14:T16),4)</f>
        <v>1.8E-3</v>
      </c>
      <c r="U18" s="785">
        <f>ROUND(AVERAGE(U14:U16),4)</f>
        <v>1.2999999999999999E-3</v>
      </c>
      <c r="V18" s="786">
        <f>IF(C6="additive",0,1)</f>
        <v>0</v>
      </c>
      <c r="W18" s="52" t="s">
        <v>903</v>
      </c>
      <c r="X18" s="52" t="s">
        <v>906</v>
      </c>
      <c r="Y18"/>
      <c r="Z18"/>
      <c r="AA18"/>
    </row>
    <row r="19" spans="1:27">
      <c r="A19" s="25"/>
      <c r="B19" s="814">
        <f>B11</f>
        <v>2020</v>
      </c>
      <c r="C19" s="819">
        <v>34300</v>
      </c>
      <c r="D19" s="75"/>
      <c r="E19" s="818"/>
      <c r="F19" s="230"/>
      <c r="G19" s="75"/>
      <c r="H19" s="75"/>
      <c r="I19" s="816"/>
      <c r="J19" s="75"/>
      <c r="K19" s="75"/>
      <c r="L19" s="75"/>
      <c r="M19" s="17"/>
      <c r="N19" s="18"/>
      <c r="O19" s="31"/>
      <c r="P19" s="48"/>
      <c r="Q19" s="37"/>
      <c r="R19" s="776" t="s">
        <v>907</v>
      </c>
      <c r="S19" s="787">
        <f>ROUND(IF(C6="additive",S18+T19,S18*T19),4)</f>
        <v>9.4999999999999998E-3</v>
      </c>
      <c r="T19" s="787">
        <f>ROUND(IF(C6="additive",T18+U19,T18*U19),4)</f>
        <v>3.0999999999999999E-3</v>
      </c>
      <c r="U19" s="787">
        <f>ROUND(IF(C6="additive",U18+V19,U18*V19),4)</f>
        <v>1.2999999999999999E-3</v>
      </c>
      <c r="V19" s="787">
        <f>V18</f>
        <v>0</v>
      </c>
      <c r="W19" s="52" t="s">
        <v>903</v>
      </c>
      <c r="X19" s="623" t="str">
        <f>IF(C6="additive","ADDITIVE:  selected + (previous cum)", "MULTIPLICATIVE:  selected x (previous cum)")</f>
        <v>ADDITIVE:  selected + (previous cum)</v>
      </c>
      <c r="Y19"/>
      <c r="Z19"/>
      <c r="AA19"/>
    </row>
    <row r="20" spans="1:27">
      <c r="A20" s="25"/>
      <c r="B20" s="814">
        <f>B12</f>
        <v>2021</v>
      </c>
      <c r="C20" s="819">
        <v>39693</v>
      </c>
      <c r="D20" s="75"/>
      <c r="E20" s="818"/>
      <c r="F20" s="230"/>
      <c r="G20" s="75"/>
      <c r="H20" s="75"/>
      <c r="I20" s="75"/>
      <c r="J20" s="75"/>
      <c r="K20" s="75"/>
      <c r="L20" s="75"/>
      <c r="M20" s="17"/>
      <c r="N20" s="18"/>
      <c r="O20" s="31"/>
      <c r="P20" s="48"/>
      <c r="Q20" s="37"/>
      <c r="R20" s="599" t="s">
        <v>908</v>
      </c>
      <c r="S20" s="788">
        <f>ROUND(IF(C6="additive",S9+S19,S9*S19),4)</f>
        <v>3.5400000000000001E-2</v>
      </c>
      <c r="T20" s="789">
        <f>ROUND(IF(C6="additive",T8+T19,T8*T19),4)</f>
        <v>3.0499999999999999E-2</v>
      </c>
      <c r="U20" s="789">
        <f>ROUND(IF(C6="additive",U7+U19,U7*U19),4)</f>
        <v>3.0499999999999999E-2</v>
      </c>
      <c r="V20" s="789">
        <f>ROUND(IF(C6="additive",V6+V19,V6*V19),4)</f>
        <v>3.4299999999999997E-2</v>
      </c>
      <c r="W20" s="790" t="s">
        <v>903</v>
      </c>
      <c r="X20" s="599" t="str">
        <f>IF(C6="additive","ADDITIVE:  cum + (latest diagonal from Step 1)","MULTIPLICATIVE:  cum x (latest diagonal from Step 1)")</f>
        <v>ADDITIVE:  cum + (latest diagonal from Step 1)</v>
      </c>
      <c r="Y20" s="599"/>
      <c r="Z20" s="599"/>
      <c r="AA20" s="599"/>
    </row>
    <row r="21" spans="1:27">
      <c r="A21" s="25"/>
      <c r="B21" s="814">
        <f>B13</f>
        <v>2022</v>
      </c>
      <c r="C21" s="819">
        <v>35436</v>
      </c>
      <c r="D21" s="75"/>
      <c r="E21" s="75"/>
      <c r="F21" s="230"/>
      <c r="G21" s="75"/>
      <c r="H21" s="75"/>
      <c r="I21" s="75"/>
      <c r="J21" s="75"/>
      <c r="K21" s="75"/>
      <c r="L21" s="75"/>
      <c r="M21" s="17"/>
      <c r="N21" s="18"/>
      <c r="O21" s="31"/>
      <c r="P21" s="48"/>
      <c r="Q21" s="37"/>
      <c r="R21" s="37"/>
      <c r="S21" s="37"/>
      <c r="T21" s="37"/>
      <c r="U21"/>
      <c r="V21"/>
      <c r="W21"/>
      <c r="X21"/>
      <c r="Y21"/>
      <c r="Z21"/>
      <c r="AA21"/>
    </row>
    <row r="22" spans="1:27">
      <c r="A22" s="25"/>
      <c r="B22" s="814">
        <f>B14</f>
        <v>2023</v>
      </c>
      <c r="C22" s="819">
        <v>39427</v>
      </c>
      <c r="D22" s="75"/>
      <c r="E22" s="75"/>
      <c r="F22" s="230"/>
      <c r="G22" s="75"/>
      <c r="H22" s="75"/>
      <c r="I22" s="75"/>
      <c r="J22" s="75"/>
      <c r="K22" s="75"/>
      <c r="L22" s="75"/>
      <c r="M22" s="17"/>
      <c r="N22" s="18"/>
      <c r="O22" s="31"/>
      <c r="P22" s="48"/>
      <c r="Q22" s="37"/>
      <c r="R22" s="791" t="s">
        <v>120</v>
      </c>
      <c r="S22" s="460">
        <f>B22</f>
        <v>2023</v>
      </c>
      <c r="T22" s="460">
        <f>B21</f>
        <v>2022</v>
      </c>
      <c r="U22" s="460">
        <f>B20</f>
        <v>2021</v>
      </c>
      <c r="V22" s="461">
        <f>B19</f>
        <v>2020</v>
      </c>
      <c r="W22" s="792" t="s">
        <v>909</v>
      </c>
      <c r="X22" s="37" t="s">
        <v>910</v>
      </c>
      <c r="Y22" s="37"/>
      <c r="Z22" s="37"/>
      <c r="AA22" s="37"/>
    </row>
    <row r="23" spans="1:27">
      <c r="A23" s="25"/>
      <c r="B23" s="230"/>
      <c r="C23" s="230"/>
      <c r="D23" s="75"/>
      <c r="E23" s="75"/>
      <c r="F23" s="230"/>
      <c r="G23" s="75"/>
      <c r="H23" s="75"/>
      <c r="I23" s="362"/>
      <c r="J23" s="362"/>
      <c r="K23" s="75"/>
      <c r="L23" s="75"/>
      <c r="M23" s="17"/>
      <c r="N23" s="18"/>
      <c r="O23" s="31"/>
      <c r="P23" s="48"/>
      <c r="Q23" s="37"/>
      <c r="R23" s="793" t="s">
        <v>905</v>
      </c>
      <c r="S23" s="794">
        <f>C22</f>
        <v>39427</v>
      </c>
      <c r="T23" s="794">
        <f>C21</f>
        <v>35436</v>
      </c>
      <c r="U23" s="794">
        <f>C20</f>
        <v>39693</v>
      </c>
      <c r="V23" s="795">
        <f>C19</f>
        <v>34300</v>
      </c>
      <c r="W23" s="37"/>
      <c r="X23" s="796" t="s">
        <v>912</v>
      </c>
      <c r="Y23" s="37"/>
      <c r="Z23" s="37"/>
      <c r="AA23" s="37"/>
    </row>
    <row r="24" spans="1:27">
      <c r="A24" s="25"/>
      <c r="B24" s="820" t="s">
        <v>911</v>
      </c>
      <c r="C24" s="821"/>
      <c r="D24" s="821"/>
      <c r="E24" s="821"/>
      <c r="F24" s="821"/>
      <c r="G24" s="821"/>
      <c r="H24" s="821"/>
      <c r="I24" s="822"/>
      <c r="J24" s="823"/>
      <c r="K24" s="230"/>
      <c r="L24" s="75"/>
      <c r="M24" s="17"/>
      <c r="N24" s="18"/>
      <c r="O24" s="31"/>
      <c r="P24" s="48"/>
      <c r="Q24" s="37"/>
      <c r="R24" s="797" t="s">
        <v>913</v>
      </c>
      <c r="S24" s="153">
        <f>I14</f>
        <v>205</v>
      </c>
      <c r="T24" s="153">
        <f>J13</f>
        <v>602</v>
      </c>
      <c r="U24" s="153">
        <f>K12</f>
        <v>1075</v>
      </c>
      <c r="V24" s="298">
        <f>L11</f>
        <v>1177</v>
      </c>
      <c r="W24" s="37"/>
      <c r="X24" s="37"/>
      <c r="Y24" s="37"/>
      <c r="Z24" s="37"/>
      <c r="AA24" s="37"/>
    </row>
    <row r="25" spans="1:27">
      <c r="A25" s="25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8"/>
      <c r="O25" s="31"/>
      <c r="P25" s="48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/>
    </row>
    <row r="26" spans="1:27" ht="15.75" thickBot="1">
      <c r="A26" s="24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3"/>
      <c r="O26" s="31"/>
      <c r="P26" s="48"/>
      <c r="Q26" s="196" t="s">
        <v>914</v>
      </c>
      <c r="R26" s="798" t="s">
        <v>915</v>
      </c>
      <c r="S26" s="408"/>
      <c r="T26" s="799" t="s">
        <v>34</v>
      </c>
      <c r="U26" s="625" t="s">
        <v>916</v>
      </c>
      <c r="V26" s="623"/>
      <c r="W26" s="800" t="s">
        <v>363</v>
      </c>
      <c r="X26" s="623" t="s">
        <v>917</v>
      </c>
      <c r="Y26"/>
      <c r="Z26"/>
      <c r="AA26"/>
    </row>
    <row r="27" spans="1:27">
      <c r="O27" s="31"/>
      <c r="P27" s="48"/>
      <c r="Q27" s="37"/>
      <c r="R27" s="801" t="s">
        <v>918</v>
      </c>
      <c r="S27" s="801"/>
      <c r="T27" s="802" t="s">
        <v>34</v>
      </c>
      <c r="U27" s="408" t="s">
        <v>919</v>
      </c>
      <c r="V27"/>
      <c r="W27" s="624" t="s">
        <v>189</v>
      </c>
      <c r="X27" s="625" t="s">
        <v>920</v>
      </c>
      <c r="Y27"/>
      <c r="Z27"/>
      <c r="AA27" s="158"/>
    </row>
    <row r="28" spans="1:27">
      <c r="O28" s="31"/>
      <c r="P28" s="48"/>
      <c r="Q28" s="37"/>
      <c r="R28" s="37"/>
      <c r="S28" s="37"/>
      <c r="T28" s="37"/>
      <c r="U28" s="37"/>
      <c r="V28" s="37"/>
      <c r="W28" s="37"/>
      <c r="X28" s="37"/>
      <c r="Y28"/>
      <c r="Z28" s="158"/>
      <c r="AA28" s="158"/>
    </row>
    <row r="29" spans="1:27">
      <c r="O29" s="31"/>
      <c r="P29" s="48"/>
      <c r="Q29" s="37"/>
      <c r="R29" s="538" t="s">
        <v>120</v>
      </c>
      <c r="S29" s="803" t="s">
        <v>921</v>
      </c>
      <c r="T29" s="804" t="s">
        <v>922</v>
      </c>
      <c r="U29" s="37"/>
      <c r="V29"/>
      <c r="W29" s="37"/>
      <c r="X29" s="37"/>
      <c r="Y29"/>
      <c r="Z29" s="158"/>
      <c r="AA29" s="158"/>
    </row>
    <row r="30" spans="1:27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48"/>
      <c r="Q30" s="37"/>
      <c r="R30" s="776">
        <f>B19</f>
        <v>2020</v>
      </c>
      <c r="S30" s="805">
        <f>V20*C19</f>
        <v>1176.49</v>
      </c>
      <c r="T30" s="806">
        <f>S30-L11</f>
        <v>-0.50999999999999091</v>
      </c>
      <c r="U30" s="37"/>
      <c r="V30"/>
      <c r="W30" s="37"/>
      <c r="X30" s="37"/>
      <c r="Y30"/>
      <c r="Z30" s="158"/>
      <c r="AA30" s="158"/>
    </row>
    <row r="31" spans="1:27">
      <c r="O31" s="31"/>
      <c r="P31" s="48"/>
      <c r="Q31" s="37"/>
      <c r="R31" s="776">
        <f>B20</f>
        <v>2021</v>
      </c>
      <c r="S31" s="805">
        <f>U20*C20</f>
        <v>1210.6365000000001</v>
      </c>
      <c r="T31" s="806">
        <f>S31-K12</f>
        <v>135.63650000000007</v>
      </c>
      <c r="U31" s="37"/>
      <c r="V31"/>
      <c r="W31" s="37"/>
      <c r="X31" s="37"/>
      <c r="Y31" s="158"/>
      <c r="Z31" s="158"/>
      <c r="AA31" s="158"/>
    </row>
    <row r="32" spans="1:27">
      <c r="O32" s="31"/>
      <c r="P32" s="48"/>
      <c r="Q32" s="37"/>
      <c r="R32" s="776">
        <f>B21</f>
        <v>2022</v>
      </c>
      <c r="S32" s="805">
        <f>T20*C21</f>
        <v>1080.798</v>
      </c>
      <c r="T32" s="806">
        <f>S32-J13</f>
        <v>478.798</v>
      </c>
      <c r="U32" s="37"/>
      <c r="V32" s="158"/>
      <c r="W32" s="37"/>
      <c r="X32" s="37"/>
      <c r="Y32" s="158"/>
      <c r="Z32" s="158"/>
      <c r="AA32" s="158"/>
    </row>
    <row r="33" spans="15:41">
      <c r="O33" s="31"/>
      <c r="P33" s="48"/>
      <c r="Q33" s="37"/>
      <c r="R33" s="538">
        <f>B14</f>
        <v>2023</v>
      </c>
      <c r="S33" s="807">
        <f>S20*C22</f>
        <v>1395.7157999999999</v>
      </c>
      <c r="T33" s="808">
        <f>S33-I14</f>
        <v>1190.7157999999999</v>
      </c>
      <c r="U33" s="37"/>
      <c r="V33" s="158"/>
      <c r="W33" s="37"/>
      <c r="X33" s="37"/>
      <c r="Y33" s="158"/>
      <c r="Z33" s="158"/>
      <c r="AA33" s="37"/>
    </row>
    <row r="34" spans="15:41">
      <c r="O34" s="31"/>
      <c r="P34" s="48"/>
      <c r="Q34" s="158"/>
      <c r="R34" s="809"/>
      <c r="S34" s="810">
        <f>SUM(S30:S33)</f>
        <v>4863.6403</v>
      </c>
      <c r="T34" s="806">
        <f>SUM(T30:T33)</f>
        <v>1804.6403</v>
      </c>
      <c r="U34" s="37"/>
      <c r="V34" s="158"/>
      <c r="W34" s="37"/>
      <c r="X34" s="37"/>
      <c r="Y34" s="37"/>
      <c r="Z34" s="37"/>
      <c r="AA34" s="158"/>
    </row>
    <row r="35" spans="15:41">
      <c r="O35" s="31"/>
      <c r="P35" s="48"/>
      <c r="Q35" s="37"/>
      <c r="R35" s="37"/>
      <c r="S35" s="37"/>
      <c r="T35" s="37"/>
      <c r="U35" s="37"/>
      <c r="V35" s="37"/>
      <c r="W35" s="37"/>
      <c r="X35" s="37"/>
      <c r="Y35" s="158"/>
      <c r="Z35" s="158"/>
      <c r="AA35" s="158"/>
    </row>
    <row r="36" spans="15:41">
      <c r="O36" s="31"/>
      <c r="P36" s="48"/>
      <c r="Q36" s="196" t="s">
        <v>923</v>
      </c>
      <c r="R36" s="397" t="str">
        <f>H6</f>
        <v>ultimate</v>
      </c>
      <c r="S36" s="192" t="str">
        <f>I6</f>
        <v>ALAE</v>
      </c>
      <c r="T36" s="192" t="str">
        <f>J6</f>
        <v>for AY</v>
      </c>
      <c r="U36" s="541">
        <f>K6</f>
        <v>2023</v>
      </c>
      <c r="V36" s="192" t="s">
        <v>34</v>
      </c>
      <c r="W36" s="199">
        <f>VLOOKUP(U36,R32:T33,IF(R36="ultimate",2,3),FALSE)</f>
        <v>1395.7157999999999</v>
      </c>
      <c r="X36" s="52" t="s">
        <v>903</v>
      </c>
      <c r="Y36" s="305" t="s">
        <v>924</v>
      </c>
      <c r="Z36" s="158"/>
      <c r="AA36" s="158"/>
    </row>
    <row r="37" spans="15:41">
      <c r="O37" s="31"/>
      <c r="P37" s="48"/>
    </row>
    <row r="38" spans="15:41" ht="15" customHeight="1">
      <c r="O38" s="31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5:41" ht="15" customHeight="1">
      <c r="O39" s="31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15:41" ht="15" customHeight="1">
      <c r="O40" s="31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15:41" ht="15" customHeight="1">
      <c r="O41" s="31"/>
      <c r="P41" s="48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15:41" ht="15" customHeight="1">
      <c r="O42" s="31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15:41" ht="15" customHeight="1">
      <c r="O43" s="31"/>
      <c r="P43" s="48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15:41" ht="15" customHeight="1">
      <c r="O44" s="31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15:41" ht="15" customHeight="1">
      <c r="O45" s="31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15:41" ht="15" customHeight="1">
      <c r="O46" s="31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15:41" ht="15" customHeight="1">
      <c r="O47" s="31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5:41" ht="15" customHeight="1">
      <c r="O48" s="31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spans="2:41" ht="15" customHeight="1">
      <c r="O49" s="31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2:41" ht="15" customHeight="1">
      <c r="O50" s="31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2:41" ht="15" customHeight="1">
      <c r="O51" s="3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2:41" ht="15" customHeight="1">
      <c r="O52" s="31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2:41" ht="15" customHeight="1">
      <c r="O53" s="31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2:41" ht="15" customHeight="1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2:41" ht="15" customHeight="1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2:41" ht="15" customHeight="1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spans="2:41" ht="15" customHeight="1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</row>
    <row r="58" spans="2:41" ht="15" customHeight="1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</row>
    <row r="59" spans="2:41" ht="15" customHeight="1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</row>
    <row r="60" spans="2:41" ht="15" customHeight="1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</row>
    <row r="61" spans="2:41" ht="15" customHeight="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2:41" ht="15" customHeight="1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2:41" ht="15" customHeight="1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2:41" ht="15" customHeight="1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2:41" ht="15" customHeight="1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2:41" ht="15" customHeight="1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</row>
    <row r="67" spans="2:41" ht="15" customHeight="1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</row>
    <row r="68" spans="2:41" ht="15" customHeight="1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</row>
    <row r="69" spans="2:41" ht="15" customHeight="1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</row>
    <row r="70" spans="2:41" ht="15" customHeight="1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</row>
    <row r="71" spans="2:41" ht="15" customHeight="1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</row>
    <row r="72" spans="2:41" ht="15" customHeight="1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</row>
    <row r="73" spans="2:41" ht="15" customHeight="1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</row>
    <row r="74" spans="2:41" ht="15" customHeight="1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</row>
    <row r="75" spans="2:41" ht="15" customHeight="1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</row>
    <row r="76" spans="2:41" ht="15" customHeight="1"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</row>
    <row r="77" spans="2:41" ht="15" customHeight="1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</row>
    <row r="78" spans="2:41" ht="15" customHeight="1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</row>
    <row r="79" spans="2:41" ht="15" customHeight="1"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</row>
    <row r="80" spans="2:41" ht="15" customHeight="1"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</row>
    <row r="81" spans="2:41" ht="15" customHeight="1"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</row>
    <row r="82" spans="2:41" ht="15" customHeight="1"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</row>
    <row r="83" spans="2:41" ht="15" customHeight="1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</row>
    <row r="84" spans="2:41" ht="15" customHeight="1"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</row>
    <row r="85" spans="2:41" ht="15" customHeight="1"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</row>
    <row r="86" spans="2:41" ht="15" customHeight="1"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</row>
    <row r="87" spans="2:41" ht="15" customHeight="1"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</row>
    <row r="88" spans="2:41" ht="15" customHeight="1"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</row>
    <row r="89" spans="2:41" ht="15" customHeight="1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</row>
    <row r="90" spans="2:41" ht="15" customHeight="1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</row>
    <row r="91" spans="2:41" ht="15" customHeight="1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</row>
    <row r="92" spans="2:41" ht="15" customHeight="1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</row>
    <row r="93" spans="2:41" ht="15" customHeight="1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</row>
    <row r="94" spans="2:41" ht="15" customHeight="1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</row>
    <row r="95" spans="2:41" ht="15" customHeight="1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</row>
    <row r="96" spans="2:41" ht="15" customHeight="1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</row>
    <row r="97" spans="2:41" ht="15" customHeight="1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</row>
    <row r="98" spans="2:41" ht="15" customHeight="1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</row>
    <row r="99" spans="2:41" ht="15" customHeight="1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</row>
    <row r="100" spans="2:41" ht="15" customHeight="1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</row>
    <row r="101" spans="2:41" ht="15" customHeight="1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</row>
    <row r="102" spans="2:41" ht="15" customHeight="1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</row>
    <row r="103" spans="2:41" ht="15" customHeight="1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</row>
    <row r="104" spans="2:41" ht="15" customHeight="1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</row>
    <row r="105" spans="2:41" ht="15" customHeight="1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</row>
    <row r="106" spans="2:41" ht="15" customHeight="1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</row>
    <row r="107" spans="2:41" ht="15" customHeight="1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</row>
    <row r="108" spans="2:41" ht="15" customHeight="1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</row>
    <row r="109" spans="2:41" ht="15" customHeight="1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</row>
  </sheetData>
  <mergeCells count="1">
    <mergeCell ref="M1:N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M1" location="'Point Grid'!A8" display="Return to Point Grid"/>
    <hyperlink ref="M1:N1" location="'Point Grid'!A1" display="Return to Point Grid"/>
  </hyperlink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B101"/>
  <sheetViews>
    <sheetView workbookViewId="0"/>
  </sheetViews>
  <sheetFormatPr defaultColWidth="9.140625" defaultRowHeight="15"/>
  <cols>
    <col min="1" max="1" width="9.140625" style="21"/>
    <col min="2" max="2" width="16" style="21" bestFit="1" customWidth="1"/>
    <col min="3" max="8" width="8.7109375" style="21" customWidth="1"/>
    <col min="9" max="10" width="10.7109375" style="21" customWidth="1"/>
    <col min="11" max="11" width="8.7109375" style="21" customWidth="1"/>
    <col min="12" max="13" width="11.140625" style="21" customWidth="1"/>
    <col min="14" max="25" width="9.140625" style="21"/>
    <col min="26" max="26" width="10.7109375" style="21" customWidth="1"/>
    <col min="27" max="16384" width="9.140625" style="21"/>
  </cols>
  <sheetData>
    <row r="1" spans="1:28">
      <c r="A1" s="7">
        <v>30</v>
      </c>
      <c r="B1" s="27" t="s">
        <v>12</v>
      </c>
      <c r="C1" s="20"/>
      <c r="D1" s="20"/>
      <c r="E1" s="20"/>
      <c r="F1" s="20"/>
      <c r="G1" s="20"/>
      <c r="H1" s="20"/>
      <c r="I1" s="20"/>
      <c r="J1" s="20"/>
      <c r="K1" s="20"/>
      <c r="L1" s="854" t="s">
        <v>24</v>
      </c>
      <c r="M1" s="856"/>
      <c r="O1" s="1" t="s">
        <v>33</v>
      </c>
      <c r="P1" s="52" t="str">
        <f>VLOOKUP(A1,'Point Grid'!$L$8:$T$54,9,FALSE)</f>
        <v>Reserving - Chap 17: ULAE</v>
      </c>
      <c r="Q1"/>
      <c r="R1"/>
      <c r="S1"/>
      <c r="T1"/>
      <c r="U1"/>
      <c r="V1"/>
      <c r="W1"/>
      <c r="X1"/>
      <c r="Y1"/>
    </row>
    <row r="2" spans="1:28">
      <c r="A2" s="22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3"/>
      <c r="O2" s="1"/>
      <c r="P2"/>
      <c r="Q2"/>
      <c r="R2"/>
      <c r="S2"/>
      <c r="T2"/>
      <c r="U2"/>
      <c r="V2"/>
      <c r="W2"/>
      <c r="X2"/>
      <c r="Y2"/>
    </row>
    <row r="3" spans="1:28">
      <c r="A3" s="8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31"/>
      <c r="O3" s="48" t="s">
        <v>2</v>
      </c>
      <c r="P3" t="s">
        <v>957</v>
      </c>
      <c r="Q3"/>
      <c r="R3"/>
      <c r="S3"/>
      <c r="T3"/>
      <c r="U3"/>
      <c r="V3"/>
      <c r="W3"/>
      <c r="X3"/>
      <c r="Y3"/>
    </row>
    <row r="4" spans="1:28">
      <c r="A4" s="9">
        <f>INDEX('Point Grid'!B:B,MATCH(A1,'Point Grid'!A:A,0))</f>
        <v>2.5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31"/>
      <c r="O4" s="48"/>
      <c r="P4" t="s">
        <v>958</v>
      </c>
      <c r="Q4"/>
      <c r="R4"/>
      <c r="S4"/>
      <c r="T4"/>
      <c r="U4"/>
      <c r="V4"/>
      <c r="W4"/>
      <c r="X4"/>
      <c r="Y4"/>
    </row>
    <row r="5" spans="1:28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N5" s="31"/>
      <c r="O5" s="48"/>
      <c r="P5" t="s">
        <v>959</v>
      </c>
      <c r="Q5"/>
      <c r="R5"/>
      <c r="S5"/>
      <c r="T5"/>
      <c r="U5"/>
      <c r="V5"/>
      <c r="W5"/>
      <c r="X5"/>
      <c r="Y5"/>
    </row>
    <row r="6" spans="1:28">
      <c r="A6" s="25" t="s">
        <v>2</v>
      </c>
      <c r="B6" s="17" t="s">
        <v>963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  <c r="N6" s="31"/>
      <c r="O6" s="48"/>
      <c r="P6" s="37" t="s">
        <v>960</v>
      </c>
      <c r="Q6"/>
      <c r="R6"/>
      <c r="S6"/>
      <c r="T6"/>
      <c r="U6"/>
      <c r="V6"/>
      <c r="W6"/>
      <c r="X6"/>
      <c r="Y6"/>
    </row>
    <row r="7" spans="1:28" ht="15.75" thickBot="1">
      <c r="A7" s="9">
        <f>INDEX('Point Grid'!$C$8:$I$54,MATCH($A$1,'Point Grid'!$A$8:$A$54,0),MATCH(A6,'Point Grid'!$C$7:$I$7,0))</f>
        <v>0.75</v>
      </c>
      <c r="B7" s="17" t="s">
        <v>956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31"/>
      <c r="O7" s="48"/>
      <c r="P7" s="37" t="s">
        <v>961</v>
      </c>
      <c r="Q7"/>
      <c r="R7"/>
      <c r="S7"/>
      <c r="T7"/>
      <c r="U7"/>
      <c r="V7"/>
      <c r="W7"/>
      <c r="X7"/>
      <c r="Y7"/>
    </row>
    <row r="8" spans="1:28" ht="15.75" thickBot="1">
      <c r="A8" s="5"/>
      <c r="B8" s="17"/>
      <c r="C8" s="28"/>
      <c r="D8" s="28"/>
      <c r="E8" s="28"/>
      <c r="F8" s="28"/>
      <c r="G8" s="28"/>
      <c r="H8" s="28"/>
      <c r="I8" s="28"/>
      <c r="J8" s="28"/>
      <c r="K8" s="28"/>
      <c r="L8" s="28"/>
      <c r="M8" s="18"/>
      <c r="N8" s="31"/>
      <c r="O8"/>
      <c r="P8" s="37" t="s">
        <v>962</v>
      </c>
      <c r="Q8"/>
      <c r="R8"/>
      <c r="S8"/>
      <c r="T8"/>
      <c r="U8"/>
      <c r="V8"/>
      <c r="W8"/>
      <c r="X8"/>
      <c r="Y8"/>
    </row>
    <row r="9" spans="1:28">
      <c r="A9" s="25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  <c r="N9" s="31"/>
      <c r="O9" s="48"/>
      <c r="P9"/>
      <c r="Q9"/>
      <c r="R9"/>
      <c r="S9"/>
      <c r="T9"/>
      <c r="U9"/>
      <c r="V9"/>
      <c r="W9"/>
    </row>
    <row r="10" spans="1:28">
      <c r="A10" s="25" t="s">
        <v>3</v>
      </c>
      <c r="B10" s="812" t="s">
        <v>895</v>
      </c>
      <c r="C10" s="824" t="s">
        <v>925</v>
      </c>
      <c r="D10" s="825"/>
      <c r="E10" s="811" t="s">
        <v>897</v>
      </c>
      <c r="F10" s="811"/>
      <c r="G10" s="811"/>
      <c r="H10" s="812" t="s">
        <v>644</v>
      </c>
      <c r="I10" s="812" t="s">
        <v>926</v>
      </c>
      <c r="J10" s="811" t="s">
        <v>557</v>
      </c>
      <c r="K10" s="564">
        <v>2023</v>
      </c>
      <c r="L10" s="17"/>
      <c r="M10" s="18"/>
      <c r="N10" s="31"/>
      <c r="O10" s="48" t="s">
        <v>3</v>
      </c>
      <c r="P10" s="196" t="s">
        <v>893</v>
      </c>
      <c r="Q10" s="37" t="str">
        <f>IF(C10="classical","  classical ULAE ratio  ==&gt;  (paid ULAE) / (paid claims)","  Kittel ULAE ratio  ==&gt;  (paid ULAE) / AVG [ (paid claims) , (incurred claims) ]")</f>
        <v xml:space="preserve">  classical ULAE ratio  ==&gt;  (paid ULAE) / (paid claims)</v>
      </c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</row>
    <row r="11" spans="1:28" ht="15.75" thickBot="1">
      <c r="A11" s="9">
        <f>INDEX('Point Grid'!$C$8:$I$54,MATCH($A$1,'Point Grid'!$A$8:$A$54,0),MATCH(A10,'Point Grid'!$C$7:$I$7,0))</f>
        <v>1.75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"/>
      <c r="M11" s="18"/>
      <c r="N11" s="31"/>
      <c r="O11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</row>
    <row r="12" spans="1:28" ht="15.75" thickBot="1">
      <c r="A12" s="5"/>
      <c r="B12" s="178"/>
      <c r="C12" s="477" t="s">
        <v>927</v>
      </c>
      <c r="D12" s="477"/>
      <c r="E12" s="178" t="s">
        <v>928</v>
      </c>
      <c r="F12" s="178"/>
      <c r="G12" s="178"/>
      <c r="H12" s="178"/>
      <c r="I12" s="178"/>
      <c r="J12" s="178"/>
      <c r="K12" s="178"/>
      <c r="L12" s="28"/>
      <c r="M12" s="18"/>
      <c r="N12" s="31"/>
      <c r="O12"/>
      <c r="P12" s="158"/>
      <c r="Q12" s="219"/>
      <c r="R12" s="827" t="s">
        <v>645</v>
      </c>
      <c r="S12" s="220" t="str">
        <f>IF(C10="classical","paid","average")</f>
        <v>paid</v>
      </c>
      <c r="T12" s="828" t="s">
        <v>926</v>
      </c>
      <c r="U12" s="158"/>
      <c r="V12" s="158"/>
      <c r="W12" s="158"/>
      <c r="X12" s="158"/>
      <c r="Y12" s="158"/>
      <c r="Z12" s="158"/>
      <c r="AA12" s="158"/>
      <c r="AB12" s="158"/>
    </row>
    <row r="13" spans="1:28">
      <c r="A13" s="25"/>
      <c r="B13" s="178"/>
      <c r="C13" s="178"/>
      <c r="D13" s="178"/>
      <c r="E13" s="178"/>
      <c r="F13" s="178"/>
      <c r="G13" s="178"/>
      <c r="H13" s="178"/>
      <c r="I13" s="178"/>
      <c r="J13" s="231"/>
      <c r="K13" s="231"/>
      <c r="L13" s="28"/>
      <c r="M13" s="18"/>
      <c r="N13" s="31"/>
      <c r="O13" s="48"/>
      <c r="P13" s="158"/>
      <c r="Q13" s="146" t="s">
        <v>557</v>
      </c>
      <c r="R13" s="829" t="s">
        <v>926</v>
      </c>
      <c r="S13" s="221" t="str">
        <f>IF(C10="classical","claims","(pd, inc)")</f>
        <v>claims</v>
      </c>
      <c r="T13" s="830" t="s">
        <v>139</v>
      </c>
      <c r="U13" s="158"/>
      <c r="V13" s="158"/>
      <c r="W13" s="158"/>
      <c r="X13" s="158"/>
      <c r="Y13" s="158"/>
      <c r="Z13" s="158"/>
      <c r="AA13" s="158"/>
      <c r="AB13" s="158"/>
    </row>
    <row r="14" spans="1:28">
      <c r="A14" s="25"/>
      <c r="B14" s="230"/>
      <c r="C14" s="232"/>
      <c r="D14" s="845" t="s">
        <v>645</v>
      </c>
      <c r="E14" s="233" t="s">
        <v>645</v>
      </c>
      <c r="F14" s="846" t="s">
        <v>929</v>
      </c>
      <c r="G14" s="337" t="s">
        <v>930</v>
      </c>
      <c r="H14" s="178"/>
      <c r="I14" s="178"/>
      <c r="J14" s="231"/>
      <c r="K14" s="231"/>
      <c r="L14" s="28"/>
      <c r="M14" s="18"/>
      <c r="N14" s="31"/>
      <c r="O14"/>
      <c r="P14" s="158"/>
      <c r="Q14" s="222">
        <f>Q15-1</f>
        <v>2019</v>
      </c>
      <c r="R14" s="831">
        <f>D16</f>
        <v>0</v>
      </c>
      <c r="S14" s="271">
        <f>IF(C10="classical",E16,AVERAGE(E16,F16))</f>
        <v>0</v>
      </c>
      <c r="T14" s="832" t="str">
        <f>IFERROR(ROUND(R14/S14,3),"")</f>
        <v/>
      </c>
      <c r="U14" s="37"/>
      <c r="V14" s="37"/>
      <c r="W14" s="37"/>
      <c r="X14" s="37"/>
      <c r="Y14" s="37"/>
      <c r="Z14" s="37"/>
      <c r="AA14" s="158"/>
      <c r="AB14" s="158"/>
    </row>
    <row r="15" spans="1:28">
      <c r="A15" s="25"/>
      <c r="B15" s="230"/>
      <c r="C15" s="235" t="s">
        <v>557</v>
      </c>
      <c r="D15" s="847" t="s">
        <v>926</v>
      </c>
      <c r="E15" s="236" t="s">
        <v>125</v>
      </c>
      <c r="F15" s="848" t="s">
        <v>125</v>
      </c>
      <c r="G15" s="178"/>
      <c r="H15" s="178"/>
      <c r="I15" s="178"/>
      <c r="J15" s="178"/>
      <c r="K15" s="178"/>
      <c r="L15" s="28"/>
      <c r="M15" s="18"/>
      <c r="N15" s="31"/>
      <c r="O15"/>
      <c r="P15" s="158"/>
      <c r="Q15" s="222">
        <f>Q16-1</f>
        <v>2020</v>
      </c>
      <c r="R15" s="831">
        <f>D17</f>
        <v>58000</v>
      </c>
      <c r="S15" s="271">
        <f>IF(C10="classical",E17,AVERAGE(E17,F17))</f>
        <v>433000</v>
      </c>
      <c r="T15" s="832">
        <f>IFERROR(ROUND(R15/S15,3),"")</f>
        <v>0.13400000000000001</v>
      </c>
      <c r="U15" s="158"/>
      <c r="V15" s="158"/>
      <c r="W15" s="833" t="s">
        <v>931</v>
      </c>
      <c r="X15" s="164"/>
      <c r="Y15" s="164"/>
      <c r="Z15" s="165"/>
      <c r="AA15" s="158"/>
      <c r="AB15" s="158"/>
    </row>
    <row r="16" spans="1:28">
      <c r="A16" s="25"/>
      <c r="B16" s="230"/>
      <c r="C16" s="240">
        <v>2019</v>
      </c>
      <c r="D16" s="179">
        <v>0</v>
      </c>
      <c r="E16" s="180">
        <v>0</v>
      </c>
      <c r="F16" s="181">
        <v>0</v>
      </c>
      <c r="G16" s="178"/>
      <c r="H16" s="178"/>
      <c r="I16" s="178"/>
      <c r="J16" s="178"/>
      <c r="K16" s="178"/>
      <c r="L16" s="28"/>
      <c r="M16" s="18"/>
      <c r="N16" s="31"/>
      <c r="O16" s="48"/>
      <c r="P16" s="158"/>
      <c r="Q16" s="222">
        <f>Q17-1</f>
        <v>2021</v>
      </c>
      <c r="R16" s="831">
        <f>D18</f>
        <v>42000</v>
      </c>
      <c r="S16" s="271">
        <f>IF(C10="classical",E18,AVERAGE(E18,F18))</f>
        <v>350000</v>
      </c>
      <c r="T16" s="832">
        <f>IFERROR(ROUND(R16/S16,3),"")</f>
        <v>0.12</v>
      </c>
      <c r="U16" s="158"/>
      <c r="V16" s="158"/>
      <c r="W16" s="166" t="s">
        <v>932</v>
      </c>
      <c r="X16" s="167"/>
      <c r="Y16" s="167"/>
      <c r="Z16" s="168"/>
      <c r="AA16" s="158"/>
      <c r="AB16" s="158"/>
    </row>
    <row r="17" spans="1:28">
      <c r="A17" s="25"/>
      <c r="B17" s="230"/>
      <c r="C17" s="240">
        <v>2020</v>
      </c>
      <c r="D17" s="179">
        <v>58000</v>
      </c>
      <c r="E17" s="180">
        <v>433000</v>
      </c>
      <c r="F17" s="181">
        <v>540000</v>
      </c>
      <c r="G17" s="178"/>
      <c r="H17" s="178"/>
      <c r="I17" s="178"/>
      <c r="J17" s="178"/>
      <c r="K17" s="178"/>
      <c r="L17" s="28"/>
      <c r="M17" s="18"/>
      <c r="N17" s="31"/>
      <c r="O17"/>
      <c r="P17" s="158"/>
      <c r="Q17" s="222">
        <f>Q18-1</f>
        <v>2022</v>
      </c>
      <c r="R17" s="831">
        <f>D19</f>
        <v>40000</v>
      </c>
      <c r="S17" s="271">
        <f>IF(C10="classical",E19,AVERAGE(E19,F19))</f>
        <v>354000</v>
      </c>
      <c r="T17" s="832">
        <f>IFERROR(ROUND(R17/S17,3),"")</f>
        <v>0.113</v>
      </c>
      <c r="U17" s="158"/>
      <c r="V17" s="158"/>
      <c r="W17" s="171" t="s">
        <v>933</v>
      </c>
      <c r="X17" s="172"/>
      <c r="Y17" s="172"/>
      <c r="Z17" s="173"/>
      <c r="AA17" s="158"/>
      <c r="AB17" s="158"/>
    </row>
    <row r="18" spans="1:28" ht="15" customHeight="1">
      <c r="A18" s="25"/>
      <c r="B18" s="230"/>
      <c r="C18" s="240">
        <v>2021</v>
      </c>
      <c r="D18" s="179">
        <v>42000</v>
      </c>
      <c r="E18" s="180">
        <v>350000</v>
      </c>
      <c r="F18" s="181">
        <v>460000</v>
      </c>
      <c r="G18" s="178"/>
      <c r="H18" s="178"/>
      <c r="I18" s="178"/>
      <c r="J18" s="178"/>
      <c r="K18" s="178"/>
      <c r="L18" s="28"/>
      <c r="M18" s="18"/>
      <c r="N18" s="31"/>
      <c r="O18"/>
      <c r="P18" s="158"/>
      <c r="Q18" s="224">
        <f>C20</f>
        <v>2023</v>
      </c>
      <c r="R18" s="829">
        <f>D20</f>
        <v>42000</v>
      </c>
      <c r="S18" s="221">
        <f>IF(C10="classical",E20,AVERAGE(E20,F20))</f>
        <v>441000</v>
      </c>
      <c r="T18" s="834">
        <f>IFERROR(ROUND(R18/S18,3),"")</f>
        <v>9.5000000000000001E-2</v>
      </c>
      <c r="U18" s="158"/>
      <c r="V18" s="158"/>
      <c r="W18" s="158"/>
      <c r="X18" s="158"/>
      <c r="Y18" s="158"/>
      <c r="Z18" s="158"/>
      <c r="AA18" s="158"/>
      <c r="AB18" s="158"/>
    </row>
    <row r="19" spans="1:28" ht="15" customHeight="1">
      <c r="A19" s="25"/>
      <c r="B19" s="230"/>
      <c r="C19" s="240">
        <v>2022</v>
      </c>
      <c r="D19" s="179">
        <v>40000</v>
      </c>
      <c r="E19" s="180">
        <v>354000</v>
      </c>
      <c r="F19" s="181">
        <v>480000</v>
      </c>
      <c r="G19" s="178"/>
      <c r="H19" s="178"/>
      <c r="I19" s="178"/>
      <c r="J19" s="178"/>
      <c r="K19" s="178"/>
      <c r="L19" s="28"/>
      <c r="M19" s="18"/>
      <c r="N19" s="31"/>
      <c r="O19"/>
      <c r="P19" s="158"/>
      <c r="Q19" s="158"/>
      <c r="R19" s="158"/>
      <c r="S19" s="158"/>
      <c r="T19" s="835">
        <v>0.1</v>
      </c>
      <c r="U19" s="158" t="s">
        <v>934</v>
      </c>
      <c r="V19" s="158"/>
      <c r="W19" s="158"/>
      <c r="X19" s="158"/>
      <c r="Y19" s="158"/>
      <c r="Z19" s="158"/>
      <c r="AA19" s="158"/>
      <c r="AB19" s="158"/>
    </row>
    <row r="20" spans="1:28" ht="15" customHeight="1">
      <c r="A20" s="25"/>
      <c r="B20" s="230"/>
      <c r="C20" s="244">
        <v>2023</v>
      </c>
      <c r="D20" s="186">
        <v>42000</v>
      </c>
      <c r="E20" s="187">
        <v>441000</v>
      </c>
      <c r="F20" s="188">
        <v>430000</v>
      </c>
      <c r="G20" s="178"/>
      <c r="H20" s="178"/>
      <c r="I20" s="178"/>
      <c r="J20" s="178"/>
      <c r="K20" s="178"/>
      <c r="L20" s="28"/>
      <c r="M20" s="18"/>
      <c r="N20" s="31"/>
      <c r="O20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</row>
    <row r="21" spans="1:28" ht="15" customHeight="1">
      <c r="A21" s="25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28"/>
      <c r="M21" s="18"/>
      <c r="N21" s="31"/>
      <c r="O21"/>
      <c r="P21" s="196" t="s">
        <v>901</v>
      </c>
      <c r="Q21" s="158" t="s">
        <v>935</v>
      </c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</row>
    <row r="22" spans="1:28" ht="15" customHeight="1">
      <c r="A22" s="25"/>
      <c r="B22" s="178"/>
      <c r="C22" s="238">
        <v>174000</v>
      </c>
      <c r="D22" s="175" t="s">
        <v>936</v>
      </c>
      <c r="E22" s="175"/>
      <c r="F22" s="175"/>
      <c r="G22" s="175"/>
      <c r="H22" s="175"/>
      <c r="I22" s="175"/>
      <c r="J22" s="176"/>
      <c r="K22" s="178"/>
      <c r="L22" s="28"/>
      <c r="M22" s="18"/>
      <c r="N22" s="31"/>
      <c r="O22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</row>
    <row r="23" spans="1:28" ht="15" customHeight="1">
      <c r="A23" s="25"/>
      <c r="B23" s="178"/>
      <c r="C23" s="241">
        <v>51000</v>
      </c>
      <c r="D23" s="180" t="s">
        <v>937</v>
      </c>
      <c r="E23" s="180"/>
      <c r="F23" s="180"/>
      <c r="G23" s="180"/>
      <c r="H23" s="180"/>
      <c r="I23" s="180"/>
      <c r="J23" s="181"/>
      <c r="K23" s="178"/>
      <c r="L23" s="28"/>
      <c r="M23" s="18"/>
      <c r="N23" s="31"/>
      <c r="O23"/>
      <c r="P23" s="158"/>
      <c r="Q23" s="836" t="s">
        <v>938</v>
      </c>
      <c r="R23" s="836"/>
      <c r="S23" s="194" t="s">
        <v>34</v>
      </c>
      <c r="T23" s="836" t="s">
        <v>939</v>
      </c>
      <c r="U23" s="836"/>
      <c r="V23" s="192" t="s">
        <v>363</v>
      </c>
      <c r="W23" s="325" t="str">
        <f>"[ "&amp;C27*100&amp;"%   x"</f>
        <v>[ 40%   x</v>
      </c>
      <c r="X23" s="191" t="s">
        <v>940</v>
      </c>
      <c r="Y23" s="192"/>
      <c r="Z23" s="192" t="s">
        <v>35</v>
      </c>
      <c r="AA23" s="192" t="s">
        <v>941</v>
      </c>
      <c r="AB23" s="158" t="s">
        <v>942</v>
      </c>
    </row>
    <row r="24" spans="1:28" ht="15" customHeight="1">
      <c r="A24" s="25"/>
      <c r="B24" s="178"/>
      <c r="C24" s="849">
        <v>0.43</v>
      </c>
      <c r="D24" s="187" t="s">
        <v>943</v>
      </c>
      <c r="E24" s="187"/>
      <c r="F24" s="187"/>
      <c r="G24" s="187"/>
      <c r="H24" s="187"/>
      <c r="I24" s="187"/>
      <c r="J24" s="188"/>
      <c r="K24" s="178"/>
      <c r="L24" s="28"/>
      <c r="M24" s="18"/>
      <c r="N24" s="31"/>
      <c r="O24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</row>
    <row r="25" spans="1:28" ht="15" customHeight="1">
      <c r="A25" s="25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28"/>
      <c r="M25" s="18"/>
      <c r="N25" s="31"/>
      <c r="O25"/>
      <c r="P25" s="158"/>
      <c r="Q25" s="837" t="s">
        <v>944</v>
      </c>
      <c r="R25" s="37"/>
      <c r="S25" s="37"/>
      <c r="T25" s="37"/>
      <c r="U25" s="37"/>
      <c r="V25" s="37"/>
      <c r="W25" s="37"/>
      <c r="X25" s="37"/>
      <c r="Y25" s="37"/>
      <c r="Z25" s="37"/>
      <c r="AA25" s="158"/>
      <c r="AB25" s="158"/>
    </row>
    <row r="26" spans="1:28" ht="15" customHeight="1">
      <c r="A26" s="25"/>
      <c r="B26" s="178"/>
      <c r="C26" s="850">
        <v>0.6</v>
      </c>
      <c r="D26" s="175" t="s">
        <v>945</v>
      </c>
      <c r="E26" s="175"/>
      <c r="F26" s="175"/>
      <c r="G26" s="175"/>
      <c r="H26" s="175"/>
      <c r="I26" s="175"/>
      <c r="J26" s="176"/>
      <c r="K26" s="178"/>
      <c r="L26" s="28"/>
      <c r="M26" s="18"/>
      <c r="N26" s="31"/>
      <c r="O26"/>
      <c r="P26" s="158"/>
      <c r="Q26" s="37"/>
      <c r="R26" s="37"/>
      <c r="S26" s="37"/>
      <c r="T26" s="37"/>
      <c r="U26" s="37"/>
      <c r="V26" s="158"/>
      <c r="W26" s="158"/>
      <c r="X26" s="158"/>
      <c r="Y26" s="158"/>
      <c r="Z26" s="158"/>
      <c r="AA26" s="158"/>
      <c r="AB26" s="158"/>
    </row>
    <row r="27" spans="1:28" ht="15" customHeight="1">
      <c r="A27" s="25"/>
      <c r="B27" s="178"/>
      <c r="C27" s="849">
        <v>0.4</v>
      </c>
      <c r="D27" s="187" t="s">
        <v>946</v>
      </c>
      <c r="E27" s="187"/>
      <c r="F27" s="187"/>
      <c r="G27" s="187"/>
      <c r="H27" s="187"/>
      <c r="I27" s="187"/>
      <c r="J27" s="188"/>
      <c r="K27" s="178"/>
      <c r="L27" s="28"/>
      <c r="M27" s="18"/>
      <c r="N27" s="31"/>
      <c r="O27"/>
      <c r="P27" s="158"/>
      <c r="Q27" s="192" t="s">
        <v>947</v>
      </c>
      <c r="R27" s="192" t="s">
        <v>34</v>
      </c>
      <c r="S27" s="388">
        <f>C24</f>
        <v>0.43</v>
      </c>
      <c r="T27" s="192" t="s">
        <v>363</v>
      </c>
      <c r="U27" s="158" t="s">
        <v>948</v>
      </c>
      <c r="V27" s="158"/>
      <c r="W27" s="838" t="s">
        <v>949</v>
      </c>
      <c r="X27" s="158"/>
      <c r="Y27" s="158"/>
      <c r="Z27" s="158"/>
      <c r="AA27" s="158"/>
      <c r="AB27" s="158"/>
    </row>
    <row r="28" spans="1:28" ht="15" customHeight="1">
      <c r="A28" s="25"/>
      <c r="B28" s="1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18"/>
      <c r="N28" s="31"/>
      <c r="O28"/>
      <c r="P28" s="158"/>
      <c r="Q28" s="158"/>
      <c r="R28" s="192" t="s">
        <v>34</v>
      </c>
      <c r="S28" s="388">
        <f>S27</f>
        <v>0.43</v>
      </c>
      <c r="T28" s="192" t="s">
        <v>363</v>
      </c>
      <c r="U28" s="158">
        <f>C23</f>
        <v>51000</v>
      </c>
      <c r="V28" s="158"/>
      <c r="W28" s="158"/>
      <c r="X28" s="158"/>
      <c r="Y28" s="158"/>
      <c r="Z28" s="158"/>
      <c r="AA28" s="158"/>
      <c r="AB28" s="158"/>
    </row>
    <row r="29" spans="1:28" ht="15" customHeight="1">
      <c r="A29" s="25"/>
      <c r="B29" s="1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18"/>
      <c r="N29" s="31"/>
      <c r="O29"/>
      <c r="P29" s="158"/>
      <c r="Q29" s="158"/>
      <c r="R29" s="192" t="s">
        <v>34</v>
      </c>
      <c r="S29" s="192">
        <f>S28*U28</f>
        <v>21930</v>
      </c>
      <c r="T29" s="158"/>
      <c r="U29" s="158"/>
      <c r="V29" s="158"/>
      <c r="W29" s="158"/>
      <c r="X29" s="158"/>
      <c r="Y29" s="158"/>
      <c r="Z29" s="158"/>
      <c r="AA29" s="158"/>
      <c r="AB29" s="158"/>
    </row>
    <row r="30" spans="1:28" ht="15" customHeight="1" thickBot="1">
      <c r="A30" s="24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3"/>
      <c r="N30" s="31"/>
      <c r="O30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</row>
    <row r="31" spans="1:28" ht="15" customHeight="1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/>
      <c r="P31" s="158"/>
      <c r="Q31" s="192" t="s">
        <v>950</v>
      </c>
      <c r="R31" s="192" t="s">
        <v>34</v>
      </c>
      <c r="S31" s="158" t="s">
        <v>951</v>
      </c>
      <c r="T31" s="194" t="s">
        <v>189</v>
      </c>
      <c r="U31" s="192" t="s">
        <v>947</v>
      </c>
      <c r="V31" s="158"/>
      <c r="W31" s="838" t="s">
        <v>952</v>
      </c>
      <c r="X31" s="158"/>
      <c r="Y31" s="158"/>
      <c r="Z31" s="158"/>
      <c r="AA31" s="158"/>
      <c r="AB31" s="158"/>
    </row>
    <row r="32" spans="1:28" ht="15" customHeight="1">
      <c r="N32" s="31"/>
      <c r="O32"/>
      <c r="P32" s="158"/>
      <c r="Q32" s="158"/>
      <c r="R32" s="192" t="s">
        <v>34</v>
      </c>
      <c r="S32" s="192">
        <f>C23</f>
        <v>51000</v>
      </c>
      <c r="T32" s="194" t="s">
        <v>189</v>
      </c>
      <c r="U32" s="192">
        <f>S29</f>
        <v>21930</v>
      </c>
      <c r="V32" s="158"/>
      <c r="W32" s="158"/>
      <c r="X32" s="158"/>
      <c r="Y32" s="158"/>
      <c r="Z32" s="158"/>
      <c r="AA32" s="158"/>
      <c r="AB32" s="158"/>
    </row>
    <row r="33" spans="2:28" ht="15" customHeight="1">
      <c r="N33" s="31"/>
      <c r="O33" s="48"/>
      <c r="P33" s="158"/>
      <c r="Q33" s="158"/>
      <c r="R33" s="192" t="s">
        <v>34</v>
      </c>
      <c r="S33" s="192">
        <f>S32-U32</f>
        <v>29070</v>
      </c>
      <c r="T33" s="158"/>
      <c r="U33" s="158"/>
      <c r="V33" s="158"/>
      <c r="W33" s="158"/>
      <c r="X33" s="158"/>
      <c r="Y33" s="158"/>
      <c r="Z33" s="158"/>
      <c r="AA33" s="158"/>
      <c r="AB33" s="158"/>
    </row>
    <row r="34" spans="2:28" ht="15" customHeight="1">
      <c r="N34" s="31"/>
      <c r="O34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</row>
    <row r="35" spans="2:28" ht="15" customHeight="1">
      <c r="N35" s="31"/>
      <c r="O35" s="48"/>
      <c r="P35" s="158"/>
      <c r="Q35" s="218" t="s">
        <v>953</v>
      </c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</row>
    <row r="36" spans="2:28" ht="15" customHeight="1">
      <c r="N36" s="31"/>
      <c r="O36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</row>
    <row r="37" spans="2:28" ht="15" customHeight="1">
      <c r="N37" s="31"/>
      <c r="O37"/>
      <c r="P37" s="158"/>
      <c r="Q37" s="836" t="s">
        <v>938</v>
      </c>
      <c r="R37" s="836"/>
      <c r="S37" s="194" t="s">
        <v>34</v>
      </c>
      <c r="T37" s="839">
        <f>T19</f>
        <v>0.1</v>
      </c>
      <c r="U37" s="836"/>
      <c r="V37" s="192" t="s">
        <v>363</v>
      </c>
      <c r="W37" s="325" t="str">
        <f>"[ "&amp;C27*100&amp;"%   x"</f>
        <v>[ 40%   x</v>
      </c>
      <c r="X37" s="192">
        <f>C22+S29</f>
        <v>195930</v>
      </c>
      <c r="Y37" s="192" t="s">
        <v>35</v>
      </c>
      <c r="Z37" s="192" t="s">
        <v>941</v>
      </c>
      <c r="AA37" s="192">
        <f>S33</f>
        <v>29070</v>
      </c>
      <c r="AB37" s="158" t="s">
        <v>954</v>
      </c>
    </row>
    <row r="38" spans="2:28" ht="15" customHeight="1">
      <c r="N38" s="31"/>
      <c r="O38"/>
      <c r="P38" s="158"/>
      <c r="Q38" s="840" t="s">
        <v>938</v>
      </c>
      <c r="R38" s="841"/>
      <c r="S38" s="842" t="s">
        <v>34</v>
      </c>
      <c r="T38" s="843">
        <f>T19*(C27*X37+AA37)</f>
        <v>10744.2</v>
      </c>
      <c r="U38" s="844" t="s">
        <v>955</v>
      </c>
      <c r="V38" s="158"/>
      <c r="W38" s="158"/>
      <c r="X38" s="158"/>
      <c r="Y38" s="158"/>
      <c r="Z38" s="158"/>
      <c r="AA38" s="158"/>
      <c r="AB38" s="158"/>
    </row>
    <row r="39" spans="2:28" ht="15" customHeight="1">
      <c r="N39" s="31"/>
      <c r="O39"/>
      <c r="Z39" s="122"/>
      <c r="AA39" s="192"/>
    </row>
    <row r="40" spans="2:28" ht="15" customHeight="1">
      <c r="N40" s="31"/>
      <c r="O40"/>
      <c r="Z40" s="122"/>
      <c r="AA40" s="192"/>
    </row>
    <row r="41" spans="2:28" ht="15" customHeight="1">
      <c r="N41" s="31"/>
      <c r="O41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22"/>
      <c r="AA41" s="192"/>
    </row>
    <row r="42" spans="2:28" ht="15" customHeight="1">
      <c r="N42" s="31"/>
      <c r="O42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22"/>
      <c r="AA42" s="192"/>
    </row>
    <row r="43" spans="2:28" ht="15" customHeight="1">
      <c r="N43" s="31"/>
      <c r="O43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22"/>
      <c r="AA43" s="192"/>
    </row>
    <row r="44" spans="2:28" ht="15" customHeight="1">
      <c r="N44" s="31"/>
      <c r="O44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22"/>
      <c r="AA44" s="192"/>
    </row>
    <row r="45" spans="2:28" ht="15" customHeight="1">
      <c r="N45" s="31"/>
      <c r="O45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22"/>
      <c r="AA45" s="192"/>
    </row>
    <row r="46" spans="2:28" ht="15" customHeight="1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22"/>
      <c r="AA46" s="192"/>
    </row>
    <row r="47" spans="2:28" ht="15" customHeight="1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22"/>
      <c r="AA47" s="192"/>
    </row>
    <row r="48" spans="2:28" ht="15" customHeight="1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22"/>
      <c r="AA48" s="192"/>
    </row>
    <row r="49" spans="2:27" ht="15" customHeight="1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22"/>
      <c r="AA49" s="192"/>
    </row>
    <row r="50" spans="2:27" ht="15" customHeight="1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22"/>
      <c r="AA50" s="192"/>
    </row>
    <row r="51" spans="2:27" ht="15" customHeight="1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22"/>
      <c r="AA51" s="192"/>
    </row>
    <row r="52" spans="2:27" ht="15" customHeight="1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</row>
    <row r="53" spans="2:27" ht="15" customHeight="1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spans="2:27" ht="15" customHeight="1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</row>
    <row r="55" spans="2:27" ht="15" customHeight="1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</row>
    <row r="56" spans="2:27" ht="15" customHeight="1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</row>
    <row r="57" spans="2:27" ht="15" customHeight="1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</row>
    <row r="58" spans="2:27" ht="15" customHeight="1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</row>
    <row r="59" spans="2:27" ht="15" customHeight="1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</row>
    <row r="60" spans="2:27" ht="15" customHeight="1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</row>
    <row r="61" spans="2:27" ht="15" customHeight="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</row>
    <row r="62" spans="2:27" ht="15" customHeight="1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</row>
    <row r="63" spans="2:27" ht="15" customHeight="1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</row>
    <row r="64" spans="2:27" ht="15" customHeight="1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</row>
    <row r="65" spans="2:14" ht="15" customHeight="1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</row>
    <row r="66" spans="2:14" ht="15" customHeight="1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</row>
    <row r="67" spans="2:14" ht="15" customHeight="1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</row>
    <row r="68" spans="2:14" ht="15" customHeight="1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</row>
    <row r="69" spans="2:14" ht="15" customHeight="1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</row>
    <row r="70" spans="2:14" ht="15" customHeight="1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</row>
    <row r="71" spans="2:14" ht="15" customHeight="1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</row>
    <row r="72" spans="2:14" ht="15" customHeight="1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</row>
    <row r="73" spans="2:14" ht="15" customHeight="1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</row>
    <row r="74" spans="2:14" ht="15" customHeight="1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</row>
    <row r="75" spans="2:14" ht="15" customHeight="1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</row>
    <row r="76" spans="2:14" ht="15" customHeight="1"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</row>
    <row r="77" spans="2:14" ht="15" customHeight="1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</row>
    <row r="78" spans="2:14" ht="15" customHeight="1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</row>
    <row r="79" spans="2:14" ht="15" customHeight="1"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</row>
    <row r="80" spans="2:14" ht="15" customHeight="1"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</row>
    <row r="81" spans="2:14" ht="15" customHeight="1"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</row>
    <row r="82" spans="2:14" ht="15" customHeight="1"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</row>
    <row r="83" spans="2:14" ht="15" customHeight="1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</row>
    <row r="84" spans="2:14" ht="15" customHeight="1"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</row>
    <row r="85" spans="2:14" ht="15" customHeight="1"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</row>
    <row r="86" spans="2:14" ht="15" customHeight="1"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spans="2:14" ht="15" customHeight="1"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</row>
    <row r="88" spans="2:14" ht="15" customHeight="1"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</row>
    <row r="89" spans="2:14" ht="15" customHeight="1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</row>
    <row r="90" spans="2:14" ht="15" customHeight="1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</row>
    <row r="91" spans="2:14" ht="15" customHeight="1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</row>
    <row r="92" spans="2:14" ht="15" customHeight="1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</row>
    <row r="93" spans="2:14" ht="15" customHeight="1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</row>
    <row r="94" spans="2:14" ht="15" customHeight="1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</row>
    <row r="95" spans="2:14" ht="15" customHeight="1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</row>
    <row r="96" spans="2:14" ht="15" customHeight="1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</row>
    <row r="97" spans="2:14" ht="15" customHeight="1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</row>
    <row r="98" spans="2:14" ht="15" customHeight="1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</row>
    <row r="99" spans="2:14" ht="15" customHeight="1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</row>
    <row r="100" spans="2:14" ht="15" customHeight="1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</row>
    <row r="101" spans="2:14" ht="15" customHeight="1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</row>
  </sheetData>
  <mergeCells count="1">
    <mergeCell ref="L1:M1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cp:lastPrinted>2021-10-02T06:02:13Z</cp:lastPrinted>
  <dcterms:created xsi:type="dcterms:W3CDTF">2020-12-22T11:57:29Z</dcterms:created>
  <dcterms:modified xsi:type="dcterms:W3CDTF">2024-04-18T10:51:22Z</dcterms:modified>
</cp:coreProperties>
</file>