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wner\Desktop\OneDrive\Exam 5\pratice exams\BA_Exam_A02\"/>
    </mc:Choice>
  </mc:AlternateContent>
  <bookViews>
    <workbookView xWindow="0" yWindow="0" windowWidth="24000" windowHeight="9735" tabRatio="681"/>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 name="25" sheetId="27" r:id="rId27"/>
    <sheet name="26" sheetId="69" r:id="rId28"/>
    <sheet name="27" sheetId="68" r:id="rId29"/>
    <sheet name="28" sheetId="67" r:id="rId30"/>
    <sheet name="29" sheetId="66" r:id="rId31"/>
    <sheet name="30" sheetId="65" r:id="rId3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65" l="1"/>
  <c r="S17" i="65"/>
  <c r="S16" i="65"/>
  <c r="S15" i="65"/>
  <c r="S14" i="65"/>
  <c r="B22" i="69" l="1"/>
  <c r="B23" i="69"/>
  <c r="B24" i="69" s="1"/>
  <c r="B28" i="69"/>
  <c r="B29" i="69" s="1"/>
  <c r="B30" i="69" s="1"/>
  <c r="B31" i="69" s="1"/>
  <c r="A7" i="69"/>
  <c r="A18" i="69"/>
  <c r="Q51" i="28" l="1"/>
  <c r="O46" i="28"/>
  <c r="O44" i="28"/>
  <c r="O43" i="28"/>
  <c r="M44" i="28"/>
  <c r="M43" i="28"/>
  <c r="R14" i="30" l="1"/>
  <c r="R36" i="68"/>
  <c r="O33" i="68"/>
  <c r="S32" i="68"/>
  <c r="T27" i="68"/>
  <c r="S22" i="68"/>
  <c r="P27" i="68"/>
  <c r="P25" i="68"/>
  <c r="S18" i="68"/>
  <c r="P18" i="68"/>
  <c r="P19" i="68" s="1"/>
  <c r="N9" i="68"/>
  <c r="E42" i="67" l="1"/>
  <c r="Q43" i="23"/>
  <c r="R41" i="23"/>
  <c r="Q50" i="23"/>
  <c r="R49" i="23"/>
  <c r="Q49" i="23"/>
  <c r="S48" i="23"/>
  <c r="R48" i="23"/>
  <c r="Q48" i="23"/>
  <c r="S41" i="23"/>
  <c r="Q41" i="23"/>
  <c r="Q36" i="23"/>
  <c r="Q35" i="23"/>
  <c r="S34" i="23"/>
  <c r="R34" i="23"/>
  <c r="Q34" i="23"/>
  <c r="Q29" i="23"/>
  <c r="R28" i="23"/>
  <c r="Q28" i="23"/>
  <c r="S27" i="23"/>
  <c r="R27" i="23"/>
  <c r="Q27" i="23"/>
  <c r="R9" i="23"/>
  <c r="D13" i="23"/>
  <c r="D12" i="23"/>
  <c r="E12" i="23" s="1"/>
  <c r="E11" i="23"/>
  <c r="D11" i="23"/>
  <c r="R42" i="23" l="1"/>
  <c r="Q42" i="23"/>
  <c r="Q29" i="20" l="1"/>
  <c r="Q30" i="20" s="1"/>
  <c r="Q31" i="20" s="1"/>
  <c r="T21" i="20"/>
  <c r="T20" i="20"/>
  <c r="V18" i="20"/>
  <c r="R18" i="20"/>
  <c r="P29" i="20" s="1"/>
  <c r="Q12" i="20"/>
  <c r="Q13" i="20" s="1"/>
  <c r="Q14" i="20" s="1"/>
  <c r="Q11" i="20"/>
  <c r="P10" i="20"/>
  <c r="R10" i="20" s="1"/>
  <c r="V6" i="20"/>
  <c r="R6" i="20"/>
  <c r="P30" i="20" l="1"/>
  <c r="P31" i="20"/>
  <c r="V10" i="20"/>
  <c r="W10" i="20"/>
  <c r="Q32" i="20"/>
  <c r="V31" i="20"/>
  <c r="W29" i="20"/>
  <c r="V29" i="20"/>
  <c r="R29" i="20"/>
  <c r="V30" i="20"/>
  <c r="R31" i="20"/>
  <c r="W31" i="20"/>
  <c r="P11" i="20"/>
  <c r="R30" i="20"/>
  <c r="P32" i="20"/>
  <c r="W30" i="20"/>
  <c r="P28" i="20"/>
  <c r="P24" i="1"/>
  <c r="A33" i="54"/>
  <c r="O7" i="54"/>
  <c r="M7" i="54"/>
  <c r="S6" i="54"/>
  <c r="Q6" i="54"/>
  <c r="O6" i="54"/>
  <c r="M6" i="54"/>
  <c r="V32" i="20" l="1"/>
  <c r="R32" i="20"/>
  <c r="W32" i="20"/>
  <c r="V28" i="20"/>
  <c r="R28" i="20"/>
  <c r="W28" i="20"/>
  <c r="P12" i="20"/>
  <c r="V11" i="20"/>
  <c r="R11" i="20"/>
  <c r="W11" i="20"/>
  <c r="U48" i="35"/>
  <c r="S44" i="35"/>
  <c r="Q44" i="35"/>
  <c r="O40" i="35"/>
  <c r="N33" i="35"/>
  <c r="M33" i="35"/>
  <c r="P32" i="35"/>
  <c r="Q32" i="35" s="1"/>
  <c r="O32" i="35"/>
  <c r="O33" i="35" s="1"/>
  <c r="N32" i="35"/>
  <c r="M32" i="35"/>
  <c r="A15" i="35"/>
  <c r="O12" i="35"/>
  <c r="O11" i="35"/>
  <c r="Q5" i="35"/>
  <c r="O6" i="35"/>
  <c r="R33" i="20" l="1"/>
  <c r="W12" i="20"/>
  <c r="P13" i="20"/>
  <c r="V12" i="20"/>
  <c r="R12" i="20"/>
  <c r="P33" i="35"/>
  <c r="Q33" i="35" s="1"/>
  <c r="Q34" i="35"/>
  <c r="Q40" i="35" s="1"/>
  <c r="O41" i="35" s="1"/>
  <c r="O44" i="35" s="1"/>
  <c r="O45" i="35" s="1"/>
  <c r="V13" i="20" l="1"/>
  <c r="W13" i="20"/>
  <c r="R13" i="20"/>
  <c r="P14" i="20"/>
  <c r="O25" i="41"/>
  <c r="N25" i="41"/>
  <c r="O24" i="41"/>
  <c r="N24" i="41"/>
  <c r="O23" i="41"/>
  <c r="N23" i="41"/>
  <c r="O22" i="41"/>
  <c r="N22" i="41"/>
  <c r="P21" i="41"/>
  <c r="O21" i="41"/>
  <c r="N21" i="41"/>
  <c r="T16" i="41"/>
  <c r="R16" i="41"/>
  <c r="V16" i="41" s="1"/>
  <c r="P25" i="41" s="1"/>
  <c r="Q25" i="41" s="1"/>
  <c r="N16" i="41"/>
  <c r="T15" i="41"/>
  <c r="R15" i="41"/>
  <c r="V15" i="41" s="1"/>
  <c r="P24" i="41" s="1"/>
  <c r="Q24" i="41" s="1"/>
  <c r="N15" i="41"/>
  <c r="T14" i="41"/>
  <c r="R14" i="41"/>
  <c r="V14" i="41" s="1"/>
  <c r="P23" i="41" s="1"/>
  <c r="Q23" i="41" s="1"/>
  <c r="N14" i="41"/>
  <c r="T13" i="41"/>
  <c r="R13" i="41"/>
  <c r="V13" i="41" s="1"/>
  <c r="P22" i="41" s="1"/>
  <c r="Q22" i="41" s="1"/>
  <c r="N13" i="41"/>
  <c r="R14" i="20" l="1"/>
  <c r="R15" i="20" s="1"/>
  <c r="W14" i="20"/>
  <c r="V14" i="20"/>
  <c r="Q26" i="41"/>
  <c r="S25" i="42" l="1"/>
  <c r="R25" i="42"/>
  <c r="T25" i="42" s="1"/>
  <c r="Q25" i="42"/>
  <c r="T24" i="42"/>
  <c r="S24" i="42"/>
  <c r="V24" i="42" s="1"/>
  <c r="R24" i="42"/>
  <c r="Q24" i="42"/>
  <c r="T23" i="42"/>
  <c r="X23" i="42" s="1"/>
  <c r="S23" i="42"/>
  <c r="V23" i="42" s="1"/>
  <c r="R23" i="42"/>
  <c r="Q23" i="42"/>
  <c r="S22" i="42"/>
  <c r="R22" i="42"/>
  <c r="T22" i="42" s="1"/>
  <c r="Q22" i="42"/>
  <c r="S21" i="42"/>
  <c r="R21" i="42"/>
  <c r="V21" i="42" s="1"/>
  <c r="W21" i="42" s="1"/>
  <c r="Q21" i="42"/>
  <c r="T20" i="42"/>
  <c r="S20" i="42"/>
  <c r="V20" i="42" s="1"/>
  <c r="R20" i="42"/>
  <c r="Q20" i="42"/>
  <c r="T19" i="42"/>
  <c r="S19" i="42"/>
  <c r="V19" i="42" s="1"/>
  <c r="R19" i="42"/>
  <c r="Q19" i="42"/>
  <c r="S18" i="42"/>
  <c r="R18" i="42"/>
  <c r="T18" i="42" s="1"/>
  <c r="Q18" i="42"/>
  <c r="S17" i="42"/>
  <c r="R17" i="42"/>
  <c r="V17" i="42" s="1"/>
  <c r="Q17" i="42"/>
  <c r="T16" i="42"/>
  <c r="X16" i="42" s="1"/>
  <c r="Y16" i="42" s="1"/>
  <c r="S16" i="42"/>
  <c r="V16" i="42" s="1"/>
  <c r="R16" i="42"/>
  <c r="Q16" i="42"/>
  <c r="T15" i="42"/>
  <c r="U15" i="42" s="1"/>
  <c r="S15" i="42"/>
  <c r="V15" i="42" s="1"/>
  <c r="R15" i="42"/>
  <c r="Q15" i="42"/>
  <c r="S14" i="42"/>
  <c r="R14" i="42"/>
  <c r="T14" i="42" s="1"/>
  <c r="Q14" i="42"/>
  <c r="T13" i="42"/>
  <c r="S13" i="42"/>
  <c r="V13" i="42" s="1"/>
  <c r="R13" i="42"/>
  <c r="Q13" i="42"/>
  <c r="V12" i="42"/>
  <c r="S12" i="42"/>
  <c r="R12" i="42"/>
  <c r="T12" i="42" s="1"/>
  <c r="X12" i="42" s="1"/>
  <c r="Q12" i="42"/>
  <c r="T11" i="42"/>
  <c r="S11" i="42"/>
  <c r="V11" i="42" s="1"/>
  <c r="R11" i="42"/>
  <c r="Q11" i="42"/>
  <c r="V10" i="42"/>
  <c r="S10" i="42"/>
  <c r="R10" i="42"/>
  <c r="T10" i="42" s="1"/>
  <c r="X10" i="42" s="1"/>
  <c r="Q10" i="42"/>
  <c r="U24" i="42" l="1"/>
  <c r="W19" i="42"/>
  <c r="W20" i="42"/>
  <c r="U19" i="42"/>
  <c r="W16" i="42"/>
  <c r="X11" i="42"/>
  <c r="X13" i="42"/>
  <c r="U18" i="42"/>
  <c r="W17" i="42"/>
  <c r="X20" i="42"/>
  <c r="Y20" i="42" s="1"/>
  <c r="U14" i="42"/>
  <c r="W15" i="42"/>
  <c r="U22" i="42"/>
  <c r="W23" i="42"/>
  <c r="W24" i="42"/>
  <c r="V25" i="42"/>
  <c r="W25" i="42" s="1"/>
  <c r="V22" i="42"/>
  <c r="U23" i="42"/>
  <c r="X24" i="42"/>
  <c r="Y24" i="42" s="1"/>
  <c r="U16" i="42"/>
  <c r="T17" i="42"/>
  <c r="U20" i="42"/>
  <c r="T21" i="42"/>
  <c r="X15" i="42"/>
  <c r="X19" i="42"/>
  <c r="V14" i="42"/>
  <c r="W14" i="42" s="1"/>
  <c r="V18" i="42"/>
  <c r="W18" i="42" s="1"/>
  <c r="Y19" i="42" l="1"/>
  <c r="U21" i="42"/>
  <c r="X21" i="42"/>
  <c r="U25" i="42"/>
  <c r="X18" i="42"/>
  <c r="U17" i="42"/>
  <c r="X17" i="42"/>
  <c r="Y17" i="42" s="1"/>
  <c r="W22" i="42"/>
  <c r="X14" i="42"/>
  <c r="Y14" i="42" s="1"/>
  <c r="Y15" i="42"/>
  <c r="X22" i="42"/>
  <c r="X25" i="42"/>
  <c r="Y25" i="42" s="1"/>
  <c r="Y23" i="42"/>
  <c r="Y18" i="42" l="1"/>
  <c r="Y22" i="42"/>
  <c r="Y21" i="42"/>
  <c r="M6" i="52" l="1"/>
  <c r="S5" i="52"/>
  <c r="P5" i="52"/>
  <c r="N5" i="52"/>
  <c r="W37" i="65" l="1"/>
  <c r="T37" i="65"/>
  <c r="S32" i="65"/>
  <c r="U28" i="65"/>
  <c r="S27" i="65"/>
  <c r="S28" i="65" s="1"/>
  <c r="W23" i="65"/>
  <c r="R18" i="65"/>
  <c r="T18" i="65" s="1"/>
  <c r="Q18" i="65"/>
  <c r="Q17" i="65" s="1"/>
  <c r="Q16" i="65" s="1"/>
  <c r="Q15" i="65" s="1"/>
  <c r="Q14" i="65" s="1"/>
  <c r="R17" i="65"/>
  <c r="R16" i="65"/>
  <c r="R15" i="65"/>
  <c r="R14" i="65"/>
  <c r="S13" i="65"/>
  <c r="S12" i="65"/>
  <c r="Q10" i="65"/>
  <c r="T36" i="66"/>
  <c r="S36" i="66"/>
  <c r="R36" i="66"/>
  <c r="R33" i="66"/>
  <c r="V24" i="66"/>
  <c r="U24" i="66"/>
  <c r="T24" i="66"/>
  <c r="S24" i="66"/>
  <c r="V23" i="66"/>
  <c r="U23" i="66"/>
  <c r="T23" i="66"/>
  <c r="S23" i="66"/>
  <c r="S22" i="66"/>
  <c r="X20" i="66"/>
  <c r="X19" i="66"/>
  <c r="V18" i="66"/>
  <c r="V19" i="66" s="1"/>
  <c r="R17" i="66"/>
  <c r="X14" i="66"/>
  <c r="V13" i="66"/>
  <c r="U13" i="66"/>
  <c r="T13" i="66"/>
  <c r="S13" i="66"/>
  <c r="S9" i="66"/>
  <c r="R9" i="66"/>
  <c r="R8" i="66" s="1"/>
  <c r="T8" i="66"/>
  <c r="S8" i="66"/>
  <c r="U7" i="66"/>
  <c r="T7" i="66"/>
  <c r="S7" i="66"/>
  <c r="V6" i="66"/>
  <c r="U14" i="66" s="1"/>
  <c r="U18" i="66" s="1"/>
  <c r="U6" i="66"/>
  <c r="T6" i="66"/>
  <c r="S6" i="66"/>
  <c r="U36" i="66"/>
  <c r="R54" i="67"/>
  <c r="M54" i="67"/>
  <c r="M46" i="67"/>
  <c r="R43" i="67"/>
  <c r="R42" i="67"/>
  <c r="M42" i="67"/>
  <c r="R39" i="67"/>
  <c r="R47" i="67" s="1"/>
  <c r="P48" i="67" s="1"/>
  <c r="P39" i="67"/>
  <c r="P38" i="67"/>
  <c r="T34" i="67"/>
  <c r="R38" i="67" s="1"/>
  <c r="P34" i="67"/>
  <c r="N34" i="67"/>
  <c r="T17" i="65" l="1"/>
  <c r="T14" i="65"/>
  <c r="T16" i="65"/>
  <c r="T15" i="65"/>
  <c r="S29" i="65"/>
  <c r="U32" i="65" s="1"/>
  <c r="S33" i="65" s="1"/>
  <c r="AA37" i="65" s="1"/>
  <c r="X37" i="65"/>
  <c r="S14" i="66"/>
  <c r="S15" i="66"/>
  <c r="S16" i="66"/>
  <c r="T14" i="66"/>
  <c r="T15" i="66"/>
  <c r="T18" i="66" s="1"/>
  <c r="U22" i="66"/>
  <c r="R16" i="66"/>
  <c r="R7" i="66"/>
  <c r="R6" i="66" s="1"/>
  <c r="R14" i="66" s="1"/>
  <c r="U19" i="66"/>
  <c r="U20" i="66" s="1"/>
  <c r="S31" i="66" s="1"/>
  <c r="T31" i="66" s="1"/>
  <c r="R32" i="66"/>
  <c r="V20" i="66"/>
  <c r="S30" i="66" s="1"/>
  <c r="T22" i="66"/>
  <c r="P40" i="67"/>
  <c r="P43" i="67" s="1"/>
  <c r="P44" i="67" s="1"/>
  <c r="P61" i="67" s="1"/>
  <c r="T61" i="67"/>
  <c r="R55" i="67"/>
  <c r="P56" i="67" s="1"/>
  <c r="V61" i="67" s="1"/>
  <c r="R46" i="67"/>
  <c r="V34" i="67"/>
  <c r="O32" i="68"/>
  <c r="O36" i="68" s="1"/>
  <c r="O37" i="68" s="1"/>
  <c r="Q32" i="68"/>
  <c r="P23" i="68"/>
  <c r="R27" i="68" s="1"/>
  <c r="P28" i="68" s="1"/>
  <c r="P22" i="68"/>
  <c r="N10" i="68"/>
  <c r="U68" i="69"/>
  <c r="T68" i="69"/>
  <c r="S68" i="69"/>
  <c r="W64" i="69"/>
  <c r="W62" i="69"/>
  <c r="W61" i="69"/>
  <c r="V61" i="69"/>
  <c r="U61" i="69"/>
  <c r="T61" i="69"/>
  <c r="V58" i="69"/>
  <c r="U58" i="69"/>
  <c r="V57" i="69"/>
  <c r="S55" i="69"/>
  <c r="S56" i="69" s="1"/>
  <c r="S57" i="69" s="1"/>
  <c r="S58" i="69" s="1"/>
  <c r="V54" i="69"/>
  <c r="U54" i="69"/>
  <c r="T54" i="69"/>
  <c r="T50" i="69"/>
  <c r="T65" i="69" s="1"/>
  <c r="U49" i="69"/>
  <c r="U65" i="69" s="1"/>
  <c r="V48" i="69"/>
  <c r="V65" i="69" s="1"/>
  <c r="W47" i="69"/>
  <c r="W65" i="69" s="1"/>
  <c r="S47" i="69"/>
  <c r="S48" i="69" s="1"/>
  <c r="S49" i="69" s="1"/>
  <c r="S50" i="69" s="1"/>
  <c r="S38" i="69"/>
  <c r="S39" i="69" s="1"/>
  <c r="V32" i="69"/>
  <c r="AC39" i="69" s="1"/>
  <c r="AC29" i="69"/>
  <c r="AB29" i="69"/>
  <c r="W29" i="69"/>
  <c r="V29" i="69"/>
  <c r="AC28" i="69"/>
  <c r="W28" i="69"/>
  <c r="Y26" i="69"/>
  <c r="Y27" i="69" s="1"/>
  <c r="Y28" i="69" s="1"/>
  <c r="Y29" i="69" s="1"/>
  <c r="S26" i="69"/>
  <c r="S27" i="69" s="1"/>
  <c r="S28" i="69" s="1"/>
  <c r="S29" i="69" s="1"/>
  <c r="V64" i="69"/>
  <c r="AB19" i="69"/>
  <c r="V19" i="69"/>
  <c r="Z17" i="69"/>
  <c r="AA39" i="69" s="1"/>
  <c r="T17" i="69"/>
  <c r="AA16" i="69"/>
  <c r="Z16" i="69"/>
  <c r="U16" i="69"/>
  <c r="T16" i="69"/>
  <c r="AB15" i="69"/>
  <c r="AA15" i="69"/>
  <c r="Z15" i="69"/>
  <c r="Z19" i="69" s="1"/>
  <c r="V15" i="69"/>
  <c r="U15" i="69"/>
  <c r="T15" i="69"/>
  <c r="T19" i="69" s="1"/>
  <c r="AC14" i="69"/>
  <c r="AB14" i="69"/>
  <c r="AA14" i="69"/>
  <c r="AA27" i="69" s="1"/>
  <c r="Z14" i="69"/>
  <c r="Y14" i="69"/>
  <c r="Y15" i="69" s="1"/>
  <c r="Y16" i="69" s="1"/>
  <c r="Y17" i="69" s="1"/>
  <c r="W14" i="69"/>
  <c r="V14" i="69"/>
  <c r="U14" i="69"/>
  <c r="T14" i="69"/>
  <c r="S14" i="69"/>
  <c r="S15" i="69" s="1"/>
  <c r="S16" i="69" s="1"/>
  <c r="S17" i="69" s="1"/>
  <c r="P27" i="27"/>
  <c r="U19" i="27"/>
  <c r="Q17" i="27"/>
  <c r="P17" i="27"/>
  <c r="N16" i="27"/>
  <c r="Q16" i="27" s="1"/>
  <c r="M13" i="27"/>
  <c r="S12" i="27"/>
  <c r="R12" i="27"/>
  <c r="U28" i="69" l="1"/>
  <c r="T19" i="66"/>
  <c r="T38" i="65"/>
  <c r="R15" i="66"/>
  <c r="R31" i="66"/>
  <c r="S18" i="66"/>
  <c r="S19" i="66" s="1"/>
  <c r="S20" i="66" s="1"/>
  <c r="S33" i="66" s="1"/>
  <c r="R30" i="66"/>
  <c r="V22" i="66"/>
  <c r="T30" i="66"/>
  <c r="T20" i="66"/>
  <c r="S32" i="66" s="1"/>
  <c r="T32" i="66" s="1"/>
  <c r="M50" i="67"/>
  <c r="P60" i="67" s="1"/>
  <c r="R51" i="67"/>
  <c r="P52" i="67" s="1"/>
  <c r="R61" i="67" s="1"/>
  <c r="P62" i="67" s="1"/>
  <c r="R50" i="67"/>
  <c r="T29" i="69"/>
  <c r="AB27" i="69"/>
  <c r="V27" i="69"/>
  <c r="T64" i="69"/>
  <c r="W66" i="69"/>
  <c r="Z28" i="69"/>
  <c r="U27" i="69"/>
  <c r="Z27" i="69"/>
  <c r="T28" i="69"/>
  <c r="T27" i="69"/>
  <c r="S40" i="69"/>
  <c r="S41" i="69" s="1"/>
  <c r="T41" i="69" s="1"/>
  <c r="V39" i="69"/>
  <c r="V38" i="69"/>
  <c r="V47" i="69" s="1"/>
  <c r="Z29" i="69"/>
  <c r="W38" i="69"/>
  <c r="U64" i="69"/>
  <c r="AA28" i="69"/>
  <c r="N15" i="27"/>
  <c r="Q15" i="27" s="1"/>
  <c r="P16" i="27"/>
  <c r="S13" i="27"/>
  <c r="M14" i="27"/>
  <c r="P15" i="27"/>
  <c r="N14" i="27"/>
  <c r="R13" i="27"/>
  <c r="W36" i="66" l="1"/>
  <c r="T33" i="66"/>
  <c r="S34" i="66"/>
  <c r="T34" i="66"/>
  <c r="U40" i="69"/>
  <c r="T40" i="69"/>
  <c r="T49" i="69" s="1"/>
  <c r="T57" i="69" s="1"/>
  <c r="U39" i="69"/>
  <c r="U48" i="69" s="1"/>
  <c r="U56" i="69" s="1"/>
  <c r="T39" i="69"/>
  <c r="AA48" i="69" s="1"/>
  <c r="T38" i="69"/>
  <c r="T47" i="69" s="1"/>
  <c r="U38" i="69"/>
  <c r="U47" i="69" s="1"/>
  <c r="U55" i="69" s="1"/>
  <c r="V55" i="69"/>
  <c r="V59" i="69" s="1"/>
  <c r="V62" i="69" s="1"/>
  <c r="T55" i="69"/>
  <c r="M15" i="27"/>
  <c r="S14" i="27"/>
  <c r="R14" i="27"/>
  <c r="N13" i="27"/>
  <c r="Q14" i="27"/>
  <c r="P14" i="27"/>
  <c r="U59" i="69" l="1"/>
  <c r="Y39" i="69"/>
  <c r="T48" i="69"/>
  <c r="Y48" i="69" s="1"/>
  <c r="U62" i="69"/>
  <c r="V66" i="69"/>
  <c r="Q13" i="27"/>
  <c r="N12" i="27"/>
  <c r="P13" i="27"/>
  <c r="M16" i="27"/>
  <c r="S15" i="27"/>
  <c r="R15" i="27"/>
  <c r="T56" i="69" l="1"/>
  <c r="T59" i="69" s="1"/>
  <c r="T62" i="69" s="1"/>
  <c r="T66" i="69" s="1"/>
  <c r="W68" i="69" s="1"/>
  <c r="U66" i="69"/>
  <c r="U23" i="27"/>
  <c r="U22" i="27"/>
  <c r="P12" i="27"/>
  <c r="Q12" i="27"/>
  <c r="M17" i="27"/>
  <c r="S16" i="27"/>
  <c r="R16" i="27"/>
  <c r="Q22" i="27"/>
  <c r="Q23" i="27"/>
  <c r="P24" i="27" s="1"/>
  <c r="S27" i="27" s="1"/>
  <c r="P28" i="27" s="1"/>
  <c r="S17" i="27" l="1"/>
  <c r="R17" i="27"/>
  <c r="O51" i="28" l="1"/>
  <c r="N24" i="29"/>
  <c r="Q26" i="29"/>
  <c r="Q25" i="29"/>
  <c r="N25" i="29"/>
  <c r="Q17" i="29"/>
  <c r="Q24" i="29"/>
  <c r="O24" i="29"/>
  <c r="Q18" i="29"/>
  <c r="N17" i="29"/>
  <c r="N18" i="29" s="1"/>
  <c r="Q16" i="29"/>
  <c r="O16" i="29"/>
  <c r="R35" i="29"/>
  <c r="W38" i="29" s="1"/>
  <c r="Q23" i="30"/>
  <c r="P23" i="30"/>
  <c r="O23" i="30"/>
  <c r="T20" i="30"/>
  <c r="Q20" i="30"/>
  <c r="Q19" i="30"/>
  <c r="O18" i="30"/>
  <c r="Q14" i="30"/>
  <c r="T11" i="30"/>
  <c r="R11" i="30"/>
  <c r="U16" i="23"/>
  <c r="T16" i="23"/>
  <c r="S16" i="23"/>
  <c r="R16" i="23"/>
  <c r="U13" i="23"/>
  <c r="U12" i="23"/>
  <c r="T12" i="23"/>
  <c r="S12" i="23"/>
  <c r="R12" i="23"/>
  <c r="Q5" i="23"/>
  <c r="Q6" i="23" s="1"/>
  <c r="Q7" i="23" s="1"/>
  <c r="Q8" i="23" s="1"/>
  <c r="T4" i="23"/>
  <c r="S4" i="23"/>
  <c r="R4" i="23"/>
  <c r="C12" i="23"/>
  <c r="T17" i="23" s="1"/>
  <c r="B12" i="23"/>
  <c r="B13" i="23" s="1"/>
  <c r="B14" i="23" s="1"/>
  <c r="I6" i="23" s="1"/>
  <c r="F11" i="23"/>
  <c r="U17" i="23" s="1"/>
  <c r="U18" i="23" s="1"/>
  <c r="Q44" i="22"/>
  <c r="R44" i="22" s="1"/>
  <c r="S44" i="22" s="1"/>
  <c r="T44" i="22" s="1"/>
  <c r="U44" i="22" s="1"/>
  <c r="O37" i="22"/>
  <c r="O38" i="22" s="1"/>
  <c r="O39" i="22" s="1"/>
  <c r="O40" i="22" s="1"/>
  <c r="O41" i="22" s="1"/>
  <c r="Q35" i="22"/>
  <c r="R35" i="22" s="1"/>
  <c r="S35" i="22" s="1"/>
  <c r="T35" i="22" s="1"/>
  <c r="U35" i="22" s="1"/>
  <c r="Q32" i="22"/>
  <c r="R32" i="22" s="1"/>
  <c r="S32" i="22" s="1"/>
  <c r="T32" i="22" s="1"/>
  <c r="U32" i="22" s="1"/>
  <c r="U29" i="22"/>
  <c r="U41" i="22" s="1"/>
  <c r="U28" i="22"/>
  <c r="U40" i="22" s="1"/>
  <c r="T28" i="22"/>
  <c r="T40" i="22" s="1"/>
  <c r="U27" i="22"/>
  <c r="U39" i="22" s="1"/>
  <c r="T27" i="22"/>
  <c r="T39" i="22" s="1"/>
  <c r="S27" i="22"/>
  <c r="S39" i="22" s="1"/>
  <c r="U26" i="22"/>
  <c r="U38" i="22" s="1"/>
  <c r="T26" i="22"/>
  <c r="T38" i="22" s="1"/>
  <c r="S26" i="22"/>
  <c r="S38" i="22" s="1"/>
  <c r="R26" i="22"/>
  <c r="R38" i="22" s="1"/>
  <c r="U25" i="22"/>
  <c r="U37" i="22" s="1"/>
  <c r="T25" i="22"/>
  <c r="T37" i="22" s="1"/>
  <c r="S25" i="22"/>
  <c r="S37" i="22" s="1"/>
  <c r="R25" i="22"/>
  <c r="R37" i="22" s="1"/>
  <c r="Q25" i="22"/>
  <c r="Q37" i="22" s="1"/>
  <c r="O25" i="22"/>
  <c r="O26" i="22" s="1"/>
  <c r="O27" i="22" s="1"/>
  <c r="O28" i="22" s="1"/>
  <c r="O29" i="22" s="1"/>
  <c r="U24" i="22"/>
  <c r="U36" i="22" s="1"/>
  <c r="T24" i="22"/>
  <c r="S24" i="22"/>
  <c r="R24" i="22"/>
  <c r="R36" i="22" s="1"/>
  <c r="Q24" i="22"/>
  <c r="Q36" i="22" s="1"/>
  <c r="P24" i="22"/>
  <c r="P30" i="22" s="1"/>
  <c r="P31" i="22" s="1"/>
  <c r="R23" i="22"/>
  <c r="S23" i="22" s="1"/>
  <c r="T23" i="22" s="1"/>
  <c r="U23" i="22" s="1"/>
  <c r="Q23" i="22"/>
  <c r="S5" i="22"/>
  <c r="R64" i="22"/>
  <c r="S64" i="22" s="1"/>
  <c r="T64" i="22" s="1"/>
  <c r="U64" i="22" s="1"/>
  <c r="Q64" i="22"/>
  <c r="O58" i="22"/>
  <c r="O59" i="22" s="1"/>
  <c r="O60" i="22" s="1"/>
  <c r="O61" i="22" s="1"/>
  <c r="O57" i="22"/>
  <c r="Q55" i="22"/>
  <c r="R55" i="22" s="1"/>
  <c r="S55" i="22" s="1"/>
  <c r="T55" i="22" s="1"/>
  <c r="U55" i="22" s="1"/>
  <c r="R52" i="22"/>
  <c r="S52" i="22" s="1"/>
  <c r="T52" i="22" s="1"/>
  <c r="U52" i="22" s="1"/>
  <c r="Q52" i="22"/>
  <c r="U49" i="22"/>
  <c r="U61" i="22" s="1"/>
  <c r="U48" i="22"/>
  <c r="U60" i="22" s="1"/>
  <c r="T48" i="22"/>
  <c r="T60" i="22" s="1"/>
  <c r="U47" i="22"/>
  <c r="U59" i="22" s="1"/>
  <c r="T47" i="22"/>
  <c r="T59" i="22" s="1"/>
  <c r="S47" i="22"/>
  <c r="S59" i="22" s="1"/>
  <c r="U46" i="22"/>
  <c r="U58" i="22" s="1"/>
  <c r="T46" i="22"/>
  <c r="T58" i="22" s="1"/>
  <c r="S46" i="22"/>
  <c r="S58" i="22" s="1"/>
  <c r="R46" i="22"/>
  <c r="R58" i="22" s="1"/>
  <c r="U45" i="22"/>
  <c r="U57" i="22" s="1"/>
  <c r="T45" i="22"/>
  <c r="T57" i="22" s="1"/>
  <c r="S45" i="22"/>
  <c r="S57" i="22" s="1"/>
  <c r="R45" i="22"/>
  <c r="R57" i="22" s="1"/>
  <c r="Q45" i="22"/>
  <c r="Q57" i="22" s="1"/>
  <c r="O45" i="22"/>
  <c r="O46" i="22" s="1"/>
  <c r="O47" i="22" s="1"/>
  <c r="O48" i="22" s="1"/>
  <c r="O49" i="22" s="1"/>
  <c r="U56" i="22"/>
  <c r="T50" i="22"/>
  <c r="S56" i="22"/>
  <c r="R56" i="22"/>
  <c r="R62" i="22" s="1"/>
  <c r="R63" i="22" s="1"/>
  <c r="Q56" i="22"/>
  <c r="Q62" i="22" s="1"/>
  <c r="P50" i="22"/>
  <c r="P51" i="22" s="1"/>
  <c r="T30" i="22" l="1"/>
  <c r="S16" i="29"/>
  <c r="R29" i="29"/>
  <c r="T32" i="29" s="1"/>
  <c r="S38" i="29"/>
  <c r="S24" i="29"/>
  <c r="R12" i="30"/>
  <c r="V20" i="30" s="1"/>
  <c r="Q21" i="30" s="1"/>
  <c r="S23" i="30" s="1"/>
  <c r="R5" i="23"/>
  <c r="S6" i="23"/>
  <c r="R6" i="23"/>
  <c r="S5" i="23"/>
  <c r="T5" i="23"/>
  <c r="T9" i="23" s="1"/>
  <c r="T13" i="23" s="1"/>
  <c r="C13" i="23"/>
  <c r="Q42" i="22"/>
  <c r="Q30" i="22"/>
  <c r="Q31" i="22" s="1"/>
  <c r="S30" i="22"/>
  <c r="T31" i="22" s="1"/>
  <c r="R42" i="22"/>
  <c r="Q9" i="22"/>
  <c r="U42" i="22"/>
  <c r="R30" i="22"/>
  <c r="R31" i="22" s="1"/>
  <c r="S36" i="22"/>
  <c r="S42" i="22" s="1"/>
  <c r="P36" i="22"/>
  <c r="P42" i="22" s="1"/>
  <c r="P43" i="22" s="1"/>
  <c r="T36" i="22"/>
  <c r="T42" i="22" s="1"/>
  <c r="U30" i="22"/>
  <c r="U31" i="22" s="1"/>
  <c r="S62" i="22"/>
  <c r="S63" i="22" s="1"/>
  <c r="U62" i="22"/>
  <c r="Q50" i="22"/>
  <c r="Q51" i="22" s="1"/>
  <c r="R50" i="22"/>
  <c r="P56" i="22"/>
  <c r="P62" i="22" s="1"/>
  <c r="P63" i="22" s="1"/>
  <c r="T56" i="22"/>
  <c r="T62" i="22" s="1"/>
  <c r="T63" i="22" s="1"/>
  <c r="S50" i="22"/>
  <c r="U50" i="22"/>
  <c r="U51" i="22" s="1"/>
  <c r="S51" i="28" l="1"/>
  <c r="T31" i="29"/>
  <c r="S9" i="23"/>
  <c r="S13" i="23" s="1"/>
  <c r="R43" i="22"/>
  <c r="O17" i="29"/>
  <c r="S17" i="29" s="1"/>
  <c r="O25" i="29"/>
  <c r="S25" i="29" s="1"/>
  <c r="N26" i="29"/>
  <c r="P38" i="29"/>
  <c r="T18" i="23"/>
  <c r="C14" i="23"/>
  <c r="R17" i="23" s="1"/>
  <c r="T43" i="22"/>
  <c r="S51" i="22"/>
  <c r="S43" i="22"/>
  <c r="S31" i="22"/>
  <c r="O13" i="22" s="1"/>
  <c r="R51" i="22"/>
  <c r="U43" i="22"/>
  <c r="Q7" i="22"/>
  <c r="W9" i="22"/>
  <c r="U9" i="22"/>
  <c r="Q43" i="22"/>
  <c r="Q63" i="22"/>
  <c r="T51" i="22"/>
  <c r="U63" i="22"/>
  <c r="O52" i="28" l="1"/>
  <c r="O37" i="28" s="1"/>
  <c r="O18" i="29"/>
  <c r="S18" i="29" s="1"/>
  <c r="S19" i="29" s="1"/>
  <c r="P32" i="29" s="1"/>
  <c r="O26" i="29"/>
  <c r="S26" i="29" s="1"/>
  <c r="S27" i="29" s="1"/>
  <c r="R32" i="29" s="1"/>
  <c r="R7" i="23"/>
  <c r="S17" i="23"/>
  <c r="S18" i="23" s="1"/>
  <c r="S9" i="22"/>
  <c r="S7" i="22"/>
  <c r="O7" i="22" s="1"/>
  <c r="O9" i="22"/>
  <c r="Q5" i="22"/>
  <c r="O5" i="22" s="1"/>
  <c r="S11" i="22"/>
  <c r="Q11" i="22"/>
  <c r="O3" i="22"/>
  <c r="R13" i="23" l="1"/>
  <c r="R18" i="23" s="1"/>
  <c r="P33" i="29"/>
  <c r="U38" i="29" s="1"/>
  <c r="P39" i="29" s="1"/>
  <c r="O11" i="22"/>
  <c r="Q30" i="54" l="1"/>
  <c r="Q23" i="54"/>
  <c r="O23" i="54"/>
  <c r="S23" i="54" s="1"/>
  <c r="M23" i="54"/>
  <c r="Q22" i="54"/>
  <c r="O22" i="54"/>
  <c r="S22" i="54" s="1"/>
  <c r="M22" i="54"/>
  <c r="Q21" i="54"/>
  <c r="O21" i="54"/>
  <c r="M21" i="54"/>
  <c r="Q20" i="54"/>
  <c r="O20" i="54"/>
  <c r="M20" i="54"/>
  <c r="Q19" i="54"/>
  <c r="O19" i="54"/>
  <c r="M19" i="54"/>
  <c r="A19" i="35"/>
  <c r="P23" i="1"/>
  <c r="R29" i="36"/>
  <c r="O29" i="36"/>
  <c r="M29" i="36"/>
  <c r="S23" i="36"/>
  <c r="O22" i="36"/>
  <c r="M22" i="36"/>
  <c r="S19" i="36"/>
  <c r="O18" i="36"/>
  <c r="M18" i="36"/>
  <c r="N12" i="36"/>
  <c r="N8" i="36"/>
  <c r="N7" i="36"/>
  <c r="N11" i="36" s="1"/>
  <c r="M7" i="36"/>
  <c r="M11" i="36" s="1"/>
  <c r="S29" i="38"/>
  <c r="O29" i="38"/>
  <c r="N29" i="38"/>
  <c r="S28" i="38"/>
  <c r="O28" i="38"/>
  <c r="N28" i="38"/>
  <c r="S27" i="38"/>
  <c r="O27" i="38"/>
  <c r="N27" i="38"/>
  <c r="R53" i="39"/>
  <c r="R50" i="39"/>
  <c r="V46" i="39"/>
  <c r="T46" i="39"/>
  <c r="R46" i="39"/>
  <c r="U34" i="39"/>
  <c r="R26" i="39"/>
  <c r="Q26" i="39"/>
  <c r="R25" i="39"/>
  <c r="Q25" i="39"/>
  <c r="P25" i="39"/>
  <c r="P26" i="39" s="1"/>
  <c r="R24" i="39"/>
  <c r="Q24" i="39"/>
  <c r="P24" i="39"/>
  <c r="R23" i="39"/>
  <c r="Q23" i="39"/>
  <c r="AN10" i="39"/>
  <c r="Z10" i="39" s="1"/>
  <c r="AM10" i="39"/>
  <c r="AL10" i="39"/>
  <c r="AN9" i="39"/>
  <c r="AM9" i="39"/>
  <c r="X9" i="39"/>
  <c r="AL9" i="39" s="1"/>
  <c r="T7" i="39"/>
  <c r="R9" i="39" s="1"/>
  <c r="S20" i="54" l="1"/>
  <c r="N10" i="36"/>
  <c r="M8" i="36"/>
  <c r="M12" i="36"/>
  <c r="M10" i="36"/>
  <c r="P28" i="38"/>
  <c r="O30" i="38"/>
  <c r="O24" i="54"/>
  <c r="S21" i="54"/>
  <c r="S19" i="54"/>
  <c r="S24" i="54" s="1"/>
  <c r="O30" i="54" s="1"/>
  <c r="O31" i="54" s="1"/>
  <c r="M9" i="36"/>
  <c r="N9" i="36"/>
  <c r="N13" i="36" s="1"/>
  <c r="O23" i="36" s="1"/>
  <c r="O24" i="36" s="1"/>
  <c r="O30" i="36" s="1"/>
  <c r="N30" i="38"/>
  <c r="P29" i="38"/>
  <c r="P27" i="38"/>
  <c r="R47" i="39"/>
  <c r="X10" i="39"/>
  <c r="Y10" i="39"/>
  <c r="M13" i="36" l="1"/>
  <c r="O19" i="36" s="1"/>
  <c r="O20" i="36" s="1"/>
  <c r="R30" i="36" s="1"/>
  <c r="O31" i="36" s="1"/>
  <c r="P30" i="38"/>
  <c r="Q30" i="38" s="1"/>
  <c r="Q28" i="38"/>
  <c r="Q27" i="38"/>
  <c r="R34" i="38"/>
  <c r="R27" i="38" s="1"/>
  <c r="Q29" i="38"/>
  <c r="R13" i="39"/>
  <c r="V23" i="39" s="1"/>
  <c r="S25" i="39"/>
  <c r="S23" i="39"/>
  <c r="R30" i="38" l="1"/>
  <c r="R29" i="38"/>
  <c r="V24" i="39"/>
  <c r="S26" i="39"/>
  <c r="V25" i="39"/>
  <c r="V26" i="39"/>
  <c r="S24" i="39"/>
  <c r="R28" i="38"/>
  <c r="Q34" i="39" l="1"/>
  <c r="Q35" i="39" s="1"/>
  <c r="R57" i="39" s="1"/>
  <c r="R13" i="40"/>
  <c r="O6" i="40"/>
  <c r="Q6" i="40"/>
  <c r="S6" i="40" s="1"/>
  <c r="Q5" i="40"/>
  <c r="S5" i="40" s="1"/>
  <c r="O5" i="40"/>
  <c r="S7" i="40" l="1"/>
  <c r="O13" i="40" s="1"/>
  <c r="O14" i="40" s="1"/>
  <c r="A7" i="51" l="1"/>
  <c r="A7" i="53"/>
  <c r="A7" i="5"/>
  <c r="A7" i="4"/>
  <c r="A11" i="65"/>
  <c r="A38" i="67"/>
  <c r="A26" i="67"/>
  <c r="A22" i="67"/>
  <c r="A24" i="68"/>
  <c r="A15" i="68"/>
  <c r="A11" i="68"/>
  <c r="A14" i="27"/>
  <c r="A15" i="28"/>
  <c r="A11" i="28"/>
  <c r="A15" i="29"/>
  <c r="A11" i="29"/>
  <c r="A15" i="30"/>
  <c r="A11" i="30"/>
  <c r="A25" i="23"/>
  <c r="A21" i="23"/>
  <c r="A27" i="22"/>
  <c r="A23" i="22"/>
  <c r="A19" i="22"/>
  <c r="A15" i="22"/>
  <c r="A11" i="22"/>
  <c r="A11" i="20"/>
  <c r="A18" i="54"/>
  <c r="A14" i="54"/>
  <c r="A11" i="35"/>
  <c r="A20" i="38"/>
  <c r="A15" i="39"/>
  <c r="A11" i="39"/>
  <c r="A15" i="40"/>
  <c r="A11" i="41"/>
  <c r="A31" i="42"/>
  <c r="A18" i="49"/>
  <c r="A11" i="50"/>
  <c r="N37" i="1"/>
  <c r="M37" i="1"/>
  <c r="M36" i="1"/>
  <c r="P35" i="1"/>
  <c r="O35" i="1"/>
  <c r="N35" i="1"/>
  <c r="M35" i="1"/>
  <c r="P34" i="1"/>
  <c r="O34" i="1"/>
  <c r="N34" i="1"/>
  <c r="M34" i="1"/>
  <c r="O33" i="1"/>
  <c r="N33" i="1"/>
  <c r="M33" i="1"/>
  <c r="N32" i="1"/>
  <c r="M32" i="1"/>
  <c r="O31" i="1"/>
  <c r="N31" i="1"/>
  <c r="M31" i="1"/>
  <c r="O30" i="1"/>
  <c r="N30" i="1"/>
  <c r="M30" i="1"/>
  <c r="O29" i="1"/>
  <c r="N29" i="1"/>
  <c r="M29" i="1"/>
  <c r="O28" i="1"/>
  <c r="N28" i="1"/>
  <c r="M28" i="1"/>
  <c r="R27" i="1"/>
  <c r="Q27" i="1"/>
  <c r="P27" i="1"/>
  <c r="O27" i="1"/>
  <c r="N27" i="1"/>
  <c r="M27" i="1"/>
  <c r="M26" i="1"/>
  <c r="N25" i="1"/>
  <c r="M25" i="1"/>
  <c r="O24" i="1"/>
  <c r="N24" i="1"/>
  <c r="M24" i="1"/>
  <c r="O23" i="1"/>
  <c r="N23" i="1"/>
  <c r="M23" i="1"/>
  <c r="M22" i="1"/>
  <c r="M21" i="1"/>
  <c r="O20" i="1"/>
  <c r="N20" i="1"/>
  <c r="M20" i="1"/>
  <c r="O19" i="1"/>
  <c r="N19" i="1"/>
  <c r="M19" i="1"/>
  <c r="N18" i="1"/>
  <c r="M18" i="1"/>
  <c r="N17" i="1"/>
  <c r="M17" i="1"/>
  <c r="N16" i="1"/>
  <c r="M16" i="1"/>
  <c r="N15" i="1"/>
  <c r="M15" i="1"/>
  <c r="O14" i="1"/>
  <c r="N14" i="1"/>
  <c r="M14" i="1"/>
  <c r="M13" i="1"/>
  <c r="M12" i="1"/>
  <c r="M11" i="1"/>
  <c r="M10" i="1"/>
  <c r="M9" i="1"/>
  <c r="M8" i="1"/>
  <c r="A7" i="2" l="1"/>
  <c r="J33" i="1"/>
  <c r="J37" i="1"/>
  <c r="J36" i="1"/>
  <c r="J34" i="1"/>
  <c r="J35" i="1"/>
  <c r="A7" i="52" l="1"/>
  <c r="A7" i="50" l="1"/>
  <c r="A7" i="49" l="1"/>
  <c r="A7" i="42" l="1"/>
  <c r="A7" i="41" l="1"/>
  <c r="A7" i="40" l="1"/>
  <c r="A7" i="39" l="1"/>
  <c r="A7" i="38" l="1"/>
  <c r="A7" i="37" l="1"/>
  <c r="A7" i="36" l="1"/>
  <c r="A7" i="35" l="1"/>
  <c r="A7" i="54" l="1"/>
  <c r="M2" i="1" a="1"/>
  <c r="M2" i="1" s="1"/>
  <c r="P2" i="1" s="1"/>
  <c r="A7" i="20" l="1"/>
  <c r="B9" i="1"/>
  <c r="B10" i="1"/>
  <c r="B11" i="1"/>
  <c r="B12" i="1"/>
  <c r="B13" i="1"/>
  <c r="B14" i="1"/>
  <c r="B15" i="1"/>
  <c r="B16" i="1"/>
  <c r="B17" i="1"/>
  <c r="B18" i="1"/>
  <c r="B19" i="1"/>
  <c r="B20" i="1"/>
  <c r="B21" i="1"/>
  <c r="B22" i="1"/>
  <c r="B23" i="1"/>
  <c r="B24" i="1"/>
  <c r="B25" i="1"/>
  <c r="B26" i="1"/>
  <c r="B8" i="1"/>
  <c r="A4" i="53" l="1"/>
  <c r="A4" i="50"/>
  <c r="A4" i="5"/>
  <c r="A4" i="51"/>
  <c r="A4" i="4"/>
  <c r="A4" i="52"/>
  <c r="A4" i="21"/>
  <c r="A4" i="20"/>
  <c r="A4" i="54"/>
  <c r="A4" i="35"/>
  <c r="A4" i="36"/>
  <c r="A4" i="37"/>
  <c r="A4" i="38"/>
  <c r="A4" i="39"/>
  <c r="A4" i="40"/>
  <c r="A4" i="41"/>
  <c r="A4" i="42"/>
  <c r="A4" i="49"/>
  <c r="A7" i="21"/>
  <c r="A7" i="22" l="1"/>
  <c r="B27" i="1"/>
  <c r="L26" i="1"/>
  <c r="L32" i="1"/>
  <c r="L31" i="1"/>
  <c r="L30" i="1"/>
  <c r="L29" i="1"/>
  <c r="L28" i="1"/>
  <c r="L27" i="1"/>
  <c r="J24" i="1"/>
  <c r="J22" i="1"/>
  <c r="J25" i="1"/>
  <c r="J14" i="1"/>
  <c r="J11" i="1"/>
  <c r="J13" i="1"/>
  <c r="J10" i="1"/>
  <c r="J21" i="1"/>
  <c r="J23" i="1"/>
  <c r="J31" i="1"/>
  <c r="J30" i="1"/>
  <c r="J20" i="1"/>
  <c r="J16" i="1"/>
  <c r="J29" i="1"/>
  <c r="J19" i="1"/>
  <c r="J18" i="1"/>
  <c r="J32" i="1"/>
  <c r="J12" i="1"/>
  <c r="J26" i="1"/>
  <c r="J9" i="1"/>
  <c r="J27" i="1"/>
  <c r="J28" i="1"/>
  <c r="J17" i="1"/>
  <c r="J15" i="1"/>
  <c r="A4" i="22" l="1"/>
  <c r="A7" i="23"/>
  <c r="B28" i="1"/>
  <c r="L9" i="1"/>
  <c r="L10" i="1"/>
  <c r="L11" i="1"/>
  <c r="L12" i="1"/>
  <c r="L13" i="1"/>
  <c r="L14" i="1"/>
  <c r="L15" i="1"/>
  <c r="L16" i="1"/>
  <c r="L17" i="1"/>
  <c r="L18" i="1"/>
  <c r="L19" i="1"/>
  <c r="L20" i="1"/>
  <c r="L21" i="1"/>
  <c r="L22" i="1"/>
  <c r="L23" i="1"/>
  <c r="L24" i="1"/>
  <c r="L25" i="1"/>
  <c r="L8" i="1"/>
  <c r="J8" i="1"/>
  <c r="L1" i="5" l="1"/>
  <c r="L1" i="50"/>
  <c r="L1" i="40"/>
  <c r="L1" i="36"/>
  <c r="L1" i="21"/>
  <c r="M1" i="29"/>
  <c r="L1" i="68"/>
  <c r="L1" i="53"/>
  <c r="L1" i="49"/>
  <c r="P1" i="39"/>
  <c r="L1" i="35"/>
  <c r="O1" i="22"/>
  <c r="L1" i="28"/>
  <c r="L1" i="67"/>
  <c r="L1" i="2"/>
  <c r="L1" i="52"/>
  <c r="P1" i="42"/>
  <c r="L1" i="38"/>
  <c r="L1" i="54"/>
  <c r="O1" i="23"/>
  <c r="L1" i="27"/>
  <c r="Q1" i="66"/>
  <c r="L1" i="4"/>
  <c r="L1" i="51"/>
  <c r="L1" i="41"/>
  <c r="N1" i="37"/>
  <c r="P1" i="20"/>
  <c r="N1" i="30"/>
  <c r="R1" i="69"/>
  <c r="P1" i="65"/>
  <c r="A4" i="23"/>
  <c r="A7" i="30"/>
  <c r="B29" i="1"/>
  <c r="A4" i="30" s="1"/>
  <c r="A4" i="2"/>
  <c r="A7" i="29" l="1"/>
  <c r="B30" i="1"/>
  <c r="A4" i="29" l="1"/>
  <c r="A7" i="28"/>
  <c r="B31" i="1"/>
  <c r="A4" i="28" l="1"/>
  <c r="A7" i="27"/>
  <c r="B32" i="1"/>
  <c r="A4" i="27" l="1"/>
  <c r="B33" i="1"/>
  <c r="A4" i="69" s="1"/>
  <c r="A7" i="68" l="1"/>
  <c r="B34" i="1"/>
  <c r="A4" i="68" l="1"/>
  <c r="A7" i="67"/>
  <c r="B35" i="1"/>
  <c r="A4" i="67" l="1"/>
  <c r="A7" i="66"/>
  <c r="B36" i="1"/>
  <c r="A4" i="66" l="1"/>
  <c r="A7" i="65"/>
  <c r="B37" i="1"/>
  <c r="A4" i="65" l="1"/>
  <c r="M3" i="1" l="1"/>
</calcChain>
</file>

<file path=xl/sharedStrings.xml><?xml version="1.0" encoding="utf-8"?>
<sst xmlns="http://schemas.openxmlformats.org/spreadsheetml/2006/main" count="2131" uniqueCount="1013">
  <si>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</si>
  <si>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</si>
  <si>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</si>
  <si>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</si>
  <si>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</si>
  <si>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</si>
  <si>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</si>
  <si>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</si>
  <si>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</si>
  <si>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</si>
  <si>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</si>
  <si>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</si>
  <si>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</si>
  <si>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</si>
  <si>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</si>
  <si>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</si>
  <si>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</si>
  <si>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t>3.) Answer each question either to the side or below the grey question area.</t>
  </si>
  <si>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</si>
  <si>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</si>
  <si>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</si>
  <si>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</si>
  <si>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</si>
  <si>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t>slay the beast</t>
  </si>
  <si>
    <t>Return to Point Grid</t>
  </si>
  <si>
    <t>Pts Achieved</t>
  </si>
  <si>
    <t>Pts Available</t>
  </si>
  <si>
    <t>F</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</si>
  <si>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</si>
  <si>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</si>
  <si>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</si>
  <si>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</si>
  <si>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</si>
  <si>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Answers:</t>
  </si>
  <si>
    <t>=</t>
  </si>
  <si>
    <t>+</t>
  </si>
  <si>
    <t>/</t>
  </si>
  <si>
    <t>Answer:</t>
  </si>
  <si>
    <t>R</t>
  </si>
  <si>
    <t>Select the best answer to the following question.</t>
  </si>
  <si>
    <t xml:space="preserve">(B)    </t>
  </si>
  <si>
    <t xml:space="preserve">(A)    </t>
  </si>
  <si>
    <t xml:space="preserve">(C)    </t>
  </si>
  <si>
    <t xml:space="preserve">(D)    </t>
  </si>
  <si>
    <t>General Pricing</t>
  </si>
  <si>
    <t>General Reserving</t>
  </si>
  <si>
    <t>Pricing - Chap 1: Introduction to Pricing</t>
  </si>
  <si>
    <t>Enter your answer in the space provided.</t>
  </si>
  <si>
    <t>counts</t>
  </si>
  <si>
    <t>Exposures (X)</t>
  </si>
  <si>
    <t>Losses (L)</t>
  </si>
  <si>
    <t>Earned Premium (EP)</t>
  </si>
  <si>
    <t>Written Premium (WP)</t>
  </si>
  <si>
    <t>Loss Adjustment Expense (LAE)</t>
  </si>
  <si>
    <t>Comm, Other, TLF</t>
  </si>
  <si>
    <t>General Expense</t>
  </si>
  <si>
    <t># of policies renewed</t>
  </si>
  <si>
    <t># of potential renewals</t>
  </si>
  <si>
    <t># of accepted quotes</t>
  </si>
  <si>
    <t># of quotes</t>
  </si>
  <si>
    <t>(i)</t>
  </si>
  <si>
    <t>(ii)</t>
  </si>
  <si>
    <t>Pricing - Chap 3,4: Data, Exposures</t>
  </si>
  <si>
    <t>Pricing - Chap 5: Premiums</t>
  </si>
  <si>
    <t>EP for CY 2020</t>
  </si>
  <si>
    <t>EP for CY 2021</t>
  </si>
  <si>
    <t>rate change</t>
  </si>
  <si>
    <t>EP 2020 @ CRL</t>
  </si>
  <si>
    <t>EP 2021 @ CRL</t>
  </si>
  <si>
    <t>Diagram</t>
  </si>
  <si>
    <t>CRL</t>
  </si>
  <si>
    <t>A1</t>
  </si>
  <si>
    <t>A2</t>
  </si>
  <si>
    <t>A3</t>
  </si>
  <si>
    <t>A4</t>
  </si>
  <si>
    <t>=  product of all rate changes</t>
  </si>
  <si>
    <t>=  Σ [ area x (rate level) ]</t>
  </si>
  <si>
    <r>
      <t>= CRL / ARL</t>
    </r>
    <r>
      <rPr>
        <vertAlign val="subscript"/>
        <sz val="11"/>
        <color theme="1"/>
        <rFont val="Calibri"/>
        <family val="2"/>
        <scheme val="minor"/>
      </rPr>
      <t>CY</t>
    </r>
  </si>
  <si>
    <r>
      <t>ARL</t>
    </r>
    <r>
      <rPr>
        <vertAlign val="subscript"/>
        <sz val="11"/>
        <color theme="1"/>
        <rFont val="Calibri"/>
        <family val="2"/>
        <scheme val="minor"/>
      </rPr>
      <t>CY</t>
    </r>
  </si>
  <si>
    <r>
      <t>CRLF</t>
    </r>
    <r>
      <rPr>
        <vertAlign val="subscript"/>
        <sz val="11"/>
        <color theme="1"/>
        <rFont val="Calibri"/>
        <family val="2"/>
        <scheme val="minor"/>
      </rPr>
      <t>CY</t>
    </r>
  </si>
  <si>
    <r>
      <t>ARL</t>
    </r>
    <r>
      <rPr>
        <vertAlign val="subscript"/>
        <sz val="11"/>
        <color theme="1"/>
        <rFont val="Calibri"/>
        <family val="2"/>
        <scheme val="minor"/>
      </rPr>
      <t>20</t>
    </r>
  </si>
  <si>
    <r>
      <t>ARL</t>
    </r>
    <r>
      <rPr>
        <vertAlign val="subscript"/>
        <sz val="11"/>
        <color theme="1"/>
        <rFont val="Calibri"/>
        <family val="2"/>
        <scheme val="minor"/>
      </rPr>
      <t>21</t>
    </r>
  </si>
  <si>
    <r>
      <t>CRLF</t>
    </r>
    <r>
      <rPr>
        <vertAlign val="subscript"/>
        <sz val="11"/>
        <color theme="1"/>
        <rFont val="Calibri"/>
        <family val="2"/>
        <scheme val="minor"/>
      </rPr>
      <t>20</t>
    </r>
  </si>
  <si>
    <r>
      <t>CRLF</t>
    </r>
    <r>
      <rPr>
        <vertAlign val="subscript"/>
        <sz val="11"/>
        <color theme="1"/>
        <rFont val="Calibri"/>
        <family val="2"/>
        <scheme val="minor"/>
      </rPr>
      <t>21</t>
    </r>
  </si>
  <si>
    <r>
      <t>The relevant areas within each square (CY) are labelled A</t>
    </r>
    <r>
      <rPr>
        <vertAlign val="subscript"/>
        <sz val="11"/>
        <color theme="1"/>
        <rFont val="Calibri"/>
        <family val="2"/>
        <scheme val="minor"/>
      </rPr>
      <t>i</t>
    </r>
    <r>
      <rPr>
        <sz val="11"/>
        <color theme="1"/>
        <rFont val="Calibri"/>
        <family val="2"/>
        <scheme val="minor"/>
      </rPr>
      <t>.</t>
    </r>
  </si>
  <si>
    <t>Identify 2 adjustments, other than bringing premiums to curent rate level, that may be required</t>
  </si>
  <si>
    <t>before using premium in a rate indication.</t>
  </si>
  <si>
    <t>trending of earned premium</t>
  </si>
  <si>
    <t>premium development</t>
  </si>
  <si>
    <t>AY</t>
  </si>
  <si>
    <t>reported</t>
  </si>
  <si>
    <t>claims</t>
  </si>
  <si>
    <t>Total</t>
  </si>
  <si>
    <t>Reported</t>
  </si>
  <si>
    <t>Pricing - Chap 6: Loss &amp; LAE</t>
  </si>
  <si>
    <t>ratio</t>
  </si>
  <si>
    <t>(1)</t>
  </si>
  <si>
    <t>(2)</t>
  </si>
  <si>
    <t>(3)</t>
  </si>
  <si>
    <t>(4)</t>
  </si>
  <si>
    <t>(5)</t>
  </si>
  <si>
    <t>(6)</t>
  </si>
  <si>
    <t>Pricing - Chap 7: Other Expenses</t>
  </si>
  <si>
    <t>loss</t>
  </si>
  <si>
    <t>LAE</t>
  </si>
  <si>
    <t>variable expense provision</t>
  </si>
  <si>
    <t>target profit percentage</t>
  </si>
  <si>
    <t>Step 1</t>
  </si>
  <si>
    <t>Step 2</t>
  </si>
  <si>
    <t>(1 - V - QT)</t>
  </si>
  <si>
    <t>(final answer)</t>
  </si>
  <si>
    <t>Calculate the indicated average rate level change.</t>
  </si>
  <si>
    <t>experience period on-level trended EP</t>
  </si>
  <si>
    <t>experience period trended &amp; developed Loss &amp; LAE</t>
  </si>
  <si>
    <t>experience period fixed expenses</t>
  </si>
  <si>
    <t xml:space="preserve"> calculate the loss ratio L &amp; F (Loss &amp; LAE ratio, Fixed expense ratio)</t>
  </si>
  <si>
    <t>L&amp;LAE ratio</t>
  </si>
  <si>
    <t xml:space="preserve"> apply the formula for the indicated rate change</t>
  </si>
  <si>
    <t>(L&amp;LAE Ratio  +  F)</t>
  </si>
  <si>
    <t>-</t>
  </si>
  <si>
    <t>Pricing - Chap 8: Indication</t>
  </si>
  <si>
    <r>
      <t xml:space="preserve">Using the information shown further down, calculate the </t>
    </r>
    <r>
      <rPr>
        <b/>
        <sz val="11"/>
        <rFont val="Calibri"/>
        <family val="2"/>
        <scheme val="minor"/>
      </rPr>
      <t>developed and trended losses &amp; LAE by</t>
    </r>
  </si>
  <si>
    <r>
      <rPr>
        <b/>
        <sz val="11"/>
        <rFont val="Calibri"/>
        <family val="2"/>
        <scheme val="minor"/>
      </rPr>
      <t>accident year</t>
    </r>
    <r>
      <rPr>
        <sz val="11"/>
        <rFont val="Calibri"/>
        <family val="2"/>
        <scheme val="minor"/>
      </rPr>
      <t>.</t>
    </r>
  </si>
  <si>
    <r>
      <t>Using the information shown further down, calculate the i</t>
    </r>
    <r>
      <rPr>
        <b/>
        <sz val="11"/>
        <rFont val="Calibri"/>
        <family val="2"/>
        <scheme val="minor"/>
      </rPr>
      <t>ndicated rate</t>
    </r>
    <r>
      <rPr>
        <sz val="11"/>
        <rFont val="Calibri"/>
        <family val="2"/>
        <scheme val="minor"/>
      </rPr>
      <t>.</t>
    </r>
  </si>
  <si>
    <r>
      <t>Using the information shown further down, calculate the i</t>
    </r>
    <r>
      <rPr>
        <b/>
        <sz val="11"/>
        <rFont val="Calibri"/>
        <family val="2"/>
        <scheme val="minor"/>
      </rPr>
      <t>ndicated pure premium</t>
    </r>
    <r>
      <rPr>
        <sz val="11"/>
        <rFont val="Calibri"/>
        <family val="2"/>
        <scheme val="minor"/>
      </rPr>
      <t>.</t>
    </r>
  </si>
  <si>
    <t>Losses as of yr-end:</t>
  </si>
  <si>
    <t>LDFs (Loss &amp; LAE):</t>
  </si>
  <si>
    <t>Expenses / Profit:</t>
  </si>
  <si>
    <t>Earned</t>
  </si>
  <si>
    <t>CY / AY</t>
  </si>
  <si>
    <t>Loss &amp; LAE</t>
  </si>
  <si>
    <t>Exposures</t>
  </si>
  <si>
    <t>12-Ult</t>
  </si>
  <si>
    <t>Commission</t>
  </si>
  <si>
    <t>24-Ult</t>
  </si>
  <si>
    <t>Taxes</t>
  </si>
  <si>
    <t>36-Ult</t>
  </si>
  <si>
    <t>48-Ult</t>
  </si>
  <si>
    <t>Fixed Expense</t>
  </si>
  <si>
    <t>60-Ult</t>
  </si>
  <si>
    <t>Profit</t>
  </si>
  <si>
    <t>Trends are Exponential</t>
  </si>
  <si>
    <t>Other Information:</t>
  </si>
  <si>
    <t xml:space="preserve">   and other acquisition expenses.</t>
  </si>
  <si>
    <t>Frequency Trend</t>
  </si>
  <si>
    <t>Severity Trend</t>
  </si>
  <si>
    <t>effective date:</t>
  </si>
  <si>
    <t>months</t>
  </si>
  <si>
    <t>policy term:</t>
  </si>
  <si>
    <t>Strategy</t>
  </si>
  <si>
    <t xml:space="preserve"> Since we are given exposures, we will use the pure premium method to calculate the new rate.</t>
  </si>
  <si>
    <t>|</t>
  </si>
  <si>
    <t xml:space="preserve"> Just do parts (a), (b), and (c) in order but note that the problem won't always break it down like this.</t>
  </si>
  <si>
    <t>side calc</t>
  </si>
  <si>
    <t xml:space="preserve"> Sometimes they will ask only for the indicated rate and YOU WOULD HAVE TO KNOW TO DO THESE STEPS.</t>
  </si>
  <si>
    <t>Step (a)-1</t>
  </si>
  <si>
    <t xml:space="preserve"> Calculate the appropriate trend period for AY:</t>
  </si>
  <si>
    <t>AWD</t>
  </si>
  <si>
    <t xml:space="preserve"> AWD for historical and effective period</t>
  </si>
  <si>
    <t>year</t>
  </si>
  <si>
    <t>month</t>
  </si>
  <si>
    <t>day</t>
  </si>
  <si>
    <t>AAD 1</t>
  </si>
  <si>
    <t>07</t>
  </si>
  <si>
    <t>01</t>
  </si>
  <si>
    <t>AWD 1</t>
  </si>
  <si>
    <t>(mid-point of historical period) - 0.5 x (term)</t>
  </si>
  <si>
    <t>AAD 2</t>
  </si>
  <si>
    <t>(mid-point of effective period) + 0.5 x (term)</t>
  </si>
  <si>
    <t>AWD 2</t>
  </si>
  <si>
    <t>(mid-point of effective period)</t>
  </si>
  <si>
    <t>AY trend period</t>
  </si>
  <si>
    <t xml:space="preserve"> &lt;== years</t>
  </si>
  <si>
    <t>(Then the trend period is increased by 1 year for each prior AY.)</t>
  </si>
  <si>
    <t>Step (a)-2</t>
  </si>
  <si>
    <t xml:space="preserve"> Develop and trend losses &amp; LAE. (We are directly given all the necessary information.)</t>
  </si>
  <si>
    <t>Trended</t>
  </si>
  <si>
    <t>Ultimate</t>
  </si>
  <si>
    <t>LDF</t>
  </si>
  <si>
    <t>Trend</t>
  </si>
  <si>
    <t>final answers for part (a)</t>
  </si>
  <si>
    <t>Step (b)</t>
  </si>
  <si>
    <t xml:space="preserve"> There is no single correct way to estimate the INDICATED PURE PREMIUM from step (a) but unless there are</t>
  </si>
  <si>
    <t xml:space="preserve"> clear outliers in the data, it is reasonable to use a weighted average.</t>
  </si>
  <si>
    <t>INDICATED PURE PREMIUM</t>
  </si>
  <si>
    <t>SUM(Trended Ultimate Loss &amp;LAE)</t>
  </si>
  <si>
    <t>SUM(Earned Exposures)</t>
  </si>
  <si>
    <t>final answer for part (b)</t>
  </si>
  <si>
    <t>Step (c)</t>
  </si>
  <si>
    <t xml:space="preserve"> Calculate the INDICATED RATE using the indicated pure premium from step (a) in the pure premium method.</t>
  </si>
  <si>
    <t>INDICATED RATE</t>
  </si>
  <si>
    <t>(indicated pure premium  +  avg fixed U/W expense)</t>
  </si>
  <si>
    <t>(1 - V - Q)</t>
  </si>
  <si>
    <t>From the given information:</t>
  </si>
  <si>
    <t>V</t>
  </si>
  <si>
    <t>total variable portion of expenses</t>
  </si>
  <si>
    <t>Variable Portion of General &amp; Other Acquisition</t>
  </si>
  <si>
    <t>Q</t>
  </si>
  <si>
    <t>profit</t>
  </si>
  <si>
    <t>avg fixed U/W expense</t>
  </si>
  <si>
    <t>Then substitute these values in the formula for the INDICATED RATE:</t>
  </si>
  <si>
    <t>final answer for part (c)</t>
  </si>
  <si>
    <t>Comm.</t>
  </si>
  <si>
    <t>Any 2 of:</t>
  </si>
  <si>
    <t>A</t>
  </si>
  <si>
    <t>B</t>
  </si>
  <si>
    <t>C</t>
  </si>
  <si>
    <t>Propose rating factors for the given rating variable relative to the base class:</t>
  </si>
  <si>
    <t>level</t>
  </si>
  <si>
    <t>of</t>
  </si>
  <si>
    <t>variable</t>
  </si>
  <si>
    <t>EE</t>
  </si>
  <si>
    <t>L + ALAE</t>
  </si>
  <si>
    <t xml:space="preserve"> complete columns (4), (5), (6) in the following table</t>
  </si>
  <si>
    <t>rebased</t>
  </si>
  <si>
    <t>pure</t>
  </si>
  <si>
    <t>indicated</t>
  </si>
  <si>
    <t>premium</t>
  </si>
  <si>
    <t>relativity</t>
  </si>
  <si>
    <t>(final answers in green)</t>
  </si>
  <si>
    <t>= (3) / (2)</t>
  </si>
  <si>
    <t>= (4) / (Tot4)</t>
  </si>
  <si>
    <t>= (5) / (Base5)</t>
  </si>
  <si>
    <t xml:space="preserve">where Base5 = </t>
  </si>
  <si>
    <t>(0.25 pts)</t>
  </si>
  <si>
    <t>Pricing - Chap 9: Risk Classification</t>
  </si>
  <si>
    <t>Pricing - Chap 10: Multivariate Analysis</t>
  </si>
  <si>
    <t>x</t>
  </si>
  <si>
    <t>*</t>
  </si>
  <si>
    <t>Basic policy limit:</t>
  </si>
  <si>
    <t>loss range</t>
  </si>
  <si>
    <t>lower</t>
  </si>
  <si>
    <t>upper</t>
  </si>
  <si>
    <t>limit</t>
  </si>
  <si>
    <t xml:space="preserve"> cap the reported losses at the basic limit and at the increased limit</t>
  </si>
  <si>
    <t>capped</t>
  </si>
  <si>
    <t>at</t>
  </si>
  <si>
    <r>
      <t xml:space="preserve"> </t>
    </r>
    <r>
      <rPr>
        <b/>
        <sz val="11"/>
        <color theme="1"/>
        <rFont val="Calibri"/>
        <family val="2"/>
        <scheme val="minor"/>
      </rPr>
      <t>&lt;==</t>
    </r>
    <r>
      <rPr>
        <sz val="11"/>
        <color theme="1"/>
        <rFont val="Calibri"/>
        <family val="2"/>
        <scheme val="minor"/>
      </rPr>
      <t xml:space="preserve"> total</t>
    </r>
  </si>
  <si>
    <t xml:space="preserve"> calculate the Limited Average Severity for both limits</t>
  </si>
  <si>
    <t>(total counts)</t>
  </si>
  <si>
    <t>Step 3</t>
  </si>
  <si>
    <t xml:space="preserve"> calculate the Increased Limits Factor for the higher limit</t>
  </si>
  <si>
    <t>Pricing - Chap 11: Special Classification</t>
  </si>
  <si>
    <t>The Werner &amp; Modlin source text discusses different way insurers can encourage customers to properly</t>
  </si>
  <si>
    <t>insure their properties. In other words, to buy a policy with a face value equal to the value of the</t>
  </si>
  <si>
    <t>properly. The source text calls these ITV-initiatives. Identify and briefly describe 3 of these initiatives.</t>
  </si>
  <si>
    <t>→ allows replacement cost to exceed the policy limit if the property is 100% insured to value</t>
  </si>
  <si>
    <t>insurers use more sophisticated property estimation tools</t>
  </si>
  <si>
    <t>→ so insurers know more accurately whether a property is appropriately insured</t>
  </si>
  <si>
    <t>insurers educate customers:</t>
  </si>
  <si>
    <t>insurers inspect property and use indexation clauses</t>
  </si>
  <si>
    <t>→ more information allows insurers to better price a policy</t>
  </si>
  <si>
    <t>→ indexation clauses ensure the face value of a policy keeps up with the value of the home</t>
  </si>
  <si>
    <t>insurers use a coinsurance clause</t>
  </si>
  <si>
    <t>→ assigns a penalty if the coinsurance requirement is not met</t>
  </si>
  <si>
    <r>
      <t>insurers offer GRC </t>
    </r>
    <r>
      <rPr>
        <b/>
        <i/>
        <sz val="11"/>
        <color rgb="FF222222"/>
        <rFont val="Calibri"/>
        <family val="2"/>
        <scheme val="minor"/>
      </rPr>
      <t>(Guaranteed Replacement cost)</t>
    </r>
  </si>
  <si>
    <r>
      <t>→ coverage is better if F/V is closer to 100% </t>
    </r>
    <r>
      <rPr>
        <i/>
        <sz val="11"/>
        <color rgb="FF222222"/>
        <rFont val="Calibri"/>
        <family val="2"/>
        <scheme val="minor"/>
      </rPr>
      <t>(for both insurer and insureds)</t>
    </r>
  </si>
  <si>
    <t>Any 3 of there ITV initiatives:</t>
  </si>
  <si>
    <t>Calculate the rate per $1,000 of coverage.</t>
  </si>
  <si>
    <t>value of home</t>
  </si>
  <si>
    <t>AOI</t>
  </si>
  <si>
    <t>frequency of loss</t>
  </si>
  <si>
    <t>The severity of loss is uniformly distributed between 0 and the value of the home.</t>
  </si>
  <si>
    <t xml:space="preserve"> calculate the average expected payment subject to the maximum payment of AOI</t>
  </si>
  <si>
    <t>average</t>
  </si>
  <si>
    <t>size of loss</t>
  </si>
  <si>
    <t>dist.</t>
  </si>
  <si>
    <t>payment</t>
  </si>
  <si>
    <r>
      <t xml:space="preserve"> </t>
    </r>
    <r>
      <rPr>
        <b/>
        <i/>
        <sz val="11"/>
        <color theme="1"/>
        <rFont val="Calibri"/>
        <family val="2"/>
        <scheme val="minor"/>
      </rPr>
      <t>&lt;==</t>
    </r>
    <r>
      <rPr>
        <i/>
        <sz val="11"/>
        <color theme="1"/>
        <rFont val="Calibri"/>
        <family val="2"/>
        <scheme val="minor"/>
      </rPr>
      <t xml:space="preserve"> weighted by loss distribution</t>
    </r>
  </si>
  <si>
    <t xml:space="preserve"> calculate the pure premium and the premium rate per $1,000</t>
  </si>
  <si>
    <t>pure premium</t>
  </si>
  <si>
    <t>frequency</t>
  </si>
  <si>
    <t>severity</t>
  </si>
  <si>
    <t>rate per $1,000</t>
  </si>
  <si>
    <t>pure prem</t>
  </si>
  <si>
    <t>/      (</t>
  </si>
  <si>
    <t>)</t>
  </si>
  <si>
    <t>Note</t>
  </si>
  <si>
    <r>
      <t xml:space="preserve"> If the home is insured to </t>
    </r>
    <r>
      <rPr>
        <u/>
        <sz val="11"/>
        <color theme="1"/>
        <rFont val="Calibri"/>
        <family val="2"/>
        <scheme val="minor"/>
      </rPr>
      <t>full value</t>
    </r>
    <r>
      <rPr>
        <sz val="11"/>
        <color theme="1"/>
        <rFont val="Calibri"/>
        <family val="2"/>
        <scheme val="minor"/>
      </rPr>
      <t>, the rate per $1,000 of coverage would be:</t>
    </r>
  </si>
  <si>
    <t>Pricing - Chap 14: Implementation</t>
  </si>
  <si>
    <t>→ tighten U/W requirements to eliminate policies that are underpriced</t>
  </si>
  <si>
    <r>
      <t>→ reduce coverage levels </t>
    </r>
    <r>
      <rPr>
        <i/>
        <sz val="11"/>
        <color rgb="FF222222"/>
        <rFont val="Calibri"/>
        <family val="2"/>
        <scheme val="minor"/>
      </rPr>
      <t>(Ex: reduce limits or insert coverage exclusions)</t>
    </r>
  </si>
  <si>
    <r>
      <t>→ implement better loss controls </t>
    </r>
    <r>
      <rPr>
        <i/>
        <sz val="11"/>
        <color rgb="FF222222"/>
        <rFont val="Calibri"/>
        <family val="2"/>
        <scheme val="minor"/>
      </rPr>
      <t>(Ex: safety programs for WC)</t>
    </r>
  </si>
  <si>
    <t>Calculate the fixed expense ratio:</t>
  </si>
  <si>
    <t>countrywide premium ($000s)</t>
  </si>
  <si>
    <t>profit provision</t>
  </si>
  <si>
    <t>average loss cost</t>
  </si>
  <si>
    <t>expense</t>
  </si>
  <si>
    <t>countrywide</t>
  </si>
  <si>
    <t>category</t>
  </si>
  <si>
    <t>expenses ($000s)</t>
  </si>
  <si>
    <t>%-fixed</t>
  </si>
  <si>
    <t>commissions</t>
  </si>
  <si>
    <t>general expenses</t>
  </si>
  <si>
    <t>other acquisition</t>
  </si>
  <si>
    <t>taxes</t>
  </si>
  <si>
    <t>licenses &amp; fees</t>
  </si>
  <si>
    <t>TOTAL</t>
  </si>
  <si>
    <t xml:space="preserve"> calculate $-fixed based on %-fixed</t>
  </si>
  <si>
    <t>$-total</t>
  </si>
  <si>
    <t>$-fixed</t>
  </si>
  <si>
    <t>Step 2a</t>
  </si>
  <si>
    <t xml:space="preserve"> calculate the fixed expense ratio F</t>
  </si>
  <si>
    <t>CW prem</t>
  </si>
  <si>
    <r>
      <t xml:space="preserve"> </t>
    </r>
    <r>
      <rPr>
        <b/>
        <sz val="11"/>
        <color rgb="FFFF0000"/>
        <rFont val="Calibri"/>
        <family val="2"/>
        <scheme val="minor"/>
      </rPr>
      <t>&lt;==</t>
    </r>
    <r>
      <rPr>
        <sz val="11"/>
        <color rgb="FFFF0000"/>
        <rFont val="Calibri"/>
        <family val="2"/>
        <scheme val="minor"/>
      </rPr>
      <t xml:space="preserve"> </t>
    </r>
    <r>
      <rPr>
        <i/>
        <sz val="11"/>
        <color rgb="FFFF0000"/>
        <rFont val="Calibri"/>
        <family val="2"/>
        <scheme val="minor"/>
      </rPr>
      <t>final answer</t>
    </r>
  </si>
  <si>
    <t>(</t>
  </si>
  <si>
    <t>It is calculated after the transfer of risk.</t>
  </si>
  <si>
    <t>It focuses only on past incidents.</t>
  </si>
  <si>
    <t>It must be developed prior to the transfer of risk.</t>
  </si>
  <si>
    <t>It is based on arbitrary numbers.</t>
  </si>
  <si>
    <t>(iii)</t>
  </si>
  <si>
    <t>management</t>
  </si>
  <si>
    <t>investors</t>
  </si>
  <si>
    <t>regulators</t>
  </si>
  <si>
    <t>Reserving - Chap 1: Overview</t>
  </si>
  <si>
    <t>Given the triangles shown further down, compute the following quantities:</t>
  </si>
  <si>
    <t>cumulative paid loss for AY</t>
  </si>
  <si>
    <t>@</t>
  </si>
  <si>
    <t>incremental paid loss for AY</t>
  </si>
  <si>
    <t>incremental reported loss for AY</t>
  </si>
  <si>
    <t>Amounts</t>
  </si>
  <si>
    <t>Paid Loss</t>
  </si>
  <si>
    <t>Development Age</t>
  </si>
  <si>
    <t>O/S Loss</t>
  </si>
  <si>
    <t xml:space="preserve"> &lt;==</t>
  </si>
  <si>
    <t>same as Case O/S</t>
  </si>
  <si>
    <t>Paid Count</t>
  </si>
  <si>
    <t>O/S Count</t>
  </si>
  <si>
    <t>Here is the triangle information:</t>
  </si>
  <si>
    <t xml:space="preserve">  &lt;==</t>
  </si>
  <si>
    <t>directly from paid loss triangle</t>
  </si>
  <si>
    <t>directly from alternate format of paid loss triangle below</t>
  </si>
  <si>
    <t>side calc for CY loss:</t>
  </si>
  <si>
    <t>express triangles in alternate format</t>
  </si>
  <si>
    <t>as of Calendar Year End</t>
  </si>
  <si>
    <t>CY paid</t>
  </si>
  <si>
    <t>CY</t>
  </si>
  <si>
    <t>Rptd Loss</t>
  </si>
  <si>
    <t>CY rptd</t>
  </si>
  <si>
    <t>cumulative reported loss for AY</t>
  </si>
  <si>
    <t>cumulative reported count for AY</t>
  </si>
  <si>
    <t>total paid loss for CY</t>
  </si>
  <si>
    <t>Reserving - Chap 5: Triangles</t>
  </si>
  <si>
    <t>Reserving - Chap 7: Development Method</t>
  </si>
  <si>
    <t>Reserving - Chap 10: Cape Cod Method</t>
  </si>
  <si>
    <t>Reserving - Chap 11: Frequency/Severity Methods</t>
  </si>
  <si>
    <t>Reserving - Chap 9: Bornhuetter Ferguson Method</t>
  </si>
  <si>
    <t>Reserving - Chap 12: Case O/S Methods</t>
  </si>
  <si>
    <t>Reserving - Chap 13: Berquist-Sherman Methods</t>
  </si>
  <si>
    <t>Reserving - Chap 14: Recoveries</t>
  </si>
  <si>
    <t>Reserving - Chap 15: Evaluation of Methods</t>
  </si>
  <si>
    <t>Reserving - Chap 16: ALAE</t>
  </si>
  <si>
    <t>Reserving - Chap 17: ULAE</t>
  </si>
  <si>
    <t>cumulative paid claims</t>
  </si>
  <si>
    <t>Step A</t>
  </si>
  <si>
    <t>=====&gt;</t>
  </si>
  <si>
    <t>link ratios for paid claim triangle</t>
  </si>
  <si>
    <t>48-ult</t>
  </si>
  <si>
    <r>
      <rPr>
        <b/>
        <sz val="11"/>
        <color rgb="FFFF0000"/>
        <rFont val="Calibri"/>
        <family val="2"/>
        <scheme val="minor"/>
      </rPr>
      <t>Tail Factor:</t>
    </r>
    <r>
      <rPr>
        <sz val="11"/>
        <color rgb="FFFF0000"/>
        <rFont val="Calibri"/>
        <family val="2"/>
        <scheme val="minor"/>
      </rPr>
      <t xml:space="preserve"> </t>
    </r>
    <r>
      <rPr>
        <sz val="11"/>
        <rFont val="Calibri"/>
        <family val="2"/>
        <scheme val="minor"/>
      </rPr>
      <t>The triangle is fully developed as of</t>
    </r>
  </si>
  <si>
    <r>
      <t xml:space="preserve">48 months. That means the 48-ult </t>
    </r>
    <r>
      <rPr>
        <u/>
        <sz val="11"/>
        <rFont val="Calibri"/>
        <family val="2"/>
        <scheme val="minor"/>
      </rPr>
      <t>tail factor</t>
    </r>
  </si>
  <si>
    <t>is equal to 1.0</t>
  </si>
  <si>
    <t>Step B</t>
  </si>
  <si>
    <t>selected</t>
  </si>
  <si>
    <t>Step C</t>
  </si>
  <si>
    <t>calculate age-to-ultimate LDFs</t>
  </si>
  <si>
    <t>age -&gt; ult</t>
  </si>
  <si>
    <t>&lt;======</t>
  </si>
  <si>
    <r>
      <t>(</t>
    </r>
    <r>
      <rPr>
        <b/>
        <sz val="11"/>
        <color rgb="FF00B050"/>
        <rFont val="Calibri"/>
        <family val="2"/>
        <scheme val="minor"/>
      </rPr>
      <t>selected</t>
    </r>
    <r>
      <rPr>
        <sz val="11"/>
        <rFont val="Calibri"/>
        <family val="2"/>
        <scheme val="minor"/>
      </rPr>
      <t>)  x  (prior [age -&gt; ult])</t>
    </r>
  </si>
  <si>
    <t>(calculate from right-to-left)</t>
  </si>
  <si>
    <t>Step D</t>
  </si>
  <si>
    <t>calculate ultimate losses based on latest paid losses</t>
  </si>
  <si>
    <t>diagonal</t>
  </si>
  <si>
    <t xml:space="preserve">  final answers ===&gt;</t>
  </si>
  <si>
    <t>ultimate</t>
  </si>
  <si>
    <r>
      <t>(</t>
    </r>
    <r>
      <rPr>
        <b/>
        <sz val="11"/>
        <color theme="5" tint="-0.249977111117893"/>
        <rFont val="Calibri"/>
        <family val="2"/>
        <scheme val="minor"/>
      </rPr>
      <t>diagonal</t>
    </r>
    <r>
      <rPr>
        <sz val="11"/>
        <rFont val="Calibri"/>
        <family val="2"/>
        <scheme val="minor"/>
      </rPr>
      <t>)  x  (</t>
    </r>
    <r>
      <rPr>
        <sz val="11"/>
        <color rgb="FF0070C0"/>
        <rFont val="Calibri"/>
        <family val="2"/>
        <scheme val="minor"/>
      </rPr>
      <t>age -&gt; ult</t>
    </r>
    <r>
      <rPr>
        <sz val="11"/>
        <rFont val="Calibri"/>
        <family val="2"/>
        <scheme val="minor"/>
      </rPr>
      <t>)</t>
    </r>
  </si>
  <si>
    <t>Calculate ultimate claims for all accident years using data as of year-end:</t>
  </si>
  <si>
    <t>Identify the key assumption underlying the development method for estimating unpaid claims estimates.</t>
  </si>
  <si>
    <r>
      <t xml:space="preserve">The development method assumes future loss development </t>
    </r>
    <r>
      <rPr>
        <u/>
        <sz val="11"/>
        <color theme="1"/>
        <rFont val="Calibri"/>
        <family val="2"/>
        <scheme val="minor"/>
      </rPr>
      <t>is similar</t>
    </r>
    <r>
      <rPr>
        <sz val="11"/>
        <color theme="1"/>
        <rFont val="Calibri"/>
        <family val="2"/>
        <scheme val="minor"/>
      </rPr>
      <t xml:space="preserve"> to development in prior years</t>
    </r>
  </si>
  <si>
    <t>Triangle 1</t>
  </si>
  <si>
    <t>Triangle 2</t>
  </si>
  <si>
    <t>Triangle 3</t>
  </si>
  <si>
    <t>Triangle 4</t>
  </si>
  <si>
    <t>24-36</t>
  </si>
  <si>
    <t>36-48</t>
  </si>
  <si>
    <t>12-24</t>
  </si>
  <si>
    <t>One way of investigating this is to calculate the triangle of LDFs and look for consistency.</t>
  </si>
  <si>
    <r>
      <t>Triangle 2</t>
    </r>
    <r>
      <rPr>
        <sz val="11"/>
        <color rgb="FF222222"/>
        <rFont val="Calibri"/>
        <family val="2"/>
        <scheme val="minor"/>
      </rPr>
      <t>: </t>
    </r>
    <r>
      <rPr>
        <b/>
        <sz val="11"/>
        <color rgb="FFFF0000"/>
        <rFont val="Calibri"/>
        <family val="2"/>
        <scheme val="minor"/>
      </rPr>
      <t>doesn't satisfy</t>
    </r>
    <r>
      <rPr>
        <sz val="11"/>
        <color rgb="FF222222"/>
        <rFont val="Calibri"/>
        <family val="2"/>
        <scheme val="minor"/>
      </rPr>
      <t> stability/consistency assumption </t>
    </r>
    <r>
      <rPr>
        <i/>
        <sz val="11"/>
        <color rgb="FF222222"/>
        <rFont val="Calibri"/>
        <family val="2"/>
        <scheme val="minor"/>
      </rPr>
      <t>(LDFs are increasing significantly within columns)</t>
    </r>
  </si>
  <si>
    <r>
      <t xml:space="preserve">Identify whether each of the following triangles either </t>
    </r>
    <r>
      <rPr>
        <b/>
        <sz val="11"/>
        <color rgb="FF00B050"/>
        <rFont val="Calibri"/>
        <family val="2"/>
        <scheme val="minor"/>
      </rPr>
      <t>satisfy</t>
    </r>
    <r>
      <rPr>
        <sz val="11"/>
        <rFont val="Calibri"/>
        <family val="2"/>
        <scheme val="minor"/>
      </rPr>
      <t xml:space="preserve"> or </t>
    </r>
    <r>
      <rPr>
        <b/>
        <sz val="11"/>
        <color rgb="FFFF0000"/>
        <rFont val="Calibri"/>
        <family val="2"/>
        <scheme val="minor"/>
      </rPr>
      <t>don't satisfy</t>
    </r>
    <r>
      <rPr>
        <sz val="11"/>
        <rFont val="Calibri"/>
        <family val="2"/>
        <scheme val="minor"/>
      </rPr>
      <t xml:space="preserve"> the key assumption of the development method.</t>
    </r>
  </si>
  <si>
    <t>unreported (or unpaid) claims will emerge in accordance with expected claims</t>
  </si>
  <si>
    <t>Identify the key assumption of the Bornhuetter-Ferguson method for estimating unpaid claims.</t>
  </si>
  <si>
    <t xml:space="preserve">  ECR ultimate</t>
  </si>
  <si>
    <t>ECR</t>
  </si>
  <si>
    <t>EP</t>
  </si>
  <si>
    <t xml:space="preserve">Calculate the </t>
  </si>
  <si>
    <t>for AY</t>
  </si>
  <si>
    <t>using the Bornhuetter-Ferguson method.</t>
  </si>
  <si>
    <t xml:space="preserve">  The CDF we need is:</t>
  </si>
  <si>
    <t>All data is as of Dec 31, 2025</t>
  </si>
  <si>
    <t xml:space="preserve">paid loss @ </t>
  </si>
  <si>
    <t>12 mths</t>
  </si>
  <si>
    <t xml:space="preserve">reported loss @ </t>
  </si>
  <si>
    <t>EP for CY</t>
  </si>
  <si>
    <t>12-ult</t>
  </si>
  <si>
    <t>Step 2b</t>
  </si>
  <si>
    <t>ECR for AY</t>
  </si>
  <si>
    <t>24 mths</t>
  </si>
  <si>
    <t>(1 - 1/CDF)</t>
  </si>
  <si>
    <t>ECR ultimate</t>
  </si>
  <si>
    <t>24-ult</t>
  </si>
  <si>
    <t>Final</t>
  </si>
  <si>
    <t>Answer</t>
  </si>
  <si>
    <r>
      <rPr>
        <u/>
        <sz val="11"/>
        <color theme="1"/>
        <rFont val="Calibri"/>
        <family val="2"/>
        <scheme val="minor"/>
      </rPr>
      <t>Recall</t>
    </r>
    <r>
      <rPr>
        <sz val="11"/>
        <color theme="1"/>
        <rFont val="Calibri"/>
        <family val="2"/>
        <scheme val="minor"/>
      </rPr>
      <t>:</t>
    </r>
  </si>
  <si>
    <t>unpaid</t>
  </si>
  <si>
    <t>paid</t>
  </si>
  <si>
    <t>IBNR</t>
  </si>
  <si>
    <t xml:space="preserve">paid CDF for </t>
  </si>
  <si>
    <t>The Cape Cod method for estimating unpaid claims has the same key assumption as the</t>
  </si>
  <si>
    <r>
      <t xml:space="preserve">Bornhuetter-Ferguson method. Briefly explain the </t>
    </r>
    <r>
      <rPr>
        <u/>
        <sz val="11"/>
        <rFont val="Calibri"/>
        <family val="2"/>
        <scheme val="minor"/>
      </rPr>
      <t>key difference</t>
    </r>
    <r>
      <rPr>
        <sz val="11"/>
        <rFont val="Calibri"/>
        <family val="2"/>
        <scheme val="minor"/>
      </rPr>
      <t xml:space="preserve"> between these 2 methods.</t>
    </r>
  </si>
  <si>
    <t>The difference is in how ECR and expected claims are calculated</t>
  </si>
  <si>
    <r>
      <t>→ CC uses a formula </t>
    </r>
    <r>
      <rPr>
        <i/>
        <sz val="11"/>
        <color rgb="FF222222"/>
        <rFont val="Calibri"/>
        <family val="2"/>
        <scheme val="minor"/>
      </rPr>
      <t>(uses internal company data, no judgment involved)</t>
    </r>
  </si>
  <si>
    <r>
      <t>→ BF uses results of ECR method </t>
    </r>
    <r>
      <rPr>
        <i/>
        <sz val="11"/>
        <color rgb="FF222222"/>
        <rFont val="Calibri"/>
        <family val="2"/>
        <scheme val="minor"/>
      </rPr>
      <t>(may use internal company data or external industry data, incorporates judgment)</t>
    </r>
  </si>
  <si>
    <t>Disadvantages: any 1 of..</t>
  </si>
  <si>
    <t>Advantage:</t>
  </si>
  <si>
    <r>
      <t xml:space="preserve"> calculate the adjusted reported losses </t>
    </r>
    <r>
      <rPr>
        <i/>
        <sz val="11"/>
        <rFont val="Calibri"/>
        <family val="2"/>
        <scheme val="minor"/>
      </rPr>
      <t>(do not apply CDFs to the losses - we are not calculating the ultimate here)</t>
    </r>
  </si>
  <si>
    <t>rptd clms</t>
  </si>
  <si>
    <t>PP trend</t>
  </si>
  <si>
    <t>adjusted reported claims</t>
  </si>
  <si>
    <t>using the reported Cape Cod method.</t>
  </si>
  <si>
    <t>CDF</t>
  </si>
  <si>
    <t>trend</t>
  </si>
  <si>
    <t xml:space="preserve"> calculate the used-up-premium (UUP)</t>
  </si>
  <si>
    <t>CY/AY</t>
  </si>
  <si>
    <t>UUP</t>
  </si>
  <si>
    <t>* no rate level adjustments</t>
  </si>
  <si>
    <t>* no premium trend</t>
  </si>
  <si>
    <r>
      <t xml:space="preserve"> calculate the adjusted ECR </t>
    </r>
    <r>
      <rPr>
        <u/>
        <sz val="11"/>
        <color theme="1"/>
        <rFont val="Calibri"/>
        <family val="2"/>
        <scheme val="minor"/>
      </rPr>
      <t>at the level</t>
    </r>
    <r>
      <rPr>
        <sz val="11"/>
        <color theme="1"/>
        <rFont val="Calibri"/>
        <family val="2"/>
        <scheme val="minor"/>
      </rPr>
      <t>:</t>
    </r>
  </si>
  <si>
    <t>(you must back out the pure premium trend)</t>
  </si>
  <si>
    <t>Step 4</t>
  </si>
  <si>
    <t xml:space="preserve"> calculate the ultimate using the data for:</t>
  </si>
  <si>
    <t>( 1 -     1 /</t>
  </si>
  <si>
    <t>CDF )</t>
  </si>
  <si>
    <r>
      <t xml:space="preserve">  &lt;==  </t>
    </r>
    <r>
      <rPr>
        <i/>
        <sz val="11"/>
        <color rgb="FFFF0000"/>
        <rFont val="Calibri"/>
        <family val="2"/>
        <scheme val="minor"/>
      </rPr>
      <t>final answer</t>
    </r>
  </si>
  <si>
    <t>Identify and briefly describe 2 key assumptions of frequency-severity methods for estimating</t>
  </si>
  <si>
    <t>unpaid claims estimates.</t>
  </si>
  <si>
    <t>Any 2 of..</t>
  </si>
  <si>
    <t xml:space="preserve">  - LDFs within columns are roughly similar - no increasing/decreasing trends, no outliers.</t>
  </si>
  <si>
    <t xml:space="preserve">  - counts and severities will have stable development triangles.</t>
  </si>
  <si>
    <r>
      <rPr>
        <b/>
        <sz val="11"/>
        <color rgb="FFFF0000"/>
        <rFont val="Calibri"/>
        <family val="2"/>
        <scheme val="minor"/>
      </rPr>
      <t>D</t>
    </r>
    <r>
      <rPr>
        <sz val="11"/>
        <color rgb="FF222222"/>
        <rFont val="Calibri"/>
        <family val="2"/>
        <scheme val="minor"/>
      </rPr>
      <t>evelopment is stable</t>
    </r>
  </si>
  <si>
    <r>
      <t xml:space="preserve">  - counts are tallied according to either # of claimants </t>
    </r>
    <r>
      <rPr>
        <u/>
        <sz val="11"/>
        <color theme="1"/>
        <rFont val="Calibri"/>
        <family val="2"/>
        <scheme val="minor"/>
      </rPr>
      <t>or</t>
    </r>
    <r>
      <rPr>
        <sz val="11"/>
        <color theme="1"/>
        <rFont val="Calibri"/>
        <family val="2"/>
        <scheme val="minor"/>
      </rPr>
      <t xml:space="preserve"> # of claims</t>
    </r>
  </si>
  <si>
    <r>
      <t>C</t>
    </r>
    <r>
      <rPr>
        <sz val="11"/>
        <color rgb="FF222222"/>
        <rFont val="Calibri"/>
        <family val="2"/>
        <scheme val="minor"/>
      </rPr>
      <t>ount definition is consistent</t>
    </r>
  </si>
  <si>
    <r>
      <t>T</t>
    </r>
    <r>
      <rPr>
        <sz val="11"/>
        <color rgb="FF222222"/>
        <rFont val="Calibri"/>
        <family val="2"/>
        <scheme val="minor"/>
      </rPr>
      <t>ypes of claims are homogeneous</t>
    </r>
  </si>
  <si>
    <r>
      <t xml:space="preserve">  - for example that all claims are liability claims </t>
    </r>
    <r>
      <rPr>
        <u/>
        <sz val="11"/>
        <color theme="1"/>
        <rFont val="Calibri"/>
        <family val="2"/>
        <scheme val="minor"/>
      </rPr>
      <t>or</t>
    </r>
    <r>
      <rPr>
        <sz val="11"/>
        <color theme="1"/>
        <rFont val="Calibri"/>
        <family val="2"/>
        <scheme val="minor"/>
      </rPr>
      <t xml:space="preserve"> all claims are physical damage claims </t>
    </r>
    <r>
      <rPr>
        <u/>
        <sz val="11"/>
        <color theme="1"/>
        <rFont val="Calibri"/>
        <family val="2"/>
        <scheme val="minor"/>
      </rPr>
      <t>or</t>
    </r>
    <r>
      <rPr>
        <sz val="11"/>
        <color theme="1"/>
        <rFont val="Calibri"/>
        <family val="2"/>
        <scheme val="minor"/>
      </rPr>
      <t xml:space="preserve"> the</t>
    </r>
  </si>
  <si>
    <t xml:space="preserve">    mix between these types of claims is conistent</t>
  </si>
  <si>
    <t>Advantages: any 1 of..</t>
  </si>
  <si>
    <t>(paid data is not affected by changes in case strength)</t>
  </si>
  <si>
    <r>
      <rPr>
        <b/>
        <sz val="11"/>
        <color rgb="FFFF0000"/>
        <rFont val="Calibri"/>
        <family val="2"/>
        <scheme val="minor"/>
      </rPr>
      <t>P</t>
    </r>
    <r>
      <rPr>
        <sz val="11"/>
        <color theme="1"/>
        <rFont val="Calibri"/>
        <family val="2"/>
        <scheme val="minor"/>
      </rPr>
      <t>aid data only may be used which is an advantage if case strength/adequacy is changing</t>
    </r>
  </si>
  <si>
    <r>
      <rPr>
        <b/>
        <sz val="11"/>
        <color rgb="FFFF0000"/>
        <rFont val="Calibri"/>
        <family val="2"/>
        <scheme val="minor"/>
      </rPr>
      <t>I</t>
    </r>
    <r>
      <rPr>
        <sz val="11"/>
        <color theme="1"/>
        <rFont val="Calibri"/>
        <family val="2"/>
        <scheme val="minor"/>
      </rPr>
      <t>nflation can be explicitly reflected</t>
    </r>
  </si>
  <si>
    <r>
      <t>I</t>
    </r>
    <r>
      <rPr>
        <sz val="11"/>
        <color rgb="FF222222"/>
        <rFont val="Calibri"/>
        <family val="2"/>
        <scheme val="minor"/>
      </rPr>
      <t>nsight into the claims process since frequency, severity, and disposal rates are explicitly considered</t>
    </r>
  </si>
  <si>
    <t xml:space="preserve">  - more calculations means small inaccuracies can propagate, and also judgmental selections</t>
  </si>
  <si>
    <t xml:space="preserve">    are required in multiple steps</t>
  </si>
  <si>
    <t xml:space="preserve">  - disadvantage if settlement rates are changing because paid data may be distorted</t>
  </si>
  <si>
    <t xml:space="preserve">  - final result is very sensitive to inflation assumption</t>
  </si>
  <si>
    <r>
      <rPr>
        <b/>
        <sz val="11"/>
        <color rgb="FFFF0000"/>
        <rFont val="Calibri"/>
        <family val="2"/>
        <scheme val="minor"/>
      </rPr>
      <t>I</t>
    </r>
    <r>
      <rPr>
        <sz val="11"/>
        <color theme="1"/>
        <rFont val="Calibri"/>
        <family val="2"/>
        <scheme val="minor"/>
      </rPr>
      <t>nflation:</t>
    </r>
  </si>
  <si>
    <r>
      <rPr>
        <b/>
        <sz val="11"/>
        <color rgb="FFFF0000"/>
        <rFont val="Calibri"/>
        <family val="2"/>
        <scheme val="minor"/>
      </rPr>
      <t>P</t>
    </r>
    <r>
      <rPr>
        <sz val="11"/>
        <color theme="1"/>
        <rFont val="Calibri"/>
        <family val="2"/>
        <scheme val="minor"/>
      </rPr>
      <t>aid data:</t>
    </r>
  </si>
  <si>
    <r>
      <rPr>
        <b/>
        <sz val="11"/>
        <color rgb="FFFF0000"/>
        <rFont val="Calibri"/>
        <family val="2"/>
        <scheme val="minor"/>
      </rPr>
      <t>C</t>
    </r>
    <r>
      <rPr>
        <sz val="11"/>
        <color theme="1"/>
        <rFont val="Calibri"/>
        <family val="2"/>
        <scheme val="minor"/>
      </rPr>
      <t>omplexity:</t>
    </r>
  </si>
  <si>
    <t>payroll (000s)</t>
  </si>
  <si>
    <t>claims (000s)</t>
  </si>
  <si>
    <t>?</t>
  </si>
  <si>
    <t>exposure</t>
  </si>
  <si>
    <t>count</t>
  </si>
  <si>
    <t>trd fctr</t>
  </si>
  <si>
    <t>trended</t>
  </si>
  <si>
    <t>--</t>
  </si>
  <si>
    <t>select →</t>
  </si>
  <si>
    <t>Calculate the ultimate for AY 2025 using trended frequency and the given severity.</t>
  </si>
  <si>
    <r>
      <t>1</t>
    </r>
    <r>
      <rPr>
        <sz val="12"/>
        <color rgb="FF333333"/>
        <rFont val="Calibri"/>
        <family val="2"/>
        <scheme val="minor"/>
      </rPr>
      <t> </t>
    </r>
    <r>
      <rPr>
        <i/>
        <sz val="12"/>
        <color rgb="FF333333"/>
        <rFont val="Calibri"/>
        <family val="2"/>
        <scheme val="minor"/>
      </rPr>
      <t>Use a simple weighted average for trend selections.</t>
    </r>
  </si>
  <si>
    <r>
      <t>2</t>
    </r>
    <r>
      <rPr>
        <sz val="12"/>
        <color rgb="FF333333"/>
        <rFont val="Calibri"/>
        <family val="2"/>
        <scheme val="minor"/>
      </rPr>
      <t> </t>
    </r>
    <r>
      <rPr>
        <i/>
        <sz val="12"/>
        <color rgb="FF333333"/>
        <rFont val="Calibri"/>
        <family val="2"/>
        <scheme val="minor"/>
      </rPr>
      <t>Data is as of Dec 31, 2025.</t>
    </r>
  </si>
  <si>
    <t>AY 2025 ultimate claims:</t>
  </si>
  <si>
    <t xml:space="preserve">  (final answer)</t>
  </si>
  <si>
    <r>
      <t>1.02</t>
    </r>
    <r>
      <rPr>
        <vertAlign val="superscript"/>
        <sz val="11"/>
        <color theme="1"/>
        <rFont val="Calibri"/>
        <family val="2"/>
        <scheme val="minor"/>
      </rPr>
      <t>1</t>
    </r>
  </si>
  <si>
    <t>Ultimate Calculation:</t>
  </si>
  <si>
    <t>Frequency Calculation:</t>
  </si>
  <si>
    <r>
      <t>ultimate</t>
    </r>
    <r>
      <rPr>
        <vertAlign val="subscript"/>
        <sz val="11"/>
        <rFont val="Calibri"/>
        <family val="2"/>
        <scheme val="minor"/>
      </rPr>
      <t>AY 2025</t>
    </r>
    <r>
      <rPr>
        <sz val="11"/>
        <color rgb="FF333333"/>
        <rFont val="Calibri"/>
        <family val="2"/>
        <scheme val="minor"/>
      </rPr>
      <t/>
    </r>
  </si>
  <si>
    <r>
      <t>exposures</t>
    </r>
    <r>
      <rPr>
        <vertAlign val="subscript"/>
        <sz val="11"/>
        <rFont val="Calibri"/>
        <family val="2"/>
        <scheme val="minor"/>
      </rPr>
      <t>CY 2025</t>
    </r>
    <r>
      <rPr>
        <sz val="11"/>
        <rFont val="Calibri"/>
        <family val="2"/>
        <scheme val="minor"/>
      </rPr>
      <t>   x   (selected Frequency)</t>
    </r>
    <r>
      <rPr>
        <vertAlign val="subscript"/>
        <sz val="11"/>
        <rFont val="Calibri"/>
        <family val="2"/>
        <scheme val="minor"/>
      </rPr>
      <t>AY 2025</t>
    </r>
    <r>
      <rPr>
        <sz val="11"/>
        <rFont val="Calibri"/>
        <family val="2"/>
        <scheme val="minor"/>
      </rPr>
      <t>   x   (selected Severity)</t>
    </r>
    <r>
      <rPr>
        <vertAlign val="subscript"/>
        <sz val="11"/>
        <rFont val="Calibri"/>
        <family val="2"/>
        <scheme val="minor"/>
      </rPr>
      <t>AY 2025</t>
    </r>
  </si>
  <si>
    <t>Identify 1 advantage and 1 disadvantage of frequency-severity methods.</t>
  </si>
  <si>
    <t xml:space="preserve"> highlight the correct CDFs for the given AY</t>
  </si>
  <si>
    <t>industry CDFs</t>
  </si>
  <si>
    <t>Calculate the unpaid claim estimate for this self-insured entity for AY</t>
  </si>
  <si>
    <t>- ultimate</t>
  </si>
  <si>
    <t>Information as of Dec 31, 2025:</t>
  </si>
  <si>
    <t xml:space="preserve">case O/S for AY  </t>
  </si>
  <si>
    <t>company data</t>
  </si>
  <si>
    <t>industry data</t>
  </si>
  <si>
    <t xml:space="preserve"> subsitute the correct CDFs into the case O/S formula for estimating unpaid for AY</t>
  </si>
  <si>
    <t xml:space="preserve"> CDF</t>
  </si>
  <si>
    <t>case O/S factor</t>
  </si>
  <si>
    <t>1  +</t>
  </si>
  <si>
    <t>[ ( rptd:CDF - 1) x paid:CDF ]</t>
  </si>
  <si>
    <t>( paid:CDF - rptd:CDF)</t>
  </si>
  <si>
    <t>case O/S amount</t>
  </si>
  <si>
    <t>The Friedland reserving text discusses 2 methods referred to as "Case Outstanding" methods. One of</t>
  </si>
  <si>
    <t>them is sometimes referred to as the "Development Method". The other case outstanding method</t>
  </si>
  <si>
    <t>is a formula that uses industry data to project a company's case outstanding amount assuming no</t>
  </si>
  <si>
    <t>other company data is available.</t>
  </si>
  <si>
    <t>Step 1a</t>
  </si>
  <si>
    <t xml:space="preserve"> calculate Average Paid Loss (APL) &amp; Average Case O/S (ACOS)</t>
  </si>
  <si>
    <r>
      <t xml:space="preserve">Average Paid Loss ($000s)  </t>
    </r>
    <r>
      <rPr>
        <b/>
        <sz val="11"/>
        <color rgb="FFFF0000"/>
        <rFont val="Calibri"/>
        <family val="2"/>
        <scheme val="minor"/>
      </rPr>
      <t>(APL)</t>
    </r>
  </si>
  <si>
    <r>
      <t xml:space="preserve">Average Case O/S  ($000s) </t>
    </r>
    <r>
      <rPr>
        <b/>
        <sz val="11"/>
        <color rgb="FFFF0000"/>
        <rFont val="Calibri"/>
        <family val="2"/>
        <scheme val="minor"/>
      </rPr>
      <t>(ACOS)</t>
    </r>
  </si>
  <si>
    <r>
      <t xml:space="preserve">Use the </t>
    </r>
    <r>
      <rPr>
        <u/>
        <sz val="11"/>
        <color theme="1"/>
        <rFont val="Calibri"/>
        <family val="2"/>
        <scheme val="minor"/>
      </rPr>
      <t>reported</t>
    </r>
    <r>
      <rPr>
        <sz val="11"/>
        <color theme="1"/>
        <rFont val="Calibri"/>
        <family val="2"/>
        <scheme val="minor"/>
      </rPr>
      <t xml:space="preserve"> Berquist-Sherman method to calculate the</t>
    </r>
  </si>
  <si>
    <r>
      <t xml:space="preserve">Cumulative Paid </t>
    </r>
    <r>
      <rPr>
        <u/>
        <sz val="11"/>
        <color theme="1"/>
        <rFont val="Calibri"/>
        <family val="2"/>
        <scheme val="minor"/>
      </rPr>
      <t>Loss</t>
    </r>
    <r>
      <rPr>
        <sz val="11"/>
        <color theme="1"/>
        <rFont val="Calibri"/>
        <family val="2"/>
        <scheme val="minor"/>
      </rPr>
      <t xml:space="preserve"> ($000s)  </t>
    </r>
    <r>
      <rPr>
        <b/>
        <sz val="11"/>
        <color rgb="FFFF0000"/>
        <rFont val="Calibri"/>
        <family val="2"/>
        <scheme val="minor"/>
      </rPr>
      <t>(CPL)</t>
    </r>
  </si>
  <si>
    <r>
      <t xml:space="preserve">Cumulative Reported </t>
    </r>
    <r>
      <rPr>
        <u/>
        <sz val="11"/>
        <color theme="1"/>
        <rFont val="Calibri"/>
        <family val="2"/>
        <scheme val="minor"/>
      </rPr>
      <t>Loss</t>
    </r>
    <r>
      <rPr>
        <sz val="11"/>
        <color theme="1"/>
        <rFont val="Calibri"/>
        <family val="2"/>
        <scheme val="minor"/>
      </rPr>
      <t xml:space="preserve"> ($000s)  </t>
    </r>
    <r>
      <rPr>
        <b/>
        <sz val="11"/>
        <color rgb="FFFF0000"/>
        <rFont val="Calibri"/>
        <family val="2"/>
        <scheme val="minor"/>
      </rPr>
      <t>(CRL)</t>
    </r>
  </si>
  <si>
    <t>Ex:</t>
  </si>
  <si>
    <t>APL</t>
  </si>
  <si>
    <t>CPL / CPC</t>
  </si>
  <si>
    <t>ACOS</t>
  </si>
  <si>
    <t>(CRL - CPL) / (CRC - CPC)</t>
  </si>
  <si>
    <t>Step 1b</t>
  </si>
  <si>
    <r>
      <t xml:space="preserve"> calculate &amp; select severity trend down columns </t>
    </r>
    <r>
      <rPr>
        <i/>
        <sz val="11"/>
        <color rgb="FFFF0000"/>
        <rFont val="Calibri"/>
        <family val="2"/>
        <scheme val="minor"/>
      </rPr>
      <t>(if trend is not provided)</t>
    </r>
  </si>
  <si>
    <r>
      <t xml:space="preserve">Cumulative Paid </t>
    </r>
    <r>
      <rPr>
        <u/>
        <sz val="11"/>
        <color theme="1"/>
        <rFont val="Calibri"/>
        <family val="2"/>
        <scheme val="minor"/>
      </rPr>
      <t>Counts</t>
    </r>
    <r>
      <rPr>
        <sz val="11"/>
        <color theme="1"/>
        <rFont val="Calibri"/>
        <family val="2"/>
        <scheme val="minor"/>
      </rPr>
      <t xml:space="preserve"> </t>
    </r>
    <r>
      <rPr>
        <b/>
        <sz val="11"/>
        <color rgb="FFFF0000"/>
        <rFont val="Calibri"/>
        <family val="2"/>
        <scheme val="minor"/>
      </rPr>
      <t>(CPC)</t>
    </r>
  </si>
  <si>
    <r>
      <t xml:space="preserve">Cumulative Reported </t>
    </r>
    <r>
      <rPr>
        <u/>
        <sz val="11"/>
        <color theme="1"/>
        <rFont val="Calibri"/>
        <family val="2"/>
        <scheme val="minor"/>
      </rPr>
      <t>Counts</t>
    </r>
    <r>
      <rPr>
        <sz val="11"/>
        <color theme="1"/>
        <rFont val="Calibri"/>
        <family val="2"/>
        <scheme val="minor"/>
      </rPr>
      <t xml:space="preserve"> </t>
    </r>
    <r>
      <rPr>
        <b/>
        <sz val="11"/>
        <color rgb="FFFF0000"/>
        <rFont val="Calibri"/>
        <family val="2"/>
        <scheme val="minor"/>
      </rPr>
      <t>(CRC)</t>
    </r>
  </si>
  <si>
    <r>
      <t xml:space="preserve">Average Paid Loss </t>
    </r>
    <r>
      <rPr>
        <b/>
        <u/>
        <sz val="11"/>
        <color theme="1"/>
        <rFont val="Calibri"/>
        <family val="2"/>
        <scheme val="minor"/>
      </rPr>
      <t>TREND</t>
    </r>
  </si>
  <si>
    <r>
      <t xml:space="preserve">Average Case O/S </t>
    </r>
    <r>
      <rPr>
        <b/>
        <u/>
        <sz val="11"/>
        <color theme="1"/>
        <rFont val="Calibri"/>
        <family val="2"/>
        <scheme val="minor"/>
      </rPr>
      <t>TREND</t>
    </r>
  </si>
  <si>
    <t>severity trend selection:</t>
  </si>
  <si>
    <t>n/a</t>
  </si>
  <si>
    <t>annual severity trend</t>
  </si>
  <si>
    <t>severity trend given:</t>
  </si>
  <si>
    <t xml:space="preserve"> restate ACOS by de-trending from latest diagonal of original ACOS</t>
  </si>
  <si>
    <r>
      <t xml:space="preserve">Average Case O/S  </t>
    </r>
    <r>
      <rPr>
        <b/>
        <sz val="11"/>
        <color rgb="FFFF0000"/>
        <rFont val="Calibri"/>
        <family val="2"/>
        <scheme val="minor"/>
      </rPr>
      <t>(ACOS)</t>
    </r>
  </si>
  <si>
    <t>* latest diagonal doesn't change under de-trending</t>
  </si>
  <si>
    <r>
      <t xml:space="preserve"> restate CRL using restated ACOS from step 2a:   </t>
    </r>
    <r>
      <rPr>
        <sz val="11"/>
        <color rgb="FF0070C0"/>
        <rFont val="Calibri"/>
        <family val="2"/>
        <scheme val="minor"/>
      </rPr>
      <t>(restated ACOS) x (open counts)  +  (original CPL)</t>
    </r>
  </si>
  <si>
    <r>
      <rPr>
        <sz val="11"/>
        <color rgb="FFFF0000"/>
        <rFont val="Calibri"/>
        <family val="2"/>
        <scheme val="minor"/>
      </rPr>
      <t>Restated</t>
    </r>
    <r>
      <rPr>
        <sz val="11"/>
        <color theme="1"/>
        <rFont val="Calibri"/>
        <family val="2"/>
        <scheme val="minor"/>
      </rPr>
      <t xml:space="preserve"> </t>
    </r>
    <r>
      <rPr>
        <b/>
        <sz val="11"/>
        <color rgb="FFFF0000"/>
        <rFont val="Calibri"/>
        <family val="2"/>
        <scheme val="minor"/>
      </rPr>
      <t>CRL</t>
    </r>
  </si>
  <si>
    <t>Step 3b</t>
  </si>
  <si>
    <t xml:space="preserve"> apply development method to restated CRL from step 2b</t>
  </si>
  <si>
    <t>LDFs</t>
  </si>
  <si>
    <r>
      <rPr>
        <b/>
        <sz val="11"/>
        <color rgb="FFFF0000"/>
        <rFont val="Calibri"/>
        <family val="2"/>
        <scheme val="minor"/>
      </rPr>
      <t>Tail Factor:</t>
    </r>
    <r>
      <rPr>
        <sz val="11"/>
        <color rgb="FFFF0000"/>
        <rFont val="Calibri"/>
        <family val="2"/>
        <scheme val="minor"/>
      </rPr>
      <t xml:space="preserve"> </t>
    </r>
    <r>
      <rPr>
        <sz val="11"/>
        <rFont val="Calibri"/>
        <family val="2"/>
        <scheme val="minor"/>
      </rPr>
      <t>Set = 1.0 if triangle is fully developed.</t>
    </r>
  </si>
  <si>
    <t>If trianlge is not fully developed then select</t>
  </si>
  <si>
    <t>something different from 1.0</t>
  </si>
  <si>
    <t>CDFs</t>
  </si>
  <si>
    <t>Ults.</t>
  </si>
  <si>
    <t xml:space="preserve"> &lt;-- final answer</t>
  </si>
  <si>
    <t>Hints:</t>
  </si>
  <si>
    <r>
      <rPr>
        <b/>
        <sz val="11"/>
        <color rgb="FF7030A0"/>
        <rFont val="Calibri"/>
        <family val="2"/>
        <scheme val="minor"/>
      </rPr>
      <t>RESTATED</t>
    </r>
    <r>
      <rPr>
        <sz val="11"/>
        <color theme="1"/>
        <rFont val="Calibri"/>
        <family val="2"/>
        <scheme val="minor"/>
      </rPr>
      <t xml:space="preserve"> Average Case O/S  (ACOS)</t>
    </r>
  </si>
  <si>
    <r>
      <rPr>
        <b/>
        <sz val="11"/>
        <color rgb="FFFF0000"/>
        <rFont val="Calibri"/>
        <family val="2"/>
        <scheme val="minor"/>
      </rPr>
      <t>ORIGINAL</t>
    </r>
    <r>
      <rPr>
        <sz val="11"/>
        <color theme="1"/>
        <rFont val="Calibri"/>
        <family val="2"/>
        <scheme val="minor"/>
      </rPr>
      <t xml:space="preserve"> Average Case O/S  ($000s) (ACOS)</t>
    </r>
  </si>
  <si>
    <t xml:space="preserve"> (You don't have to work everything out from scratch. Use the restated Average Case O/S shown below.)</t>
  </si>
  <si>
    <t>Here is the full solution, but you don't have to do all the steps because you were given</t>
  </si>
  <si>
    <t>the restated Average Case O/S  (ACOS).</t>
  </si>
  <si>
    <t>According to the Friedland text, the quota-share percentage is applied to the gross loss</t>
  </si>
  <si>
    <t>to obtain the net loss:</t>
  </si>
  <si>
    <t>net loss</t>
  </si>
  <si>
    <t>gross loss</t>
  </si>
  <si>
    <t>quota-share percentage</t>
  </si>
  <si>
    <t>Important Note:</t>
  </si>
  <si>
    <t>Examiners' report solutions to old exam problems sometimes get this backwards. In</t>
  </si>
  <si>
    <t>other words, they apply the quota-share percentage to the gross loss to get the</t>
  </si>
  <si>
    <r>
      <t>ceded loss</t>
    </r>
    <r>
      <rPr>
        <sz val="11"/>
        <color theme="1"/>
        <rFont val="Calibri"/>
        <family val="2"/>
        <scheme val="minor"/>
      </rPr>
      <t>. This is wrong! But you should be aware that this is often a point of confusion.</t>
    </r>
  </si>
  <si>
    <t>loss 1</t>
  </si>
  <si>
    <t>loss 2</t>
  </si>
  <si>
    <t>loss 1 reimbursement</t>
  </si>
  <si>
    <t xml:space="preserve"> (because the attachment point is not reached)</t>
  </si>
  <si>
    <t>loss 2 reimbursement</t>
  </si>
  <si>
    <t>losses then what is the primary insurer's reimbursement from the reinsurer?</t>
  </si>
  <si>
    <t>the primary insurer's reimbursement from the reinsurer?</t>
  </si>
  <si>
    <t>Using the data from part (c), but assuming the attachment point applies to aggregate losses, what is</t>
  </si>
  <si>
    <t>total losses</t>
  </si>
  <si>
    <t>total reimbursement</t>
  </si>
  <si>
    <t>reimbursement</t>
  </si>
  <si>
    <t>individual attachment point</t>
  </si>
  <si>
    <t>aggregate attachment point</t>
  </si>
  <si>
    <t>(final answer to part c)</t>
  </si>
  <si>
    <t>(final answer to part d)</t>
  </si>
  <si>
    <t>(final answer to part b)</t>
  </si>
  <si>
    <t>Paid</t>
  </si>
  <si>
    <t>Development</t>
  </si>
  <si>
    <t>Berquist-Sherman</t>
  </si>
  <si>
    <t>Suppose you get to the end of your reserve analysis as of Dec 31, 2025 and have estimates of ultimates</t>
  </si>
  <si>
    <t>from several different methods:</t>
  </si>
  <si>
    <t>consistent estimates across all Accident Years because these methods</t>
  </si>
  <si>
    <t>Assume the selected LDFs are an arithmetic average of the values in each column of the LDF triangle.</t>
  </si>
  <si>
    <t>estimates are consistent.</t>
  </si>
  <si>
    <t>based on appropriate diagnostic triangles) then LDF selections</t>
  </si>
  <si>
    <t>Given the following information for an insurer as of Dec 31, 2023:</t>
  </si>
  <si>
    <t>history</t>
  </si>
  <si>
    <t>No adjustments were made to historical claims development factors.</t>
  </si>
  <si>
    <t>Briefly assess the appropriateness of each reserving method for AY 2020.</t>
  </si>
  <si>
    <t>Paid development method</t>
  </si>
  <si>
    <t>Reported development method</t>
  </si>
  <si>
    <t>not affect estimates for AY 2020.</t>
  </si>
  <si>
    <t>is more mature. (In other words, the CDF for AY 2020 would be</t>
  </si>
  <si>
    <t xml:space="preserve"> determine the 12-month period containing the period you're given</t>
  </si>
  <si>
    <t>period</t>
  </si>
  <si>
    <t>to</t>
  </si>
  <si>
    <t>is contained in period</t>
  </si>
  <si>
    <t xml:space="preserve"> calculate the quantites required in the emergence formula (for step 3)</t>
  </si>
  <si>
    <t>Here is the current information for a particular AY:</t>
  </si>
  <si>
    <t xml:space="preserve"> calculate the emergence in the 12-month period using the results from step 2</t>
  </si>
  <si>
    <t>12-mth emergence</t>
  </si>
  <si>
    <t xml:space="preserve">x        ( </t>
  </si>
  <si>
    <t xml:space="preserve"> )        /</t>
  </si>
  <si>
    <t>Calculate the emergence of paid claims in the period</t>
  </si>
  <si>
    <t xml:space="preserve">  months.</t>
  </si>
  <si>
    <t>Step 1:</t>
  </si>
  <si>
    <r>
      <t xml:space="preserve">Ratio of </t>
    </r>
    <r>
      <rPr>
        <i/>
        <sz val="11"/>
        <color theme="1"/>
        <rFont val="Calibri"/>
        <family val="2"/>
        <scheme val="minor"/>
      </rPr>
      <t>cumulative</t>
    </r>
    <r>
      <rPr>
        <sz val="11"/>
        <color theme="1"/>
        <rFont val="Calibri"/>
        <family val="2"/>
        <scheme val="minor"/>
      </rPr>
      <t xml:space="preserve"> paid ALAE to </t>
    </r>
    <r>
      <rPr>
        <i/>
        <sz val="11"/>
        <color theme="1"/>
        <rFont val="Calibri"/>
        <family val="2"/>
        <scheme val="minor"/>
      </rPr>
      <t>cumulative</t>
    </r>
    <r>
      <rPr>
        <sz val="11"/>
        <color theme="1"/>
        <rFont val="Calibri"/>
        <family val="2"/>
        <scheme val="minor"/>
      </rPr>
      <t xml:space="preserve"> paid claims:</t>
    </r>
  </si>
  <si>
    <t>Use the</t>
  </si>
  <si>
    <t>approach to estimate the</t>
  </si>
  <si>
    <t>ALAE</t>
  </si>
  <si>
    <t>cumulative paid claims:</t>
  </si>
  <si>
    <t>cumulative paid ALAE:</t>
  </si>
  <si>
    <t>Step 2:</t>
  </si>
  <si>
    <r>
      <t xml:space="preserve">Development triangle </t>
    </r>
    <r>
      <rPr>
        <i/>
        <sz val="11"/>
        <color theme="1"/>
        <rFont val="Calibri"/>
        <family val="2"/>
        <scheme val="minor"/>
      </rPr>
      <t xml:space="preserve">(either </t>
    </r>
    <r>
      <rPr>
        <i/>
        <u/>
        <sz val="11"/>
        <color theme="1"/>
        <rFont val="Calibri"/>
        <family val="2"/>
        <scheme val="minor"/>
      </rPr>
      <t>additive</t>
    </r>
    <r>
      <rPr>
        <i/>
        <sz val="11"/>
        <color theme="1"/>
        <rFont val="Calibri"/>
        <family val="2"/>
        <scheme val="minor"/>
      </rPr>
      <t xml:space="preserve"> or </t>
    </r>
    <r>
      <rPr>
        <i/>
        <u/>
        <sz val="11"/>
        <color theme="1"/>
        <rFont val="Calibri"/>
        <family val="2"/>
        <scheme val="minor"/>
      </rPr>
      <t>multiplicative</t>
    </r>
    <r>
      <rPr>
        <i/>
        <sz val="11"/>
        <color theme="1"/>
        <rFont val="Calibri"/>
        <family val="2"/>
        <scheme val="minor"/>
      </rPr>
      <t xml:space="preserve"> as appropriate):</t>
    </r>
  </si>
  <si>
    <r>
      <t xml:space="preserve">  &lt;</t>
    </r>
    <r>
      <rPr>
        <b/>
        <sz val="11"/>
        <color rgb="FFFF0000"/>
        <rFont val="Calibri"/>
        <family val="2"/>
        <scheme val="minor"/>
      </rPr>
      <t>===</t>
    </r>
  </si>
  <si>
    <t>selected ultimate claims by AY</t>
  </si>
  <si>
    <t>ult clms</t>
  </si>
  <si>
    <r>
      <t xml:space="preserve">tail = 0.0 if additive </t>
    </r>
    <r>
      <rPr>
        <u/>
        <sz val="11"/>
        <color rgb="FFFF0000"/>
        <rFont val="Calibri"/>
        <family val="2"/>
        <scheme val="minor"/>
      </rPr>
      <t>OR</t>
    </r>
    <r>
      <rPr>
        <sz val="11"/>
        <color rgb="FFFF0000"/>
        <rFont val="Calibri"/>
        <family val="2"/>
        <scheme val="minor"/>
      </rPr>
      <t xml:space="preserve"> 1.0 if multiplicative</t>
    </r>
  </si>
  <si>
    <t>cum</t>
  </si>
  <si>
    <t>Ult Ratio</t>
  </si>
  <si>
    <t xml:space="preserve">  &lt;===</t>
  </si>
  <si>
    <t>given information</t>
  </si>
  <si>
    <t>When selecting development factors, you may select a SIMPLE AVERAGE in this problem.</t>
  </si>
  <si>
    <t>(repeated here for convenience)</t>
  </si>
  <si>
    <t>pd ALAE</t>
  </si>
  <si>
    <t>Step 3:</t>
  </si>
  <si>
    <t xml:space="preserve"> Ultimate ALAE</t>
  </si>
  <si>
    <t>(Ultimate Ratio)</t>
  </si>
  <si>
    <t>(Ultimate Claims)</t>
  </si>
  <si>
    <t xml:space="preserve"> Unpaid ALAE</t>
  </si>
  <si>
    <t>(Ultimate ALAE)</t>
  </si>
  <si>
    <t>(Paid ALAE)</t>
  </si>
  <si>
    <t>Ult ALAE</t>
  </si>
  <si>
    <t>UnPd ALAE</t>
  </si>
  <si>
    <t>Step 4:</t>
  </si>
  <si>
    <t>final answer</t>
  </si>
  <si>
    <t>ULAE</t>
  </si>
  <si>
    <t>occurrence</t>
  </si>
  <si>
    <t>incurred</t>
  </si>
  <si>
    <r>
      <t xml:space="preserve">Sometimes there is a </t>
    </r>
    <r>
      <rPr>
        <sz val="11"/>
        <color rgb="FFFF0000"/>
        <rFont val="Calibri"/>
        <family val="2"/>
        <scheme val="minor"/>
      </rPr>
      <t>trend</t>
    </r>
    <r>
      <rPr>
        <sz val="11"/>
        <color theme="1"/>
        <rFont val="Calibri"/>
        <family val="2"/>
        <scheme val="minor"/>
      </rPr>
      <t xml:space="preserve"> in ULAE ratios.</t>
    </r>
  </si>
  <si>
    <r>
      <t xml:space="preserve">If so, you may need to use </t>
    </r>
    <r>
      <rPr>
        <sz val="11"/>
        <color rgb="FFFF0000"/>
        <rFont val="Calibri"/>
        <family val="2"/>
        <scheme val="minor"/>
      </rPr>
      <t>judgement</t>
    </r>
  </si>
  <si>
    <t>instead of just selecting the average</t>
  </si>
  <si>
    <t xml:space="preserve">  apply formula for unpaid ULAE</t>
  </si>
  <si>
    <t>unpaid ULAE</t>
  </si>
  <si>
    <t>(ULAE ratio)</t>
  </si>
  <si>
    <t>( Case + IBNER )</t>
  </si>
  <si>
    <r>
      <rPr>
        <sz val="11"/>
        <color rgb="FF00B050"/>
        <rFont val="Calibri"/>
        <family val="2"/>
        <scheme val="minor"/>
      </rPr>
      <t>100%</t>
    </r>
    <r>
      <rPr>
        <sz val="11"/>
        <color theme="1"/>
        <rFont val="Calibri"/>
        <family val="2"/>
        <scheme val="minor"/>
      </rPr>
      <t xml:space="preserve">   x </t>
    </r>
  </si>
  <si>
    <t>IBNYR ]</t>
  </si>
  <si>
    <t xml:space="preserve">  % of total IBNR attributed to future case development on known claims</t>
  </si>
  <si>
    <r>
      <t>where</t>
    </r>
    <r>
      <rPr>
        <b/>
        <sz val="11"/>
        <color theme="1"/>
        <rFont val="Calibri"/>
        <family val="2"/>
        <scheme val="minor"/>
      </rPr>
      <t>:</t>
    </r>
  </si>
  <si>
    <t xml:space="preserve">  percent of unallocated work that occurs when a claim is opened</t>
  </si>
  <si>
    <t>IBNER</t>
  </si>
  <si>
    <t>Total IBNR</t>
  </si>
  <si>
    <r>
      <t>&lt;</t>
    </r>
    <r>
      <rPr>
        <b/>
        <sz val="11"/>
        <color rgb="FF0070C0"/>
        <rFont val="Calibri"/>
        <family val="2"/>
        <scheme val="minor"/>
      </rPr>
      <t xml:space="preserve">== </t>
    </r>
    <r>
      <rPr>
        <sz val="11"/>
        <color rgb="FF0070C0"/>
        <rFont val="Calibri"/>
        <family val="2"/>
        <scheme val="minor"/>
      </rPr>
      <t xml:space="preserve">Incurred But Not </t>
    </r>
    <r>
      <rPr>
        <u/>
        <sz val="11"/>
        <color rgb="FF0070C0"/>
        <rFont val="Calibri"/>
        <family val="2"/>
        <scheme val="minor"/>
      </rPr>
      <t>ENOUGH</t>
    </r>
    <r>
      <rPr>
        <sz val="11"/>
        <color rgb="FF0070C0"/>
        <rFont val="Calibri"/>
        <family val="2"/>
        <scheme val="minor"/>
      </rPr>
      <t xml:space="preserve"> Reported</t>
    </r>
  </si>
  <si>
    <t>IBNYR</t>
  </si>
  <si>
    <t>Tot IBNR</t>
  </si>
  <si>
    <r>
      <t>&lt;</t>
    </r>
    <r>
      <rPr>
        <b/>
        <sz val="11"/>
        <color rgb="FF0070C0"/>
        <rFont val="Calibri"/>
        <family val="2"/>
        <scheme val="minor"/>
      </rPr>
      <t xml:space="preserve">== </t>
    </r>
    <r>
      <rPr>
        <sz val="11"/>
        <color rgb="FF0070C0"/>
        <rFont val="Calibri"/>
        <family val="2"/>
        <scheme val="minor"/>
      </rPr>
      <t xml:space="preserve">Incurred But Not </t>
    </r>
    <r>
      <rPr>
        <u/>
        <sz val="11"/>
        <color rgb="FF0070C0"/>
        <rFont val="Calibri"/>
        <family val="2"/>
        <scheme val="minor"/>
      </rPr>
      <t>YET</t>
    </r>
    <r>
      <rPr>
        <sz val="11"/>
        <color rgb="FF0070C0"/>
        <rFont val="Calibri"/>
        <family val="2"/>
        <scheme val="minor"/>
      </rPr>
      <t xml:space="preserve"> Reported</t>
    </r>
  </si>
  <si>
    <r>
      <rPr>
        <b/>
        <u/>
        <sz val="11"/>
        <color theme="1"/>
        <rFont val="Calibri"/>
        <family val="2"/>
        <scheme val="minor"/>
      </rPr>
      <t>therefore</t>
    </r>
    <r>
      <rPr>
        <b/>
        <sz val="11"/>
        <color theme="1"/>
        <rFont val="Calibri"/>
        <family val="2"/>
        <scheme val="minor"/>
      </rPr>
      <t>:</t>
    </r>
  </si>
  <si>
    <t>]</t>
  </si>
  <si>
    <r>
      <t xml:space="preserve">  &lt;</t>
    </r>
    <r>
      <rPr>
        <b/>
        <sz val="11"/>
        <color rgb="FF00B050"/>
        <rFont val="Calibri"/>
        <family val="2"/>
        <scheme val="minor"/>
      </rPr>
      <t>== final answer</t>
    </r>
  </si>
  <si>
    <t>method, particularly in relation to fixed expenses like building rent.</t>
  </si>
  <si>
    <t>The classical formula for estimating unpaid ULAE is potentially inaccurate because it assumes that ULAE</t>
  </si>
  <si>
    <t>payments are directly proportional to the amount of claim payments. This assumption fails to account</t>
  </si>
  <si>
    <t>for fixed ULAE expenses, such as building rent, which do not vary with the size of the claim. As a result,</t>
  </si>
  <si>
    <t>a larger claim does not necessarily incur proportionally higher ULAE. For instance, the ULAE on a $5,000</t>
  </si>
  <si>
    <t>claim is unlikely to be 10 times the ULAE on a $500 claim, demonstrating the limitation of this proportional</t>
  </si>
  <si>
    <t>assumption in the classical formula.</t>
  </si>
  <si>
    <t>Fullly describe why the classical formula for estimating unpaid ULAE may not be an accurate</t>
  </si>
  <si>
    <t>What is the primary reason that ratemaking is considered prospective in property and casualty</t>
  </si>
  <si>
    <t>insurance?</t>
  </si>
  <si>
    <t>What is the main goal in a pricing analysis according to the text?</t>
  </si>
  <si>
    <t>To match losses and premiums as closely as possible.</t>
  </si>
  <si>
    <t>To minimize the cost of collecting data.</t>
  </si>
  <si>
    <t>To aggregate data into accident years.</t>
  </si>
  <si>
    <t>To determine whether current rates are adequate and assess the need for future</t>
  </si>
  <si>
    <t>rate changes.</t>
  </si>
  <si>
    <t>Exam 5 - Practice 02 - Answers</t>
  </si>
  <si>
    <t>What are the two main components usually considered in calculating the total unpaid claim estimate?</t>
  </si>
  <si>
    <t>Case O/S and Provision for Future Development on Known Claims</t>
  </si>
  <si>
    <t>IBNR and Provision for Reopened Claims</t>
  </si>
  <si>
    <t>Case O/S and IBNR</t>
  </si>
  <si>
    <t>Provision for Claims In Transit and Case O/S</t>
  </si>
  <si>
    <t>What is the primary source of data used by large insurers for analysis?</t>
  </si>
  <si>
    <t>Exclusively external/industry data</t>
  </si>
  <si>
    <t>A mix of both internal and external data</t>
  </si>
  <si>
    <t>Primarily their own internal data</t>
  </si>
  <si>
    <t>Data provided by government agencies</t>
  </si>
  <si>
    <t>In the table below, AHY stands for "Accident-Half-Year".</t>
  </si>
  <si>
    <t>2023 AHY-1</t>
  </si>
  <si>
    <t>2023 AHY-2</t>
  </si>
  <si>
    <t>2024 AHY-1</t>
  </si>
  <si>
    <t>2024 AHY-2</t>
  </si>
  <si>
    <t>2025 AHY-1</t>
  </si>
  <si>
    <t>2025 AHY-2</t>
  </si>
  <si>
    <t>Accident</t>
  </si>
  <si>
    <t>Half-Year</t>
  </si>
  <si>
    <t>accident year having a materially different LDF compared to the first</t>
  </si>
  <si>
    <t>half of each accident year</t>
  </si>
  <si>
    <t>s</t>
  </si>
  <si>
    <t>There is clearly seasonality present with the second half of each</t>
  </si>
  <si>
    <t>Also, the first half of each AY has a consistent LDF of 1.0 and the second</t>
  </si>
  <si>
    <t>half of the AY has a consistent LDF of 1.3.</t>
  </si>
  <si>
    <t>Reserving  - Chap 7: The Development Method</t>
  </si>
  <si>
    <t>Loss and LAE ratio</t>
  </si>
  <si>
    <t>Calculate the Loss and LAE ratio.</t>
  </si>
  <si>
    <t>Losses</t>
  </si>
  <si>
    <t>Identify the objectives of data aggregation for ratemaking.</t>
  </si>
  <si>
    <t>Hint:</t>
  </si>
  <si>
    <t>MMR</t>
  </si>
  <si>
    <t>M</t>
  </si>
  <si>
    <t>Match losses and premiums as closely as possible</t>
  </si>
  <si>
    <t>Minimize the cost of collecting the data</t>
  </si>
  <si>
    <t>Recent? (Use the most recent data available)</t>
  </si>
  <si>
    <t>Evaluate accident year data aggregation based on the objectives of data aggregation for ratemaking</t>
  </si>
  <si>
    <t>AY aggregation:</t>
  </si>
  <si>
    <t xml:space="preserve">during the year are compared to premiums earned on policies during that same year (this is sometimes </t>
  </si>
  <si>
    <t>called calendar-accident year)</t>
  </si>
  <si>
    <r>
      <t xml:space="preserve">Losses and premiums are </t>
    </r>
    <r>
      <rPr>
        <u/>
        <sz val="11"/>
        <color theme="1"/>
        <rFont val="Calibri"/>
        <family val="2"/>
        <scheme val="minor"/>
      </rPr>
      <t>better matched than in CY aggregation</t>
    </r>
    <r>
      <rPr>
        <sz val="11"/>
        <color theme="1"/>
        <rFont val="Calibri"/>
        <family val="2"/>
        <scheme val="minor"/>
      </rPr>
      <t xml:space="preserve"> because losses on accidents occurring</t>
    </r>
  </si>
  <si>
    <t>and is specific to insurance</t>
  </si>
  <si>
    <t>from part (a). (Where appropriate, your answer can reference calendar year for comparison.)</t>
  </si>
  <si>
    <r>
      <rPr>
        <u/>
        <sz val="11"/>
        <color theme="1"/>
        <rFont val="Calibri"/>
        <family val="2"/>
        <scheme val="minor"/>
      </rPr>
      <t>Higher cost versus CY data</t>
    </r>
    <r>
      <rPr>
        <sz val="11"/>
        <color theme="1"/>
        <rFont val="Calibri"/>
        <family val="2"/>
        <scheme val="minor"/>
      </rPr>
      <t xml:space="preserve"> since AY data is generally collected only for actuarial purposes</t>
    </r>
  </si>
  <si>
    <t>estimate future development.</t>
  </si>
  <si>
    <r>
      <t xml:space="preserve">Fully developed AY data </t>
    </r>
    <r>
      <rPr>
        <u/>
        <sz val="11"/>
        <color theme="1"/>
        <rFont val="Calibri"/>
        <family val="2"/>
        <scheme val="minor"/>
      </rPr>
      <t>is not recent</t>
    </r>
    <r>
      <rPr>
        <sz val="11"/>
        <color theme="1"/>
        <rFont val="Calibri"/>
        <family val="2"/>
        <scheme val="minor"/>
      </rPr>
      <t xml:space="preserve"> so if you need recent AY data, you may need to</t>
    </r>
  </si>
  <si>
    <t>Calculate the EP @ CRL for CY 2020, 2021, and 202 assuming annual policies and 2 rate changes.</t>
  </si>
  <si>
    <t>EP for CY 2022</t>
  </si>
  <si>
    <t>rate change 1</t>
  </si>
  <si>
    <t>rate change 1 date</t>
  </si>
  <si>
    <t>rate change 2</t>
  </si>
  <si>
    <t>rate change 2 date</t>
  </si>
  <si>
    <t>EP 2022 @ CRL</t>
  </si>
  <si>
    <t>There are 3 rate levels indicated by the labels 1, 2 and 3. They are separated by the red diagonals.</t>
  </si>
  <si>
    <t>A5</t>
  </si>
  <si>
    <t>A6</t>
  </si>
  <si>
    <t>A7</t>
  </si>
  <si>
    <t>A8</t>
  </si>
  <si>
    <t>A9</t>
  </si>
  <si>
    <r>
      <t>ARL</t>
    </r>
    <r>
      <rPr>
        <vertAlign val="subscript"/>
        <sz val="11"/>
        <color theme="1"/>
        <rFont val="Calibri"/>
        <family val="2"/>
        <scheme val="minor"/>
      </rPr>
      <t>22</t>
    </r>
  </si>
  <si>
    <r>
      <t>CRLF</t>
    </r>
    <r>
      <rPr>
        <vertAlign val="subscript"/>
        <sz val="11"/>
        <color theme="1"/>
        <rFont val="Calibri"/>
        <family val="2"/>
        <scheme val="minor"/>
      </rPr>
      <t>22</t>
    </r>
  </si>
  <si>
    <t>Select an LDF given the column of LDFs from an LDF triangle. (Or type "s" if seasonality is evident.)</t>
  </si>
  <si>
    <t xml:space="preserve">selection ==&gt; </t>
  </si>
  <si>
    <t>Fill in the missing values and select a frequency, severity, and pure premium trend.</t>
  </si>
  <si>
    <t>closed</t>
  </si>
  <si>
    <t>annual</t>
  </si>
  <si>
    <t>ending</t>
  </si>
  <si>
    <t>earned</t>
  </si>
  <si>
    <t>claim</t>
  </si>
  <si>
    <t>%</t>
  </si>
  <si>
    <t>quarter</t>
  </si>
  <si>
    <t>freq</t>
  </si>
  <si>
    <t>change</t>
  </si>
  <si>
    <t>Mar 2020</t>
  </si>
  <si>
    <t>Jun 2020</t>
  </si>
  <si>
    <t>Sep 2020</t>
  </si>
  <si>
    <t>Dec 2020</t>
  </si>
  <si>
    <t>Mar 2021</t>
  </si>
  <si>
    <t>Jun 2021</t>
  </si>
  <si>
    <t>Sep 2021</t>
  </si>
  <si>
    <t>Dec 2021</t>
  </si>
  <si>
    <t>Mar 2022</t>
  </si>
  <si>
    <t>Jun 2022</t>
  </si>
  <si>
    <t>Sep 2022</t>
  </si>
  <si>
    <t>Dec 2022</t>
  </si>
  <si>
    <t>Mar 2023</t>
  </si>
  <si>
    <t>Jun 2023</t>
  </si>
  <si>
    <t>Sep 2023</t>
  </si>
  <si>
    <t>Dec 2023</t>
  </si>
  <si>
    <t>frequency:</t>
  </si>
  <si>
    <t>Your selections won't be exactly the same but should be close.</t>
  </si>
  <si>
    <t>severity:</t>
  </si>
  <si>
    <t>pure prem:</t>
  </si>
  <si>
    <t>1.0 pts for filling in all 8 missing entries correctly.</t>
  </si>
  <si>
    <t>Briefly describe the "overlap fallacy" regarding the trending of losses versus the development of losses, and explain why it is a fallacy.</t>
  </si>
  <si>
    <t>The "overlap fallacy" is that trending and development do the same thing so if both are performed then we are "double-counting".</t>
  </si>
  <si>
    <t>This is incorrect because trending and development have different purposes:</t>
  </si>
  <si>
    <t>Trending:</t>
  </si>
  <si>
    <t>trending takes losses at a particular age of development from a historical period cost level to a future period cost level</t>
  </si>
  <si>
    <t>Development:</t>
  </si>
  <si>
    <t>==&gt;</t>
  </si>
  <si>
    <t>development takes losses at a particular cost level from an immature age of development to ultimate</t>
  </si>
  <si>
    <t>Another way of explaining this is as followsL</t>
  </si>
  <si>
    <r>
      <rPr>
        <b/>
        <sz val="11"/>
        <color theme="1"/>
        <rFont val="Calibri"/>
        <family val="2"/>
        <scheme val="minor"/>
      </rPr>
      <t>trending</t>
    </r>
    <r>
      <rPr>
        <sz val="11"/>
        <color theme="1"/>
        <rFont val="Calibri"/>
        <family val="2"/>
        <scheme val="minor"/>
      </rPr>
      <t xml:space="preserve"> takes losses from the historical period to the effective period then </t>
    </r>
    <r>
      <rPr>
        <b/>
        <sz val="11"/>
        <color theme="1"/>
        <rFont val="Calibri"/>
        <family val="2"/>
        <scheme val="minor"/>
      </rPr>
      <t>development</t>
    </r>
    <r>
      <rPr>
        <sz val="11"/>
        <color theme="1"/>
        <rFont val="Calibri"/>
        <family val="2"/>
        <scheme val="minor"/>
      </rPr>
      <t xml:space="preserve"> takes them from the effective period to ultimate</t>
    </r>
  </si>
  <si>
    <t>Disadvantage:</t>
  </si>
  <si>
    <t>easy to apply (don't need to know the breakdown between % fixed versus % variable expenses)</t>
  </si>
  <si>
    <t>underestimates (fixed) expenses for low-dollar risk and overestimates for high-dollar risks</t>
  </si>
  <si>
    <t>Identify 1 advantage and 1 disadvantage of the All Variable Expense Method.</t>
  </si>
  <si>
    <t>Select and justify a total expense ratio assuming all expenses are variable.</t>
  </si>
  <si>
    <t>Expense</t>
  </si>
  <si>
    <t>Ratio</t>
  </si>
  <si>
    <t>($000s)</t>
  </si>
  <si>
    <t>Direct Written Premium</t>
  </si>
  <si>
    <t>Direct Earned Premium</t>
  </si>
  <si>
    <t>Commission &amp; Brokerage Incurred</t>
  </si>
  <si>
    <t>Other Acquisition Expense Incurred</t>
  </si>
  <si>
    <t>General Expenses</t>
  </si>
  <si>
    <t>Taxes, Licenses, &amp; Fees Incurred</t>
  </si>
  <si>
    <t xml:space="preserve"> calculate the U/W expense ratios by category for 2025</t>
  </si>
  <si>
    <t xml:space="preserve"> (use earned premium for general expenses, use written premium for other categories)</t>
  </si>
  <si>
    <t>CY 2025</t>
  </si>
  <si>
    <t>CB</t>
  </si>
  <si>
    <t>DWP</t>
  </si>
  <si>
    <t>OthAcq</t>
  </si>
  <si>
    <t>Gen</t>
  </si>
  <si>
    <t>DEP</t>
  </si>
  <si>
    <t>TLF</t>
  </si>
  <si>
    <t xml:space="preserve"> review expense ratio for all years and make a reasonable selection</t>
  </si>
  <si>
    <t>selection</t>
  </si>
  <si>
    <t xml:space="preserve"> &lt;====</t>
  </si>
  <si>
    <t>trending, select 2025</t>
  </si>
  <si>
    <t>stable, select average</t>
  </si>
  <si>
    <t>Variable Expenses 1</t>
  </si>
  <si>
    <t>1 Refers to variable portion of general</t>
  </si>
  <si>
    <t xml:space="preserve"> (year, month, day)</t>
  </si>
  <si>
    <t>rates in effect for:</t>
  </si>
  <si>
    <t>What is the role of the Variable Expense Provision (V) in the Fundamental Insurance Equation?</t>
  </si>
  <si>
    <t>It accounts for expenses that vary with the premium volume, including premium taxes, commissions, and other</t>
  </si>
  <si>
    <t>costs directly related to the acquisition and servicing of policies.</t>
  </si>
  <si>
    <t>It reflects the portion of premiums allocated to cover variable costs associated with policy issuance and</t>
  </si>
  <si>
    <t>maintenance, such as commissions, premium taxes, and variable administrative expenses, which fluctuate in</t>
  </si>
  <si>
    <t>relation to the total premium collected.</t>
  </si>
  <si>
    <t>Sample 1:</t>
  </si>
  <si>
    <t>Sample 2:</t>
  </si>
  <si>
    <t>Imagine you are managing an insurance company that offers car insurance policies. Your company has traditionally used a simple rate-making system that does not account for the specific risk characteristics of individual drivers, instead charging a flat average rate to all. However, you've recently learned about the concept of equitable rates, where premiums are adjusted based on individual risk factors such as driving history, car type, and geographical location.</t>
  </si>
  <si>
    <t>Imagine you are managing an insurance company that offers car insurance policies. Your company has</t>
  </si>
  <si>
    <t>traditionally used a simple rate-making system that does not account for the specific risk characteristics</t>
  </si>
  <si>
    <t>of individual drivers, instead charging a flat average rate to all. However, you've recently learned about</t>
  </si>
  <si>
    <t>the concept of equitable rates, where premiums are adjusted based on individual risk factors such as</t>
  </si>
  <si>
    <t>driving history, car type, and geographical location.</t>
  </si>
  <si>
    <t>Given this new understanding, explain why it would be beneficial for your insurance company to adopt</t>
  </si>
  <si>
    <t>a more nuanced approach to rate-making that considers these individual risk factors. Discuss the</t>
  </si>
  <si>
    <t>potential consequences of continuing to charge a flat average rate to all customers, considering the</t>
  </si>
  <si>
    <t>concepts of adverse selection and the fairness of premium rates.</t>
  </si>
  <si>
    <t>The implementation of a nuanced rate-making strategy, taking into account specific risk factors of individual</t>
  </si>
  <si>
    <t>drivers, is essential for maintaining a competitive edge in the insurance market. By adjusting premiums based on</t>
  </si>
  <si>
    <t>factors like geographical location, driving history, and the type of car insured, an insurance company can more</t>
  </si>
  <si>
    <t>pool, reflecting their greater potential to incur claims, while rewarding low-risk drivers with lower premiums,</t>
  </si>
  <si>
    <t>thereby recognizing and incentivizing responsible driving behavior.</t>
  </si>
  <si>
    <t>Fully discuss 2 distinct reasons.</t>
  </si>
  <si>
    <t>Reason 1:</t>
  </si>
  <si>
    <t>Reason 2:</t>
  </si>
  <si>
    <t>higher-risk demographic that is more likely to file claims, thereby straining the company's financial resources. In</t>
  </si>
  <si>
    <t>diminish its market presence.</t>
  </si>
  <si>
    <t>the long run, failing to address the fairness and accuracy of premium rates could erode trust in the brand and</t>
  </si>
  <si>
    <t>reflecting their lower risk profile. This scenario can erode the insurer's customer base, skewing it towards a</t>
  </si>
  <si>
    <t>Meanwhile, low-risk drivers, feeling penalized despite posing less risk, might opt for insurers that offer rates</t>
  </si>
  <si>
    <t>insurer becoming the de facto choice for high-risk drivers attracted by the lower-than-appropriate rates.</t>
  </si>
  <si>
    <t>If an insurance company persists in applying a flat average rate for all customers, it risks engaging in a practice</t>
  </si>
  <si>
    <r>
      <t xml:space="preserve">that is not only unfair but also financially unsustainable. Such a practice can lead to </t>
    </r>
    <r>
      <rPr>
        <b/>
        <sz val="11"/>
        <color rgb="FFFF0000"/>
        <rFont val="Calibri"/>
        <family val="2"/>
        <scheme val="minor"/>
      </rPr>
      <t>adverse selection</t>
    </r>
    <r>
      <rPr>
        <sz val="11"/>
        <color theme="1"/>
        <rFont val="Calibri"/>
        <family val="2"/>
        <scheme val="minor"/>
      </rPr>
      <t>, with the</t>
    </r>
  </si>
  <si>
    <r>
      <t xml:space="preserve">accurately price the risk it assumes. This accuracy ensures that high-risk drivers contribute a </t>
    </r>
    <r>
      <rPr>
        <b/>
        <sz val="11"/>
        <color rgb="FFFF0000"/>
        <rFont val="Calibri"/>
        <family val="2"/>
        <scheme val="minor"/>
      </rPr>
      <t>fair share</t>
    </r>
    <r>
      <rPr>
        <sz val="11"/>
        <color theme="1"/>
        <rFont val="Calibri"/>
        <family val="2"/>
        <scheme val="minor"/>
      </rPr>
      <t xml:space="preserve"> to the risk</t>
    </r>
  </si>
  <si>
    <t>FAIRNESS</t>
  </si>
  <si>
    <t>ADVERSE SELECTION</t>
  </si>
  <si>
    <t xml:space="preserve">Calculate the increased limits factors for </t>
  </si>
  <si>
    <t>You don't need the value of the home to calculate the rate per $1,000 of coverage:</t>
  </si>
  <si>
    <t>If a home is insured to full value and the frequency of loss is</t>
  </si>
  <si>
    <t>rate per $1,000 of coverage.</t>
  </si>
  <si>
    <t xml:space="preserve">   then calculate the</t>
  </si>
  <si>
    <t>rate per $1,000 of coverage of</t>
  </si>
  <si>
    <t>Just rearrange the above formula to solve for the frequency.</t>
  </si>
  <si>
    <t xml:space="preserve">frequency of loss </t>
  </si>
  <si>
    <t xml:space="preserve">rate per $1,000 of coverage </t>
  </si>
  <si>
    <t>For a home insured to full value, calculate the frequency of loss that generates a</t>
  </si>
  <si>
    <t>Given the following information, calculate the underwriting profit.</t>
  </si>
  <si>
    <t>Premium</t>
  </si>
  <si>
    <t>U/W Expenses</t>
  </si>
  <si>
    <t>This is a straightforward application of the Fundamental Insurance Equation:</t>
  </si>
  <si>
    <t>U/W Exp.</t>
  </si>
  <si>
    <t>U/W/ Profit</t>
  </si>
  <si>
    <r>
      <rPr>
        <b/>
        <sz val="11"/>
        <rFont val="Calibri"/>
        <family val="2"/>
        <scheme val="minor"/>
      </rPr>
      <t>==&gt;</t>
    </r>
    <r>
      <rPr>
        <b/>
        <sz val="11"/>
        <color rgb="FF00B050"/>
        <rFont val="Calibri"/>
        <family val="2"/>
        <scheme val="minor"/>
      </rPr>
      <t xml:space="preserve">  U/W/ Profit </t>
    </r>
  </si>
  <si>
    <t>Non-pricing solutions for rebalancing the Fundamental Insurance Equation include reducing losses.</t>
  </si>
  <si>
    <t>Identify 2 specific ways of reducing losses to rebalance the FIE.</t>
  </si>
  <si>
    <t>To reduce losses:</t>
  </si>
  <si>
    <t>(need 2 of these for full credit)</t>
  </si>
  <si>
    <t>Which expense categories from part (c) would be a lower percentage of the policyholder premium</t>
  </si>
  <si>
    <t>if the policyholder premium were to increase.</t>
  </si>
  <si>
    <t>Expenses categories that have a fixed component would be a lower percentage of policyholder</t>
  </si>
  <si>
    <t>premium if policyholder premium were to increase. These categories woud be:</t>
  </si>
  <si>
    <t>other acquisition expenses</t>
  </si>
  <si>
    <t>Pricing - Chap 16: Claims-Made Policies</t>
  </si>
  <si>
    <t xml:space="preserve">Calculate the reported losses for the </t>
  </si>
  <si>
    <t xml:space="preserve"> occurrence policy as of Dec 31</t>
  </si>
  <si>
    <t xml:space="preserve"> clms-made policy as of Dec 31</t>
  </si>
  <si>
    <t>Report</t>
  </si>
  <si>
    <t>Report Loss Dollars by Report Year Lag</t>
  </si>
  <si>
    <t>Year</t>
  </si>
  <si>
    <t>Policies run from January 1 to December 31.</t>
  </si>
  <si>
    <t>The insured's coverage changed from occurrence to claims-made on:</t>
  </si>
  <si>
    <t>Jan 1</t>
  </si>
  <si>
    <t>Reported loss for a</t>
  </si>
  <si>
    <t xml:space="preserve"> we SUM these values from a DIAGONAL.</t>
  </si>
  <si>
    <t>Loss</t>
  </si>
  <si>
    <t>Lag</t>
  </si>
  <si>
    <t>Dollars</t>
  </si>
  <si>
    <t>&lt;==</t>
  </si>
  <si>
    <t>diagonal value:</t>
  </si>
  <si>
    <t xml:space="preserve">SUM ==&gt; </t>
  </si>
  <si>
    <t xml:space="preserve"> final answer for part (a)</t>
  </si>
  <si>
    <t xml:space="preserve"> clms-made  policy as of Dec 31</t>
  </si>
  <si>
    <t xml:space="preserve"> we SUM these values from a ROW.</t>
  </si>
  <si>
    <t>Occurrence to Clms-Made:</t>
  </si>
  <si>
    <t>This is when the policyholder switched.</t>
  </si>
  <si>
    <t>with a retroactive date of:</t>
  </si>
  <si>
    <t>Claims before this date are NOT covered by the</t>
  </si>
  <si>
    <t>claims-made policy.</t>
  </si>
  <si>
    <t>So when calculating reported losses for a claims-made policy for</t>
  </si>
  <si>
    <t>row entry:</t>
  </si>
  <si>
    <t xml:space="preserve"> final answer for part (b)</t>
  </si>
  <si>
    <t>Side Note</t>
  </si>
  <si>
    <t>Date of Swich from Occurrence to Claims-Made Coverage:</t>
  </si>
  <si>
    <t>The data on which the insured's coverage changed from occurrence to claims-made is not relevant AS LONG AS the</t>
  </si>
  <si>
    <t>reported loss year in part (b) is on or after the date of the switch. This problem was constructed so that's always the case.</t>
  </si>
  <si>
    <t>Retroactive Date for Claims-Made Coverage:</t>
  </si>
  <si>
    <t>The retroactive data, however, is important. For part (b), you cannot simply sum all entries in the row. You have to</t>
  </si>
  <si>
    <t>know which entries to exclude by taking into account the retroactive data of the claims-made policies.</t>
  </si>
  <si>
    <t>Use this information for parts (a) and (b)</t>
  </si>
  <si>
    <t xml:space="preserve">with a retroactive date of:        </t>
  </si>
  <si>
    <t>multiplicative</t>
  </si>
  <si>
    <t>Kittel</t>
  </si>
  <si>
    <t xml:space="preserve">  &lt;==  policy type</t>
  </si>
  <si>
    <t xml:space="preserve">  &lt;== incurred includes reported &amp; IBNR</t>
  </si>
  <si>
    <t xml:space="preserve">  case outstanding    (latest AY)</t>
  </si>
  <si>
    <t xml:space="preserve">  total IBNR    (latest AY)</t>
  </si>
  <si>
    <t xml:space="preserve">  percent of unallocated work that occurs when a claim is closed</t>
  </si>
  <si>
    <r>
      <t xml:space="preserve">A deficient claim estimate makes the business look </t>
    </r>
    <r>
      <rPr>
        <u/>
        <sz val="11"/>
        <color theme="1"/>
        <rFont val="Calibri"/>
        <family val="2"/>
        <scheme val="minor"/>
      </rPr>
      <t>MORE profitable</t>
    </r>
    <r>
      <rPr>
        <sz val="11"/>
        <color theme="1"/>
        <rFont val="Calibri"/>
        <family val="2"/>
        <scheme val="minor"/>
      </rPr>
      <t xml:space="preserve"> than it really is.</t>
    </r>
  </si>
  <si>
    <t>How can a deficient unpaid claims estimate impact:</t>
  </si>
  <si>
    <t>investors may buy shares at too HIGH a price</t>
  </si>
  <si>
    <t>regulators may DELAY necessary interventions</t>
  </si>
  <si>
    <t>internal management may take unnecessary RATE DECREASES</t>
  </si>
  <si>
    <t>* Assume no development past 48 months. In other words, the triangle is fully dveloped by 48 months.</t>
  </si>
  <si>
    <r>
      <t xml:space="preserve">* The paid claims on the latest diagonal are in </t>
    </r>
    <r>
      <rPr>
        <i/>
        <sz val="11"/>
        <color theme="5" tint="-0.249977111117893"/>
        <rFont val="Calibri"/>
        <family val="2"/>
        <scheme val="minor"/>
      </rPr>
      <t>brown font</t>
    </r>
    <r>
      <rPr>
        <i/>
        <sz val="11"/>
        <color theme="1"/>
        <rFont val="Calibri"/>
        <family val="2"/>
        <scheme val="minor"/>
      </rPr>
      <t xml:space="preserve"> for instructional purposes within the solution.</t>
    </r>
  </si>
  <si>
    <t>The 12-24 LDF for AY 2020 appears to be an outlier</t>
  </si>
  <si>
    <t>(Should be excluded otherwise AY 2023 may be overstated)</t>
  </si>
  <si>
    <t>* Trends or outliers in the LDF triangle should be considered and appropriate action should be taken.</t>
  </si>
  <si>
    <r>
      <t>Triangle 1</t>
    </r>
    <r>
      <rPr>
        <sz val="11"/>
        <color rgb="FF222222"/>
        <rFont val="Calibri"/>
        <family val="2"/>
        <scheme val="minor"/>
      </rPr>
      <t>: </t>
    </r>
    <r>
      <rPr>
        <b/>
        <sz val="11"/>
        <color rgb="FF008000"/>
        <rFont val="Calibri"/>
        <family val="2"/>
        <scheme val="minor"/>
      </rPr>
      <t>satisfies</t>
    </r>
    <r>
      <rPr>
        <sz val="11"/>
        <color rgb="FF222222"/>
        <rFont val="Calibri"/>
        <family val="2"/>
        <scheme val="minor"/>
      </rPr>
      <t> stability/consistency assumption for loss development to work reasonably well. (Losses increased year-over-year but the development pattern didn't change.</t>
    </r>
  </si>
  <si>
    <r>
      <t>Triangle 3</t>
    </r>
    <r>
      <rPr>
        <sz val="11"/>
        <color rgb="FF222222"/>
        <rFont val="Calibri"/>
        <family val="2"/>
        <scheme val="minor"/>
      </rPr>
      <t>: </t>
    </r>
    <r>
      <rPr>
        <b/>
        <sz val="11"/>
        <color rgb="FF008000"/>
        <rFont val="Calibri"/>
        <family val="2"/>
        <scheme val="minor"/>
      </rPr>
      <t>satisfies</t>
    </r>
    <r>
      <rPr>
        <sz val="11"/>
        <color rgb="FF222222"/>
        <rFont val="Calibri"/>
        <family val="2"/>
        <scheme val="minor"/>
      </rPr>
      <t> stability/consistency assumption for loss development to work reasonably well</t>
    </r>
  </si>
  <si>
    <r>
      <t>Triangle 4</t>
    </r>
    <r>
      <rPr>
        <sz val="11"/>
        <color rgb="FF222222"/>
        <rFont val="Calibri"/>
        <family val="2"/>
        <scheme val="minor"/>
      </rPr>
      <t>: </t>
    </r>
    <r>
      <rPr>
        <b/>
        <sz val="11"/>
        <color rgb="FFFF0000"/>
        <rFont val="Calibri"/>
        <family val="2"/>
        <scheme val="minor"/>
      </rPr>
      <t>doesn't satisfy</t>
    </r>
    <r>
      <rPr>
        <sz val="11"/>
        <color rgb="FF222222"/>
        <rFont val="Calibri"/>
        <family val="2"/>
        <scheme val="minor"/>
      </rPr>
      <t> stability/consistency assumption </t>
    </r>
    <r>
      <rPr>
        <i/>
        <sz val="11"/>
        <color rgb="FF222222"/>
        <rFont val="Calibri"/>
        <family val="2"/>
        <scheme val="minor"/>
      </rPr>
      <t>(LDFs are decreasing in the 12-24 column)</t>
    </r>
  </si>
  <si>
    <t>Why might the Reported Development and Berquist-Sherman methods show consistent estimates across all Accident Years (AYs),</t>
  </si>
  <si>
    <t>while the Paid Development method shows an increase starting from AY 2022?</t>
  </si>
  <si>
    <t>The Reported Development and Berquist-Sherman methods show</t>
  </si>
  <si>
    <t>are likely not sensitive to changes in settlement rates or</t>
  </si>
  <si>
    <t>payment patterns. In contrast, the Paid Development method</t>
  </si>
  <si>
    <t>shows an increase from AY 2022, suggesting it is sensitive to these</t>
  </si>
  <si>
    <t>changes. This could be due to a change in claims settlement,</t>
  </si>
  <si>
    <t>affecting paid but not reported losses. The Paid Berquist-Sherman</t>
  </si>
  <si>
    <t>method adjusts for changes in settlement rates, which is why its</t>
  </si>
  <si>
    <t>Referring to part (a), what are the implications to a reserve analyst regarding the accuracy of the LDFs in the paid development method.</t>
  </si>
  <si>
    <t>If there has been claim settlement slow-up and selected LDFs are simply</t>
  </si>
  <si>
    <t>a weighted average, then these LDFs are likely too low, especially for</t>
  </si>
  <si>
    <t>more recent accident years. If settlement rate slow-down is suspected (possibly</t>
  </si>
  <si>
    <t>should be adusted upward to compensate. It is, however, difficult to assess</t>
  </si>
  <si>
    <t>the magnitude of the upward adjustment unless more specific</t>
  </si>
  <si>
    <t>information is available on the degree of slow-down.</t>
  </si>
  <si>
    <t>Appropriate for AY 2020 because reported development is not affected</t>
  </si>
  <si>
    <t>Six unusually large claims that occurred in 2021 have been and closed, and there are no other large losses in the insurer's</t>
  </si>
  <si>
    <t>by changes in settlement rate, and the large claims in 2021 would</t>
  </si>
  <si>
    <t>The paid development method may understate the ultimate</t>
  </si>
  <si>
    <t>loss due to a slow-down in claims settlement from understaffing, but</t>
  </si>
  <si>
    <t>AY 2020 would be less affected than later accident years because AY 2020</t>
  </si>
  <si>
    <t>closer to 1.000 anyway so any effects from the settlement rate</t>
  </si>
  <si>
    <t>changes would have less impact.)</t>
  </si>
  <si>
    <t>Company management laid off 25% of its claims staff due to budgetary issues during 2016 even though claim counts are up.</t>
  </si>
  <si>
    <t>If an insurer has a gross loss of $400,000 but also has a reinsurance treaty with a quota-share</t>
  </si>
  <si>
    <t>percentage of 30% then what is the primary insurer's net loss, according to the Friedland text?</t>
  </si>
  <si>
    <t>An insurer has 3 losses as shown below:</t>
  </si>
  <si>
    <r>
      <t xml:space="preserve">If the insurer has an excess-of-loss reinsurance treaty with an attachment point of 2,000 for </t>
    </r>
    <r>
      <rPr>
        <u/>
        <sz val="11"/>
        <rFont val="Calibri"/>
        <family val="2"/>
        <scheme val="minor"/>
      </rPr>
      <t>individual</t>
    </r>
  </si>
  <si>
    <t>loss 3 reimbursement</t>
  </si>
  <si>
    <t>loss 3</t>
  </si>
  <si>
    <t>Define the term 'subrogation' in the context of insurance claims.</t>
  </si>
  <si>
    <r>
      <t xml:space="preserve">an insurer's </t>
    </r>
    <r>
      <rPr>
        <u/>
        <sz val="11"/>
        <color theme="1"/>
        <rFont val="Calibri"/>
        <family val="2"/>
        <scheme val="minor"/>
      </rPr>
      <t>right to recover</t>
    </r>
    <r>
      <rPr>
        <sz val="11"/>
        <color theme="1"/>
        <rFont val="Calibri"/>
        <family val="2"/>
        <scheme val="minor"/>
      </rPr>
      <t xml:space="preserve"> claim payments to an insured </t>
    </r>
    <r>
      <rPr>
        <u/>
        <sz val="11"/>
        <color theme="1"/>
        <rFont val="Calibri"/>
        <family val="2"/>
        <scheme val="minor"/>
      </rPr>
      <t>from</t>
    </r>
    <r>
      <rPr>
        <sz val="11"/>
        <color theme="1"/>
        <rFont val="Calibri"/>
        <family val="2"/>
        <scheme val="minor"/>
      </rPr>
      <t xml:space="preserve"> a 3rd party responsible for the damage</t>
    </r>
  </si>
  <si>
    <t xml:space="preserve">(i)  </t>
  </si>
  <si>
    <t xml:space="preserve">(ii)  </t>
  </si>
  <si>
    <r>
      <t xml:space="preserve">responsiveness </t>
    </r>
    <r>
      <rPr>
        <i/>
        <sz val="11"/>
        <rFont val="Calibri"/>
        <family val="2"/>
        <scheme val="minor"/>
      </rPr>
      <t>(to claims data where development patterns are changing)</t>
    </r>
  </si>
  <si>
    <t>How do unpaid claims estimates from the BF method compare to the development &amp; ECR methods regarding:</t>
  </si>
  <si>
    <r>
      <t xml:space="preserve">stability </t>
    </r>
    <r>
      <rPr>
        <i/>
        <sz val="11"/>
        <rFont val="Calibri"/>
        <family val="2"/>
        <scheme val="minor"/>
      </rPr>
      <t>(when there is noise but no material change to development patterns)</t>
    </r>
  </si>
  <si>
    <r>
      <t xml:space="preserve">BF is </t>
    </r>
    <r>
      <rPr>
        <u/>
        <sz val="11"/>
        <color theme="1"/>
        <rFont val="Calibri"/>
        <family val="2"/>
        <scheme val="minor"/>
      </rPr>
      <t>more responsive</t>
    </r>
    <r>
      <rPr>
        <sz val="11"/>
        <color theme="1"/>
        <rFont val="Calibri"/>
        <family val="2"/>
        <scheme val="minor"/>
      </rPr>
      <t xml:space="preserve"> than the ECR method but </t>
    </r>
    <r>
      <rPr>
        <u/>
        <sz val="11"/>
        <color theme="1"/>
        <rFont val="Calibri"/>
        <family val="2"/>
        <scheme val="minor"/>
      </rPr>
      <t>less responsive</t>
    </r>
    <r>
      <rPr>
        <sz val="11"/>
        <color theme="1"/>
        <rFont val="Calibri"/>
        <family val="2"/>
        <scheme val="minor"/>
      </rPr>
      <t xml:space="preserve"> than the development method</t>
    </r>
  </si>
  <si>
    <r>
      <t xml:space="preserve">BF is </t>
    </r>
    <r>
      <rPr>
        <u/>
        <sz val="11"/>
        <color theme="1"/>
        <rFont val="Calibri"/>
        <family val="2"/>
        <scheme val="minor"/>
      </rPr>
      <t>more stable</t>
    </r>
    <r>
      <rPr>
        <sz val="11"/>
        <color theme="1"/>
        <rFont val="Calibri"/>
        <family val="2"/>
        <scheme val="minor"/>
      </rPr>
      <t xml:space="preserve"> than the development method but </t>
    </r>
    <r>
      <rPr>
        <u/>
        <sz val="11"/>
        <color theme="1"/>
        <rFont val="Calibri"/>
        <family val="2"/>
        <scheme val="minor"/>
      </rPr>
      <t>less stable</t>
    </r>
    <r>
      <rPr>
        <sz val="11"/>
        <color theme="1"/>
        <rFont val="Calibri"/>
        <family val="2"/>
        <scheme val="minor"/>
      </rPr>
      <t xml:space="preserve"> than the ECR method</t>
    </r>
  </si>
  <si>
    <t>If the accident year loss ratios are trending upward, comment on the likely accuracy of the paid development</t>
  </si>
  <si>
    <t>method versus the paid Cape Cod method. Assume that development patterns don't change.</t>
  </si>
  <si>
    <t>(The accuracy of the paid development method is unaffected by changes in AY Loss Ratios)</t>
  </si>
  <si>
    <t>The Cape Cod method will likely produce estimates of ultimate claims that are too low since the</t>
  </si>
  <si>
    <t>The paid development method will be accurate because development patterns didn't change.</t>
  </si>
  <si>
    <t>ECR (Expected Claims Ratio) is based on prior AYs which are now too low compared to current.</t>
  </si>
  <si>
    <r>
      <t xml:space="preserve">    AY 2025 ultimate trended </t>
    </r>
    <r>
      <rPr>
        <b/>
        <sz val="11"/>
        <color rgb="FF7030A0"/>
        <rFont val="Calibri"/>
        <family val="2"/>
        <scheme val="minor"/>
      </rPr>
      <t>frequency</t>
    </r>
    <r>
      <rPr>
        <b/>
        <sz val="11"/>
        <color rgb="FFA52A2A"/>
        <rFont val="Calibri"/>
        <family val="2"/>
        <scheme val="minor"/>
      </rPr>
      <t xml:space="preserve"> </t>
    </r>
    <r>
      <rPr>
        <b/>
        <sz val="11"/>
        <rFont val="Calibri"/>
        <family val="2"/>
        <scheme val="minor"/>
      </rPr>
      <t>==&gt;</t>
    </r>
  </si>
  <si>
    <r>
      <t>1.06</t>
    </r>
    <r>
      <rPr>
        <vertAlign val="superscript"/>
        <sz val="11"/>
        <color theme="1"/>
        <rFont val="Calibri"/>
        <family val="2"/>
        <scheme val="minor"/>
      </rPr>
      <t>3</t>
    </r>
  </si>
  <si>
    <r>
      <t>1.06</t>
    </r>
    <r>
      <rPr>
        <vertAlign val="superscript"/>
        <sz val="11"/>
        <color theme="1"/>
        <rFont val="Calibri"/>
        <family val="2"/>
        <scheme val="minor"/>
      </rPr>
      <t>2</t>
    </r>
  </si>
  <si>
    <t>Identify a disadvantage of this "other" case outstanding method.</t>
  </si>
  <si>
    <t>Either of:</t>
  </si>
  <si>
    <t xml:space="preserve">  - industry CDFs may not be appropriate (especially for a self-insurer that may operate a unique line of business)</t>
  </si>
  <si>
    <t xml:space="preserve">  - industry CDFs for early maturities may be highly leveraged which may cause volatile projections of unpaid amounts</t>
  </si>
  <si>
    <t>Match each situation below with the appropriate data selection strategy to minimize distortions in accuracy when applying various</t>
  </si>
  <si>
    <t>methods to calculate unpaid claims.</t>
  </si>
  <si>
    <t>change in definition of counts (claim versus claimant)</t>
  </si>
  <si>
    <t>D</t>
  </si>
  <si>
    <t>E</t>
  </si>
  <si>
    <t>change in policy limits between policy years</t>
  </si>
  <si>
    <t>court decisions that correlate with report date</t>
  </si>
  <si>
    <t>significant growth or shrinkage causing a shift in average accident date</t>
  </si>
  <si>
    <t>change in mix of business</t>
  </si>
  <si>
    <t>subdivide data into more homogeneous groups</t>
  </si>
  <si>
    <t>use accident quarters in place of accident years</t>
  </si>
  <si>
    <t>use report year data in place of accident year data</t>
  </si>
  <si>
    <t>use policy year data in place of accident year data</t>
  </si>
  <si>
    <t>use exposures in place of claim counts</t>
  </si>
  <si>
    <t>Situation</t>
  </si>
  <si>
    <t>A-5</t>
  </si>
  <si>
    <t>B-4</t>
  </si>
  <si>
    <t>C-3</t>
  </si>
  <si>
    <t>D-2</t>
  </si>
  <si>
    <t>E-1</t>
  </si>
  <si>
    <t>Identify 2 benefits of multivariate methods over univariate methods for calculating relativites in a ratemaking analysis.</t>
  </si>
  <si>
    <r>
      <t xml:space="preserve">[Hint: </t>
    </r>
    <r>
      <rPr>
        <b/>
        <sz val="11"/>
        <color rgb="FFFF0000"/>
        <rFont val="Calibri"/>
        <family val="2"/>
        <scheme val="minor"/>
      </rPr>
      <t>RIDS</t>
    </r>
    <r>
      <rPr>
        <sz val="11"/>
        <color theme="1"/>
        <rFont val="Calibri"/>
        <family val="2"/>
        <scheme val="minor"/>
      </rPr>
      <t>]</t>
    </r>
  </si>
  <si>
    <t xml:space="preserve">    (and automatically adjust for exposure correlations between rating variables)</t>
  </si>
  <si>
    <r>
      <t xml:space="preserve">Multivariate methods </t>
    </r>
    <r>
      <rPr>
        <i/>
        <u/>
        <sz val="11"/>
        <color theme="1"/>
        <rFont val="Calibri"/>
        <family val="2"/>
        <scheme val="minor"/>
      </rPr>
      <t>rid</t>
    </r>
    <r>
      <rPr>
        <i/>
        <sz val="11"/>
        <color theme="1"/>
        <rFont val="Calibri"/>
        <family val="2"/>
        <scheme val="minor"/>
      </rPr>
      <t xml:space="preserve"> univariate methods of their shortcomings!</t>
    </r>
  </si>
  <si>
    <r>
      <t xml:space="preserve">Here's the reason I like the the memory hint </t>
    </r>
    <r>
      <rPr>
        <b/>
        <sz val="11"/>
        <color rgb="FFFF0000"/>
        <rFont val="Calibri"/>
        <family val="2"/>
        <scheme val="minor"/>
      </rPr>
      <t>RIDS</t>
    </r>
    <r>
      <rPr>
        <sz val="11"/>
        <color theme="1"/>
        <rFont val="Calibri"/>
        <family val="2"/>
        <scheme val="minor"/>
      </rPr>
      <t>:</t>
    </r>
  </si>
  <si>
    <t>Or make up your own "story".</t>
  </si>
  <si>
    <r>
      <t xml:space="preserve">  - they </t>
    </r>
    <r>
      <rPr>
        <b/>
        <sz val="11"/>
        <color rgb="FFFF0000"/>
        <rFont val="Calibri"/>
        <family val="2"/>
        <scheme val="minor"/>
      </rPr>
      <t>R</t>
    </r>
    <r>
      <rPr>
        <sz val="11"/>
        <color theme="1"/>
        <rFont val="Calibri"/>
        <family val="2"/>
        <scheme val="minor"/>
      </rPr>
      <t>emove noise and capture signal</t>
    </r>
  </si>
  <si>
    <r>
      <t xml:space="preserve">  - they allow consideration of </t>
    </r>
    <r>
      <rPr>
        <b/>
        <sz val="11"/>
        <color rgb="FFFF0000"/>
        <rFont val="Calibri"/>
        <family val="2"/>
        <scheme val="minor"/>
      </rPr>
      <t>I</t>
    </r>
    <r>
      <rPr>
        <sz val="11"/>
        <color theme="1"/>
        <rFont val="Calibri"/>
        <family val="2"/>
        <scheme val="minor"/>
      </rPr>
      <t>nteractions between rating variables</t>
    </r>
  </si>
  <si>
    <r>
      <t xml:space="preserve">  - they produce </t>
    </r>
    <r>
      <rPr>
        <b/>
        <sz val="11"/>
        <color rgb="FFFF0000"/>
        <rFont val="Calibri"/>
        <family val="2"/>
        <scheme val="minor"/>
      </rPr>
      <t>D</t>
    </r>
    <r>
      <rPr>
        <sz val="11"/>
        <color theme="1"/>
        <rFont val="Calibri"/>
        <family val="2"/>
        <scheme val="minor"/>
      </rPr>
      <t>iagnostics</t>
    </r>
  </si>
  <si>
    <r>
      <t xml:space="preserve">  - they consider all rating variables </t>
    </r>
    <r>
      <rPr>
        <b/>
        <sz val="11"/>
        <color rgb="FFFF0000"/>
        <rFont val="Calibri"/>
        <family val="2"/>
        <scheme val="minor"/>
      </rPr>
      <t>S</t>
    </r>
    <r>
      <rPr>
        <sz val="11"/>
        <color theme="1"/>
        <rFont val="Calibri"/>
        <family val="2"/>
        <scheme val="minor"/>
      </rPr>
      <t>imultaneously</t>
    </r>
  </si>
  <si>
    <r>
      <t xml:space="preserve">  &lt;</t>
    </r>
    <r>
      <rPr>
        <b/>
        <sz val="11"/>
        <color theme="1"/>
        <rFont val="Calibri"/>
        <family val="2"/>
        <scheme val="minor"/>
      </rPr>
      <t xml:space="preserve">== </t>
    </r>
    <r>
      <rPr>
        <sz val="11"/>
        <color theme="1"/>
        <rFont val="Calibri"/>
        <family val="2"/>
        <scheme val="minor"/>
      </rPr>
      <t>selected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</si>
</sst>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quot;#,##0.00;[Red]\-&quot;$&quot;#,##0.00"/>
    <numFmt numFmtId="44" formatCode="_-&quot;$&quot;* #,##0.00_-;\-&quot;$&quot;* #,##0.00_-;_-&quot;$&quot;* &quot;-&quot;??_-;_-@_-"/>
    <numFmt numFmtId="43" formatCode="_-* #,##0.00_-;\-* #,##0.00_-;_-* &quot;-&quot;??_-;_-@_-"/>
    <numFmt numFmtId="164" formatCode="0.0%"/>
    <numFmt numFmtId="165" formatCode="[$-F800]dddd\,\ mmmm\ dd\,\ yyyy"/>
    <numFmt numFmtId="166" formatCode="0.0"/>
    <numFmt numFmtId="167" formatCode="0.000"/>
    <numFmt numFmtId="168" formatCode="0.0000"/>
    <numFmt numFmtId="169" formatCode="0.000%"/>
    <numFmt numFmtId="170" formatCode="#,##0.0"/>
    <numFmt numFmtId="171" formatCode="_-&quot;$&quot;* #,##0_-;\-&quot;$&quot;* #,##0_-;_-&quot;$&quot;* &quot;-&quot;??_-;_-@_-"/>
    <numFmt numFmtId="172" formatCode="#,##0.000"/>
    <numFmt numFmtId="173" formatCode="#,##0.0000"/>
    <numFmt numFmtId="174" formatCode="0.0000000"/>
    <numFmt numFmtId="175" formatCode="#,##0_ ;\-#,##0\ "/>
    <numFmt numFmtId="176" formatCode="_(* #,##0.0_);_(* \(#,##0.0\);_(* &quot;-&quot;??_);_(@_)"/>
    <numFmt numFmtId="177" formatCode="yyyy/mm/dd;@"/>
  </numFmts>
  <fonts count="65">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b/>
      <sz val="11"/>
      <name val="Calibri"/>
      <family val="2"/>
      <scheme val="minor"/>
    </font>
    <font>
      <sz val="11"/>
      <name val="Calibri"/>
      <family val="2"/>
      <scheme val="minor"/>
    </font>
    <font>
      <sz val="10"/>
      <color rgb="FF000000"/>
      <name val="Times New Roman"/>
      <family val="1"/>
    </font>
    <font>
      <sz val="11"/>
      <color rgb="FF006100"/>
      <name val="Calibri"/>
      <family val="2"/>
      <scheme val="minor"/>
    </font>
    <font>
      <sz val="11"/>
      <color rgb="FF9C0006"/>
      <name val="Calibri"/>
      <family val="2"/>
      <scheme val="minor"/>
    </font>
    <font>
      <sz val="11"/>
      <color rgb="FFFF0000"/>
      <name val="Calibri"/>
      <family val="2"/>
      <scheme val="minor"/>
    </font>
    <font>
      <sz val="11"/>
      <color rgb="FF9C6500"/>
      <name val="Calibri"/>
      <family val="2"/>
      <scheme val="minor"/>
    </font>
    <font>
      <sz val="12"/>
      <color rgb="FF333333"/>
      <name val="Roboto"/>
    </font>
    <font>
      <b/>
      <sz val="10"/>
      <color rgb="FFFFFFFF"/>
      <name val="Inherit"/>
    </font>
    <font>
      <vertAlign val="subscript"/>
      <sz val="11"/>
      <color theme="1"/>
      <name val="Calibri"/>
      <family val="2"/>
      <scheme val="minor"/>
    </font>
    <font>
      <sz val="11"/>
      <color rgb="FF222222"/>
      <name val="Arial"/>
      <family val="2"/>
    </font>
    <font>
      <sz val="11"/>
      <color rgb="FF222222"/>
      <name val="Calibri"/>
      <family val="2"/>
      <scheme val="minor"/>
    </font>
    <font>
      <b/>
      <sz val="11"/>
      <color rgb="FF0070C0"/>
      <name val="Calibri"/>
      <family val="2"/>
      <scheme val="minor"/>
    </font>
    <font>
      <i/>
      <sz val="11"/>
      <color rgb="FFFF0000"/>
      <name val="Calibri"/>
      <family val="2"/>
      <scheme val="minor"/>
    </font>
    <font>
      <sz val="10"/>
      <color theme="1"/>
      <name val="Calibri"/>
      <family val="2"/>
      <scheme val="minor"/>
    </font>
    <font>
      <u/>
      <sz val="11"/>
      <name val="Calibri"/>
      <family val="2"/>
      <scheme val="minor"/>
    </font>
    <font>
      <u/>
      <sz val="11"/>
      <color theme="1"/>
      <name val="Calibri"/>
      <family val="2"/>
      <scheme val="minor"/>
    </font>
    <font>
      <b/>
      <sz val="11"/>
      <color rgb="FFFF0000"/>
      <name val="Arial"/>
      <family val="2"/>
    </font>
    <font>
      <sz val="11"/>
      <color rgb="FF0070C0"/>
      <name val="Calibri"/>
      <family val="2"/>
      <scheme val="minor"/>
    </font>
    <font>
      <b/>
      <sz val="11"/>
      <color rgb="FF222222"/>
      <name val="Arial"/>
      <family val="2"/>
    </font>
    <font>
      <b/>
      <sz val="11"/>
      <color rgb="FF222222"/>
      <name val="Calibri"/>
      <family val="2"/>
      <scheme val="minor"/>
    </font>
    <font>
      <b/>
      <i/>
      <sz val="11"/>
      <color rgb="FF222222"/>
      <name val="Calibri"/>
      <family val="2"/>
      <scheme val="minor"/>
    </font>
    <font>
      <i/>
      <sz val="11"/>
      <color rgb="FF222222"/>
      <name val="Calibri"/>
      <family val="2"/>
      <scheme val="minor"/>
    </font>
    <font>
      <b/>
      <i/>
      <sz val="11"/>
      <color theme="1"/>
      <name val="Calibri"/>
      <family val="2"/>
      <scheme val="minor"/>
    </font>
    <font>
      <sz val="11"/>
      <color rgb="FF00B050"/>
      <name val="Calibri"/>
      <family val="2"/>
      <scheme val="minor"/>
    </font>
    <font>
      <b/>
      <u/>
      <sz val="11"/>
      <color theme="1"/>
      <name val="Calibri"/>
      <family val="2"/>
      <scheme val="minor"/>
    </font>
    <font>
      <sz val="11"/>
      <color theme="5" tint="-0.249977111117893"/>
      <name val="Calibri"/>
      <family val="2"/>
      <scheme val="minor"/>
    </font>
    <font>
      <i/>
      <sz val="11"/>
      <color theme="5" tint="-0.249977111117893"/>
      <name val="Calibri"/>
      <family val="2"/>
      <scheme val="minor"/>
    </font>
    <font>
      <b/>
      <sz val="11"/>
      <color rgb="FF00B050"/>
      <name val="Calibri"/>
      <family val="2"/>
      <scheme val="minor"/>
    </font>
    <font>
      <b/>
      <sz val="11"/>
      <color theme="5" tint="-0.249977111117893"/>
      <name val="Calibri"/>
      <family val="2"/>
      <scheme val="minor"/>
    </font>
    <font>
      <b/>
      <sz val="11"/>
      <color rgb="FFA52A2A"/>
      <name val="Arial"/>
      <family val="2"/>
    </font>
    <font>
      <u/>
      <sz val="11"/>
      <color rgb="FF222222"/>
      <name val="Calibri"/>
      <family val="2"/>
      <scheme val="minor"/>
    </font>
    <font>
      <b/>
      <sz val="11"/>
      <color rgb="FF008000"/>
      <name val="Calibri"/>
      <family val="2"/>
      <scheme val="minor"/>
    </font>
    <font>
      <b/>
      <sz val="11"/>
      <color rgb="FFA52A2A"/>
      <name val="Calibri"/>
      <family val="2"/>
      <scheme val="minor"/>
    </font>
    <font>
      <i/>
      <sz val="11"/>
      <name val="Calibri"/>
      <family val="2"/>
      <scheme val="minor"/>
    </font>
    <font>
      <b/>
      <sz val="11"/>
      <color theme="5" tint="-0.499984740745262"/>
      <name val="Calibri"/>
      <family val="2"/>
      <scheme val="minor"/>
    </font>
    <font>
      <b/>
      <sz val="11"/>
      <color rgb="FF7030A0"/>
      <name val="Calibri"/>
      <family val="2"/>
      <scheme val="minor"/>
    </font>
    <font>
      <b/>
      <sz val="11"/>
      <color rgb="FF0000FF"/>
      <name val="Calibri"/>
      <family val="2"/>
      <scheme val="minor"/>
    </font>
    <font>
      <sz val="9"/>
      <color rgb="FFFF0000"/>
      <name val="Calibri"/>
      <family val="2"/>
      <scheme val="minor"/>
    </font>
    <font>
      <sz val="12"/>
      <color rgb="FF333333"/>
      <name val="Calibri"/>
      <family val="2"/>
      <scheme val="minor"/>
    </font>
    <font>
      <i/>
      <sz val="12"/>
      <color rgb="FF333333"/>
      <name val="Calibri"/>
      <family val="2"/>
      <scheme val="minor"/>
    </font>
    <font>
      <sz val="11"/>
      <color rgb="FF0000FF"/>
      <name val="Calibri"/>
      <family val="2"/>
      <scheme val="minor"/>
    </font>
    <font>
      <b/>
      <sz val="11"/>
      <color rgb="FF333333"/>
      <name val="Calibri"/>
      <family val="2"/>
      <scheme val="minor"/>
    </font>
    <font>
      <vertAlign val="superscript"/>
      <sz val="11"/>
      <color theme="1"/>
      <name val="Calibri"/>
      <family val="2"/>
      <scheme val="minor"/>
    </font>
    <font>
      <sz val="11"/>
      <color rgb="FF333333"/>
      <name val="Calibri"/>
      <family val="2"/>
      <scheme val="minor"/>
    </font>
    <font>
      <vertAlign val="subscript"/>
      <sz val="11"/>
      <name val="Calibri"/>
      <family val="2"/>
      <scheme val="minor"/>
    </font>
    <font>
      <i/>
      <u/>
      <sz val="11"/>
      <color theme="1"/>
      <name val="Calibri"/>
      <family val="2"/>
      <scheme val="minor"/>
    </font>
    <font>
      <sz val="11"/>
      <color rgb="FF00B0F0"/>
      <name val="Calibri"/>
      <family val="2"/>
      <scheme val="minor"/>
    </font>
    <font>
      <u/>
      <sz val="11"/>
      <color rgb="FFFF0000"/>
      <name val="Calibri"/>
      <family val="2"/>
      <scheme val="minor"/>
    </font>
    <font>
      <b/>
      <i/>
      <sz val="11"/>
      <name val="Calibri"/>
      <family val="2"/>
      <scheme val="minor"/>
    </font>
    <font>
      <sz val="11"/>
      <color rgb="FF7030A0"/>
      <name val="Calibri"/>
      <family val="2"/>
      <scheme val="minor"/>
    </font>
    <font>
      <u/>
      <sz val="11"/>
      <color rgb="FF0070C0"/>
      <name val="Calibri"/>
      <family val="2"/>
      <scheme val="minor"/>
    </font>
    <font>
      <sz val="11"/>
      <color theme="0"/>
      <name val="Calibri"/>
      <family val="2"/>
      <scheme val="minor"/>
    </font>
    <font>
      <i/>
      <sz val="11"/>
      <color rgb="FF7030A0"/>
      <name val="Calibri"/>
      <family val="2"/>
      <scheme val="minor"/>
    </font>
  </fonts>
  <fills count="19">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5"/>
      </patternFill>
    </fill>
    <fill>
      <patternFill patternType="solid">
        <fgColor theme="0" tint="-0.14999847407452621"/>
        <bgColor indexed="64"/>
      </patternFill>
    </fill>
    <fill>
      <patternFill patternType="solid">
        <fgColor rgb="FFADD8E6"/>
        <bgColor indexed="64"/>
      </patternFill>
    </fill>
    <fill>
      <patternFill patternType="solid">
        <fgColor rgb="FFFFFF00"/>
        <bgColor indexed="64"/>
      </patternFill>
    </fill>
    <fill>
      <patternFill patternType="solid">
        <fgColor rgb="FFF8F9FA"/>
        <bgColor indexed="64"/>
      </patternFill>
    </fill>
    <fill>
      <patternFill patternType="solid">
        <fgColor rgb="FFEAECF0"/>
        <bgColor indexed="64"/>
      </patternFill>
    </fill>
    <fill>
      <patternFill patternType="solid">
        <fgColor rgb="FFD3D3D3"/>
        <bgColor indexed="64"/>
      </patternFill>
    </fill>
    <fill>
      <patternFill patternType="solid">
        <fgColor rgb="FFFFC0CB"/>
        <bgColor indexed="64"/>
      </patternFill>
    </fill>
    <fill>
      <patternFill patternType="solid">
        <fgColor theme="7" tint="0.59999389629810485"/>
        <bgColor indexed="65"/>
      </patternFill>
    </fill>
    <fill>
      <patternFill patternType="solid">
        <fgColor theme="9" tint="0.59999389629810485"/>
        <bgColor indexed="65"/>
      </patternFill>
    </fill>
    <fill>
      <patternFill patternType="solid">
        <fgColor rgb="FFFA8072"/>
        <bgColor indexed="64"/>
      </patternFill>
    </fill>
    <fill>
      <patternFill patternType="solid">
        <fgColor theme="5"/>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theme="2" tint="-9.9948118533890809E-2"/>
      </top>
      <bottom style="thin">
        <color theme="2" tint="-9.9948118533890809E-2"/>
      </bottom>
      <diagonal/>
    </border>
    <border>
      <left style="thin">
        <color indexed="64"/>
      </left>
      <right style="thin">
        <color indexed="64"/>
      </right>
      <top style="thin">
        <color theme="2" tint="-9.9948118533890809E-2"/>
      </top>
      <bottom/>
      <diagonal/>
    </border>
    <border>
      <left style="thin">
        <color indexed="64"/>
      </left>
      <right style="thin">
        <color indexed="64"/>
      </right>
      <top style="thin">
        <color indexed="64"/>
      </top>
      <bottom style="thin">
        <color theme="2" tint="-9.9948118533890809E-2"/>
      </bottom>
      <diagonal/>
    </border>
    <border>
      <left style="thin">
        <color indexed="64"/>
      </left>
      <right style="thin">
        <color indexed="64"/>
      </right>
      <top style="thin">
        <color theme="2" tint="-9.9948118533890809E-2"/>
      </top>
      <bottom style="thin">
        <color indexed="64"/>
      </bottom>
      <diagonal/>
    </border>
    <border>
      <left/>
      <right style="thin">
        <color indexed="64"/>
      </right>
      <top style="thin">
        <color indexed="64"/>
      </top>
      <bottom/>
      <diagonal/>
    </border>
    <border>
      <left/>
      <right style="thin">
        <color indexed="64"/>
      </right>
      <top/>
      <bottom/>
      <diagonal/>
    </border>
    <border>
      <left style="medium">
        <color rgb="FFDDDDDD"/>
      </left>
      <right style="medium">
        <color rgb="FFDDDDDD"/>
      </right>
      <top style="medium">
        <color rgb="FFDDDDDD"/>
      </top>
      <bottom style="medium">
        <color rgb="FFDDDDDD"/>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A2A9B1"/>
      </left>
      <right style="medium">
        <color rgb="FFA2A9B1"/>
      </right>
      <top style="medium">
        <color rgb="FFA2A9B1"/>
      </top>
      <bottom style="medium">
        <color rgb="FFA2A9B1"/>
      </bottom>
      <diagonal/>
    </border>
    <border>
      <left/>
      <right style="medium">
        <color rgb="FFA2A9B1"/>
      </right>
      <top/>
      <bottom/>
      <diagonal/>
    </border>
    <border>
      <left/>
      <right/>
      <top/>
      <bottom style="medium">
        <color rgb="FFA2A9B1"/>
      </bottom>
      <diagonal/>
    </border>
    <border>
      <left/>
      <right style="medium">
        <color rgb="FFA2A9B1"/>
      </right>
      <top/>
      <bottom style="medium">
        <color rgb="FFA2A9B1"/>
      </bottom>
      <diagonal/>
    </border>
    <border>
      <left style="medium">
        <color rgb="FFA2A9B1"/>
      </left>
      <right style="medium">
        <color rgb="FFA2A9B1"/>
      </right>
      <top style="medium">
        <color rgb="FFA2A9B1"/>
      </top>
      <bottom/>
      <diagonal/>
    </border>
    <border>
      <left style="medium">
        <color rgb="FFA2A9B1"/>
      </left>
      <right style="medium">
        <color rgb="FFA2A9B1"/>
      </right>
      <top/>
      <bottom style="medium">
        <color rgb="FFA2A9B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3">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3" fillId="0" borderId="0"/>
    <xf numFmtId="0" fontId="14" fillId="4" borderId="0" applyNumberFormat="0" applyBorder="0" applyAlignment="0" applyProtection="0"/>
    <xf numFmtId="0" fontId="15" fillId="5" borderId="0" applyNumberFormat="0" applyBorder="0" applyAlignment="0" applyProtection="0"/>
    <xf numFmtId="44" fontId="1" fillId="0" borderId="0" applyFont="0" applyFill="0" applyBorder="0" applyAlignment="0" applyProtection="0"/>
    <xf numFmtId="0" fontId="17" fillId="6" borderId="0" applyNumberFormat="0" applyBorder="0" applyAlignment="0" applyProtection="0"/>
    <xf numFmtId="0" fontId="1" fillId="7" borderId="0" applyNumberFormat="0" applyBorder="0" applyAlignment="0" applyProtection="0"/>
    <xf numFmtId="43"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63" fillId="18" borderId="0" applyNumberFormat="0" applyBorder="0" applyAlignment="0" applyProtection="0"/>
  </cellStyleXfs>
  <cellXfs count="889">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2" xfId="0" applyFont="1" applyFill="1" applyBorder="1" applyAlignment="1" applyProtection="1">
      <alignment horizontal="center"/>
      <protection locked="0"/>
    </xf>
    <xf numFmtId="164" fontId="2" fillId="0" borderId="0" xfId="1" applyNumberFormat="1" applyFont="1" applyAlignment="1">
      <alignment horizontal="center"/>
    </xf>
    <xf numFmtId="0" fontId="2" fillId="2" borderId="3" xfId="0" applyFont="1" applyFill="1" applyBorder="1" applyAlignment="1" applyProtection="1">
      <alignment horizontal="center"/>
    </xf>
    <xf numFmtId="0" fontId="4" fillId="2" borderId="6" xfId="0" applyFont="1" applyFill="1" applyBorder="1" applyAlignment="1" applyProtection="1">
      <alignment horizontal="center"/>
    </xf>
    <xf numFmtId="0" fontId="5" fillId="2" borderId="6" xfId="0" applyFont="1" applyFill="1" applyBorder="1" applyAlignment="1" applyProtection="1">
      <alignment horizontal="center"/>
    </xf>
    <xf numFmtId="0" fontId="2" fillId="0" borderId="0" xfId="0" applyFont="1" applyAlignment="1">
      <alignment horizontal="right"/>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0" fillId="0" borderId="13" xfId="0" applyFont="1" applyBorder="1" applyAlignment="1">
      <alignment horizontal="left"/>
    </xf>
    <xf numFmtId="0" fontId="0" fillId="0" borderId="14" xfId="0" applyFont="1" applyFill="1" applyBorder="1" applyAlignment="1">
      <alignment horizontal="left"/>
    </xf>
    <xf numFmtId="0" fontId="11" fillId="2" borderId="6" xfId="0" applyFont="1" applyFill="1" applyBorder="1" applyAlignment="1" applyProtection="1">
      <alignment horizontal="center"/>
    </xf>
    <xf numFmtId="0" fontId="12" fillId="2" borderId="0" xfId="0" applyFont="1" applyFill="1" applyBorder="1" applyProtection="1"/>
    <xf numFmtId="0" fontId="12" fillId="2" borderId="7" xfId="0" applyFont="1" applyFill="1" applyBorder="1" applyProtection="1"/>
    <xf numFmtId="0" fontId="0" fillId="2" borderId="0" xfId="0" applyFont="1" applyFill="1" applyBorder="1" applyProtection="1"/>
    <xf numFmtId="0" fontId="0" fillId="2" borderId="4" xfId="0" applyFont="1" applyFill="1" applyBorder="1" applyProtection="1"/>
    <xf numFmtId="0" fontId="0" fillId="0" borderId="0" xfId="0" applyFont="1" applyProtection="1">
      <protection locked="0"/>
    </xf>
    <xf numFmtId="0" fontId="0" fillId="2" borderId="6" xfId="0" applyFont="1" applyFill="1" applyBorder="1" applyProtection="1"/>
    <xf numFmtId="0" fontId="0" fillId="2" borderId="7" xfId="0" applyFont="1" applyFill="1" applyBorder="1" applyProtection="1"/>
    <xf numFmtId="0" fontId="0" fillId="2" borderId="8" xfId="0" applyFont="1" applyFill="1" applyBorder="1" applyProtection="1"/>
    <xf numFmtId="0" fontId="0" fillId="2" borderId="6" xfId="0" applyFont="1" applyFill="1" applyBorder="1" applyAlignment="1" applyProtection="1">
      <alignment horizontal="center"/>
    </xf>
    <xf numFmtId="0" fontId="0" fillId="2" borderId="0" xfId="0" applyFont="1" applyFill="1" applyBorder="1" applyProtection="1">
      <protection locked="0"/>
    </xf>
    <xf numFmtId="0" fontId="2" fillId="2" borderId="4" xfId="0" applyFont="1" applyFill="1" applyBorder="1" applyAlignment="1" applyProtection="1">
      <alignment horizontal="center"/>
      <protection locked="0"/>
    </xf>
    <xf numFmtId="0" fontId="12" fillId="2" borderId="0" xfId="0" applyFont="1" applyFill="1" applyProtection="1">
      <protection locked="0"/>
    </xf>
    <xf numFmtId="0" fontId="2" fillId="0" borderId="2" xfId="0" applyNumberFormat="1" applyFont="1" applyFill="1" applyBorder="1" applyAlignment="1">
      <alignment horizontal="center"/>
    </xf>
    <xf numFmtId="0" fontId="0" fillId="0" borderId="12" xfId="0" applyNumberFormat="1" applyFont="1" applyFill="1" applyBorder="1" applyAlignment="1">
      <alignment horizontal="center"/>
    </xf>
    <xf numFmtId="0" fontId="12" fillId="0" borderId="0" xfId="0" applyFont="1" applyProtection="1">
      <protection locked="0"/>
    </xf>
    <xf numFmtId="0" fontId="12" fillId="2" borderId="9" xfId="0" applyFont="1" applyFill="1" applyBorder="1" applyProtection="1"/>
    <xf numFmtId="0" fontId="12" fillId="2" borderId="10" xfId="0" applyFont="1" applyFill="1" applyBorder="1" applyProtection="1"/>
    <xf numFmtId="0" fontId="12" fillId="2" borderId="0" xfId="0" applyFont="1" applyFill="1" applyBorder="1" applyAlignment="1" applyProtection="1">
      <alignment horizontal="right"/>
    </xf>
    <xf numFmtId="0" fontId="12" fillId="2" borderId="0" xfId="0" applyFont="1" applyFill="1" applyBorder="1" applyAlignment="1" applyProtection="1">
      <alignment horizontal="center"/>
    </xf>
    <xf numFmtId="0" fontId="0" fillId="2" borderId="17" xfId="0" applyFont="1" applyFill="1" applyBorder="1" applyProtection="1">
      <protection locked="0"/>
    </xf>
    <xf numFmtId="0" fontId="0" fillId="0" borderId="0" xfId="0" applyFont="1"/>
    <xf numFmtId="0" fontId="0" fillId="0" borderId="0" xfId="0" applyFont="1" applyAlignment="1">
      <alignment horizontal="centerContinuous"/>
    </xf>
    <xf numFmtId="0" fontId="7" fillId="0" borderId="11" xfId="2" applyFont="1" applyBorder="1" applyAlignment="1">
      <alignment horizontal="center"/>
    </xf>
    <xf numFmtId="0" fontId="0" fillId="0" borderId="11" xfId="0" applyNumberFormat="1" applyFont="1" applyBorder="1" applyAlignment="1">
      <alignment horizontal="center"/>
    </xf>
    <xf numFmtId="0" fontId="0" fillId="0" borderId="11" xfId="0" applyFont="1" applyBorder="1" applyAlignment="1">
      <alignment horizontal="center"/>
    </xf>
    <xf numFmtId="0" fontId="0" fillId="0" borderId="11" xfId="0" applyNumberFormat="1" applyFont="1" applyFill="1" applyBorder="1" applyAlignment="1">
      <alignment horizontal="center"/>
    </xf>
    <xf numFmtId="0" fontId="7" fillId="0" borderId="11" xfId="2" quotePrefix="1" applyFont="1" applyBorder="1" applyAlignment="1">
      <alignment horizontal="center"/>
    </xf>
    <xf numFmtId="0" fontId="0" fillId="2" borderId="20" xfId="0" applyFont="1" applyFill="1" applyBorder="1" applyProtection="1">
      <protection locked="0"/>
    </xf>
    <xf numFmtId="0" fontId="0" fillId="2" borderId="15" xfId="0" applyFont="1" applyFill="1" applyBorder="1" applyProtection="1">
      <protection locked="0"/>
    </xf>
    <xf numFmtId="0" fontId="0" fillId="2" borderId="21" xfId="0" applyFont="1" applyFill="1" applyBorder="1" applyProtection="1">
      <protection locked="0"/>
    </xf>
    <xf numFmtId="0" fontId="0" fillId="2" borderId="14" xfId="0" applyFont="1" applyFill="1" applyBorder="1" applyProtection="1">
      <protection locked="0"/>
    </xf>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3" fontId="0" fillId="0" borderId="0" xfId="0" applyNumberFormat="1" applyAlignment="1">
      <alignment horizontal="left"/>
    </xf>
    <xf numFmtId="0" fontId="16" fillId="0" borderId="0" xfId="0" applyFont="1"/>
    <xf numFmtId="0" fontId="0" fillId="0" borderId="22" xfId="0" applyNumberFormat="1" applyFont="1" applyBorder="1" applyAlignment="1">
      <alignment horizontal="center"/>
    </xf>
    <xf numFmtId="9" fontId="0" fillId="0" borderId="0" xfId="0" applyNumberFormat="1" applyAlignment="1">
      <alignment horizontal="center"/>
    </xf>
    <xf numFmtId="0" fontId="0" fillId="0" borderId="23" xfId="0" applyNumberFormat="1" applyFont="1" applyBorder="1" applyAlignment="1">
      <alignment horizontal="center"/>
    </xf>
    <xf numFmtId="0" fontId="7" fillId="0" borderId="11" xfId="2" applyFill="1" applyBorder="1" applyAlignment="1">
      <alignment horizontal="center"/>
    </xf>
    <xf numFmtId="0" fontId="12" fillId="0" borderId="23" xfId="5" applyNumberFormat="1" applyFont="1" applyFill="1" applyBorder="1" applyAlignment="1">
      <alignment horizontal="center"/>
    </xf>
    <xf numFmtId="0" fontId="12" fillId="0" borderId="11" xfId="5" applyNumberFormat="1" applyFont="1" applyFill="1" applyBorder="1" applyAlignment="1">
      <alignment horizontal="center"/>
    </xf>
    <xf numFmtId="0" fontId="0" fillId="0" borderId="24" xfId="0" applyNumberFormat="1" applyFont="1" applyBorder="1" applyAlignment="1">
      <alignment horizontal="center"/>
    </xf>
    <xf numFmtId="0" fontId="12" fillId="0" borderId="25" xfId="5" applyNumberFormat="1" applyFont="1" applyFill="1" applyBorder="1" applyAlignment="1">
      <alignment horizontal="center"/>
    </xf>
    <xf numFmtId="3" fontId="0" fillId="0" borderId="0" xfId="0" applyNumberFormat="1" applyFont="1" applyProtection="1">
      <protection locked="0"/>
    </xf>
    <xf numFmtId="0" fontId="0" fillId="2" borderId="16" xfId="0" applyFont="1" applyFill="1" applyBorder="1" applyProtection="1">
      <protection locked="0"/>
    </xf>
    <xf numFmtId="0" fontId="0" fillId="2" borderId="18" xfId="0" applyFont="1" applyFill="1" applyBorder="1" applyProtection="1">
      <protection locked="0"/>
    </xf>
    <xf numFmtId="3" fontId="0" fillId="2" borderId="0" xfId="0" applyNumberFormat="1" applyFont="1" applyFill="1" applyBorder="1" applyProtection="1">
      <protection locked="0"/>
    </xf>
    <xf numFmtId="0" fontId="0" fillId="2" borderId="19" xfId="0" applyFont="1" applyFill="1" applyBorder="1" applyProtection="1">
      <protection locked="0"/>
    </xf>
    <xf numFmtId="3" fontId="0" fillId="2" borderId="20" xfId="0" applyNumberFormat="1" applyFont="1" applyFill="1" applyBorder="1" applyProtection="1">
      <protection locked="0"/>
    </xf>
    <xf numFmtId="3" fontId="0" fillId="2" borderId="14" xfId="0" applyNumberFormat="1" applyFont="1" applyFill="1" applyBorder="1" applyProtection="1">
      <protection locked="0"/>
    </xf>
    <xf numFmtId="3" fontId="0" fillId="2" borderId="21" xfId="0" applyNumberFormat="1" applyFont="1" applyFill="1" applyBorder="1" applyProtection="1">
      <protection locked="0"/>
    </xf>
    <xf numFmtId="3" fontId="12" fillId="0" borderId="1" xfId="0" applyNumberFormat="1" applyFont="1" applyFill="1" applyBorder="1" applyProtection="1">
      <protection locked="0"/>
    </xf>
    <xf numFmtId="9" fontId="12" fillId="0" borderId="1" xfId="1" applyFont="1" applyFill="1" applyBorder="1" applyProtection="1">
      <protection locked="0"/>
    </xf>
    <xf numFmtId="0" fontId="0" fillId="2" borderId="0" xfId="0" applyFill="1"/>
    <xf numFmtId="0" fontId="0" fillId="0" borderId="20" xfId="0" applyBorder="1" applyAlignment="1">
      <alignment horizontal="center"/>
    </xf>
    <xf numFmtId="0" fontId="14" fillId="4" borderId="0" xfId="4"/>
    <xf numFmtId="9" fontId="0" fillId="0" borderId="0" xfId="0" applyNumberFormat="1"/>
    <xf numFmtId="15" fontId="0" fillId="0" borderId="0" xfId="0" applyNumberFormat="1"/>
    <xf numFmtId="0" fontId="0" fillId="8" borderId="0" xfId="0" applyFill="1"/>
    <xf numFmtId="0" fontId="12" fillId="2" borderId="16" xfId="0" applyFont="1" applyFill="1" applyBorder="1" applyProtection="1">
      <protection locked="0"/>
    </xf>
    <xf numFmtId="0" fontId="0" fillId="2" borderId="26" xfId="0" applyFill="1" applyBorder="1"/>
    <xf numFmtId="0" fontId="12" fillId="2" borderId="18" xfId="0" applyFont="1" applyFill="1" applyBorder="1" applyProtection="1"/>
    <xf numFmtId="9" fontId="0" fillId="2" borderId="27" xfId="0" applyNumberFormat="1" applyFill="1" applyBorder="1"/>
    <xf numFmtId="0" fontId="12" fillId="2" borderId="19" xfId="0" applyFont="1" applyFill="1" applyBorder="1" applyProtection="1"/>
    <xf numFmtId="165" fontId="0" fillId="2" borderId="12" xfId="0" applyNumberFormat="1" applyFill="1" applyBorder="1"/>
    <xf numFmtId="0" fontId="0" fillId="2" borderId="12" xfId="0" applyFill="1" applyBorder="1"/>
    <xf numFmtId="0" fontId="12" fillId="2" borderId="26" xfId="0" applyFont="1" applyFill="1" applyBorder="1" applyProtection="1">
      <protection locked="0"/>
    </xf>
    <xf numFmtId="0" fontId="12" fillId="2" borderId="12" xfId="0" applyFont="1" applyFill="1" applyBorder="1" applyProtection="1"/>
    <xf numFmtId="0" fontId="12" fillId="2" borderId="27" xfId="0" applyFont="1" applyFill="1" applyBorder="1" applyProtection="1"/>
    <xf numFmtId="0" fontId="19" fillId="0" borderId="0" xfId="0" applyFont="1" applyAlignment="1">
      <alignment horizontal="left" vertical="center" wrapText="1"/>
    </xf>
    <xf numFmtId="0" fontId="18" fillId="0" borderId="0" xfId="0" applyFont="1" applyAlignment="1">
      <alignment horizontal="left" vertical="center" wrapText="1" indent="1"/>
    </xf>
    <xf numFmtId="0" fontId="0" fillId="0" borderId="0" xfId="0" applyAlignment="1"/>
    <xf numFmtId="2" fontId="0" fillId="0" borderId="0" xfId="0" applyNumberFormat="1"/>
    <xf numFmtId="168" fontId="0" fillId="0" borderId="0" xfId="0" applyNumberFormat="1"/>
    <xf numFmtId="0" fontId="0" fillId="0" borderId="0" xfId="0" quotePrefix="1"/>
    <xf numFmtId="0" fontId="0" fillId="0" borderId="0" xfId="0" applyAlignment="1">
      <alignment vertical="center"/>
    </xf>
    <xf numFmtId="168" fontId="0" fillId="0" borderId="0" xfId="0" quotePrefix="1" applyNumberFormat="1" applyAlignment="1">
      <alignment vertical="center"/>
    </xf>
    <xf numFmtId="0" fontId="0" fillId="0" borderId="16" xfId="0" applyBorder="1"/>
    <xf numFmtId="168" fontId="0" fillId="0" borderId="26" xfId="0" applyNumberFormat="1" applyBorder="1"/>
    <xf numFmtId="0" fontId="0" fillId="0" borderId="18" xfId="0" applyBorder="1"/>
    <xf numFmtId="168" fontId="0" fillId="0" borderId="27" xfId="0" applyNumberFormat="1" applyBorder="1"/>
    <xf numFmtId="0" fontId="0" fillId="0" borderId="18" xfId="0" applyBorder="1" applyAlignment="1">
      <alignment vertical="center"/>
    </xf>
    <xf numFmtId="0" fontId="0" fillId="0" borderId="19" xfId="0" applyBorder="1" applyAlignment="1">
      <alignment vertical="center"/>
    </xf>
    <xf numFmtId="0" fontId="0" fillId="0" borderId="19" xfId="0" applyBorder="1"/>
    <xf numFmtId="168" fontId="0" fillId="0" borderId="12" xfId="0" applyNumberFormat="1" applyBorder="1"/>
    <xf numFmtId="0" fontId="0" fillId="0" borderId="26" xfId="0" applyBorder="1"/>
    <xf numFmtId="0" fontId="0" fillId="0" borderId="12" xfId="0" applyBorder="1"/>
    <xf numFmtId="0" fontId="14" fillId="4" borderId="26" xfId="4" applyBorder="1"/>
    <xf numFmtId="0" fontId="14" fillId="4" borderId="12" xfId="4" applyBorder="1"/>
    <xf numFmtId="0" fontId="0" fillId="0" borderId="0" xfId="0" applyFill="1" applyBorder="1" applyAlignment="1">
      <alignment vertical="center"/>
    </xf>
    <xf numFmtId="3" fontId="0" fillId="0" borderId="0" xfId="0" applyNumberFormat="1"/>
    <xf numFmtId="0" fontId="22" fillId="0" borderId="0" xfId="0" applyFont="1" applyAlignment="1">
      <alignment horizontal="left" vertical="center" indent="1"/>
    </xf>
    <xf numFmtId="3" fontId="0" fillId="0" borderId="21" xfId="0" applyNumberFormat="1" applyFont="1" applyBorder="1" applyAlignment="1">
      <alignment horizontal="center"/>
    </xf>
    <xf numFmtId="3" fontId="0" fillId="0" borderId="0" xfId="0" applyNumberFormat="1" applyFont="1" applyBorder="1" applyAlignment="1">
      <alignment horizontal="center"/>
    </xf>
    <xf numFmtId="3" fontId="0" fillId="0" borderId="27" xfId="0" applyNumberFormat="1" applyFont="1" applyBorder="1" applyAlignment="1">
      <alignment horizontal="center"/>
    </xf>
    <xf numFmtId="3" fontId="0" fillId="0" borderId="27" xfId="0" quotePrefix="1" applyNumberFormat="1" applyFont="1" applyBorder="1" applyAlignment="1">
      <alignment horizontal="center"/>
    </xf>
    <xf numFmtId="3" fontId="0" fillId="0" borderId="14" xfId="0" applyNumberFormat="1" applyFont="1" applyBorder="1" applyAlignment="1">
      <alignment horizontal="center"/>
    </xf>
    <xf numFmtId="3" fontId="0" fillId="0" borderId="20" xfId="0" applyNumberFormat="1" applyFont="1" applyBorder="1" applyAlignment="1">
      <alignment horizontal="center"/>
    </xf>
    <xf numFmtId="3" fontId="0" fillId="0" borderId="12" xfId="0" applyNumberFormat="1" applyFont="1" applyBorder="1" applyAlignment="1">
      <alignment horizontal="center"/>
    </xf>
    <xf numFmtId="3" fontId="0" fillId="8" borderId="0" xfId="0" applyNumberFormat="1" applyFont="1" applyFill="1" applyBorder="1" applyAlignment="1">
      <alignment horizontal="center"/>
    </xf>
    <xf numFmtId="3" fontId="0" fillId="8" borderId="20" xfId="0" applyNumberFormat="1" applyFont="1" applyFill="1" applyBorder="1" applyAlignment="1">
      <alignment horizontal="center"/>
    </xf>
    <xf numFmtId="0" fontId="0" fillId="2" borderId="0" xfId="0" applyFont="1" applyFill="1" applyProtection="1">
      <protection locked="0"/>
    </xf>
    <xf numFmtId="3" fontId="0" fillId="0" borderId="0" xfId="0" quotePrefix="1" applyNumberFormat="1" applyFont="1"/>
    <xf numFmtId="3" fontId="0" fillId="0" borderId="0" xfId="0" applyNumberFormat="1" applyFont="1"/>
    <xf numFmtId="3" fontId="0" fillId="0" borderId="1" xfId="0" applyNumberFormat="1" applyFont="1" applyBorder="1" applyAlignment="1">
      <alignment horizontal="center"/>
    </xf>
    <xf numFmtId="3" fontId="0" fillId="0" borderId="29" xfId="0" applyNumberFormat="1" applyFont="1" applyBorder="1" applyAlignment="1">
      <alignment horizontal="center"/>
    </xf>
    <xf numFmtId="3" fontId="0" fillId="0" borderId="30" xfId="0" applyNumberFormat="1" applyFont="1" applyBorder="1" applyAlignment="1">
      <alignment horizontal="center"/>
    </xf>
    <xf numFmtId="3" fontId="0" fillId="0" borderId="17" xfId="0" applyNumberFormat="1" applyFont="1" applyBorder="1"/>
    <xf numFmtId="3" fontId="0" fillId="0" borderId="26" xfId="0" applyNumberFormat="1" applyFont="1" applyBorder="1"/>
    <xf numFmtId="3" fontId="0" fillId="0" borderId="18" xfId="0" applyNumberFormat="1" applyFont="1" applyBorder="1"/>
    <xf numFmtId="3" fontId="0" fillId="0" borderId="0" xfId="0" applyNumberFormat="1" applyFont="1" applyBorder="1"/>
    <xf numFmtId="3" fontId="0" fillId="0" borderId="27" xfId="0" applyNumberFormat="1" applyFont="1" applyBorder="1"/>
    <xf numFmtId="0" fontId="0" fillId="0" borderId="0" xfId="0" applyFont="1" applyBorder="1"/>
    <xf numFmtId="0" fontId="0" fillId="0" borderId="27" xfId="0" applyFont="1" applyBorder="1"/>
    <xf numFmtId="3" fontId="0" fillId="0" borderId="19" xfId="0" applyNumberFormat="1" applyFont="1" applyBorder="1"/>
    <xf numFmtId="3" fontId="0" fillId="0" borderId="20" xfId="0" applyNumberFormat="1" applyFont="1" applyBorder="1"/>
    <xf numFmtId="3" fontId="0" fillId="0" borderId="12" xfId="0" applyNumberFormat="1" applyFont="1" applyBorder="1"/>
    <xf numFmtId="3" fontId="0" fillId="2" borderId="16" xfId="0" applyNumberFormat="1" applyFont="1" applyFill="1" applyBorder="1"/>
    <xf numFmtId="3" fontId="0" fillId="2" borderId="17" xfId="0" applyNumberFormat="1" applyFont="1" applyFill="1" applyBorder="1"/>
    <xf numFmtId="3" fontId="0" fillId="2" borderId="26" xfId="0" applyNumberFormat="1" applyFont="1" applyFill="1" applyBorder="1"/>
    <xf numFmtId="3" fontId="0" fillId="2" borderId="26" xfId="0" applyNumberFormat="1" applyFill="1" applyBorder="1" applyAlignment="1">
      <alignment horizontal="right"/>
    </xf>
    <xf numFmtId="3" fontId="0" fillId="2" borderId="0" xfId="0" applyNumberFormat="1" applyFont="1" applyFill="1"/>
    <xf numFmtId="3" fontId="0" fillId="2" borderId="18" xfId="0" applyNumberFormat="1" applyFont="1" applyFill="1" applyBorder="1"/>
    <xf numFmtId="3" fontId="0" fillId="2" borderId="0" xfId="0" applyNumberFormat="1" applyFont="1" applyFill="1" applyBorder="1"/>
    <xf numFmtId="3" fontId="0" fillId="2" borderId="27" xfId="0" applyNumberFormat="1" applyFont="1" applyFill="1" applyBorder="1"/>
    <xf numFmtId="3" fontId="0" fillId="2" borderId="27" xfId="0" applyNumberFormat="1" applyFill="1" applyBorder="1" applyAlignment="1">
      <alignment horizontal="right"/>
    </xf>
    <xf numFmtId="0" fontId="0" fillId="2" borderId="0" xfId="0" applyFont="1" applyFill="1" applyBorder="1"/>
    <xf numFmtId="0" fontId="0" fillId="2" borderId="27" xfId="0" applyFont="1" applyFill="1" applyBorder="1"/>
    <xf numFmtId="9" fontId="0" fillId="2" borderId="26" xfId="1" applyFont="1" applyFill="1" applyBorder="1"/>
    <xf numFmtId="3" fontId="0" fillId="2" borderId="19" xfId="0" applyNumberFormat="1" applyFont="1" applyFill="1" applyBorder="1"/>
    <xf numFmtId="3" fontId="0" fillId="2" borderId="20" xfId="0" applyNumberFormat="1" applyFont="1" applyFill="1" applyBorder="1"/>
    <xf numFmtId="3" fontId="0" fillId="2" borderId="12" xfId="0" applyNumberFormat="1" applyFont="1" applyFill="1" applyBorder="1"/>
    <xf numFmtId="9" fontId="0" fillId="2" borderId="12" xfId="1" applyFont="1" applyFill="1" applyBorder="1"/>
    <xf numFmtId="0" fontId="17" fillId="6" borderId="0" xfId="7" applyAlignment="1">
      <alignment horizontal="center"/>
    </xf>
    <xf numFmtId="3" fontId="0" fillId="0" borderId="0" xfId="0" applyNumberFormat="1" applyFont="1" applyAlignment="1">
      <alignment horizontal="left"/>
    </xf>
    <xf numFmtId="3" fontId="0" fillId="0" borderId="0" xfId="0" applyNumberFormat="1" applyFont="1" applyAlignment="1">
      <alignment horizontal="center"/>
    </xf>
    <xf numFmtId="4" fontId="0" fillId="0" borderId="0" xfId="0" applyNumberFormat="1" applyFont="1" applyAlignment="1">
      <alignment horizontal="right"/>
    </xf>
    <xf numFmtId="3" fontId="0" fillId="0" borderId="0" xfId="0" quotePrefix="1" applyNumberFormat="1" applyFont="1" applyAlignment="1">
      <alignment horizontal="center"/>
    </xf>
    <xf numFmtId="0" fontId="14" fillId="4" borderId="0" xfId="4" applyAlignment="1">
      <alignment horizontal="center"/>
    </xf>
    <xf numFmtId="4" fontId="0" fillId="0" borderId="0" xfId="0" applyNumberFormat="1" applyFont="1" applyAlignment="1">
      <alignment horizontal="center"/>
    </xf>
    <xf numFmtId="170" fontId="14" fillId="4" borderId="0" xfId="4" applyNumberFormat="1" applyAlignment="1">
      <alignment horizontal="center"/>
    </xf>
    <xf numFmtId="3" fontId="24" fillId="0" borderId="0" xfId="0" applyNumberFormat="1" applyFont="1"/>
    <xf numFmtId="0" fontId="0" fillId="0" borderId="17" xfId="0" applyFont="1" applyBorder="1"/>
    <xf numFmtId="0" fontId="0" fillId="0" borderId="26" xfId="0" applyFont="1" applyBorder="1"/>
    <xf numFmtId="0" fontId="0" fillId="2" borderId="17" xfId="0" applyFont="1" applyFill="1" applyBorder="1"/>
    <xf numFmtId="0" fontId="0" fillId="2" borderId="26" xfId="0" applyFont="1" applyFill="1" applyBorder="1"/>
    <xf numFmtId="0" fontId="0" fillId="2" borderId="20" xfId="0" applyFont="1" applyFill="1" applyBorder="1"/>
    <xf numFmtId="0" fontId="0" fillId="2" borderId="12" xfId="0" applyFont="1" applyFill="1" applyBorder="1"/>
    <xf numFmtId="3" fontId="0" fillId="2" borderId="12" xfId="0" applyNumberFormat="1" applyFill="1" applyBorder="1" applyAlignment="1">
      <alignment horizontal="right"/>
    </xf>
    <xf numFmtId="9" fontId="0" fillId="2" borderId="27" xfId="1" applyFont="1" applyFill="1" applyBorder="1"/>
    <xf numFmtId="3" fontId="25" fillId="0" borderId="0" xfId="0" applyNumberFormat="1" applyFont="1" applyAlignment="1">
      <alignment horizontal="right"/>
    </xf>
    <xf numFmtId="164" fontId="1" fillId="0" borderId="0" xfId="1" applyNumberFormat="1" applyFont="1" applyAlignment="1">
      <alignment horizontal="right"/>
    </xf>
    <xf numFmtId="3" fontId="25" fillId="0" borderId="0" xfId="0" applyNumberFormat="1" applyFont="1" applyAlignment="1">
      <alignment horizontal="left"/>
    </xf>
    <xf numFmtId="164" fontId="17" fillId="6" borderId="17" xfId="7" applyNumberFormat="1" applyBorder="1" applyAlignment="1">
      <alignment horizontal="right"/>
    </xf>
    <xf numFmtId="3" fontId="0" fillId="0" borderId="0" xfId="0" applyNumberFormat="1" applyFont="1" applyAlignment="1">
      <alignment horizontal="right"/>
    </xf>
    <xf numFmtId="3" fontId="12" fillId="0" borderId="0" xfId="0" applyNumberFormat="1" applyFont="1" applyAlignment="1">
      <alignment horizontal="center"/>
    </xf>
    <xf numFmtId="170" fontId="12" fillId="0" borderId="0" xfId="0" quotePrefix="1" applyNumberFormat="1" applyFont="1" applyAlignment="1">
      <alignment horizontal="center"/>
    </xf>
    <xf numFmtId="164" fontId="17" fillId="6" borderId="0" xfId="7" applyNumberFormat="1" applyAlignment="1">
      <alignment horizontal="center"/>
    </xf>
    <xf numFmtId="164" fontId="14" fillId="4" borderId="0" xfId="1" applyNumberFormat="1" applyFont="1" applyFill="1" applyAlignment="1">
      <alignment horizontal="center"/>
    </xf>
    <xf numFmtId="3" fontId="2" fillId="0" borderId="0" xfId="0" applyNumberFormat="1" applyFont="1"/>
    <xf numFmtId="3" fontId="0" fillId="0" borderId="15" xfId="0" applyNumberFormat="1" applyFont="1" applyBorder="1" applyAlignment="1">
      <alignment horizontal="center"/>
    </xf>
    <xf numFmtId="3" fontId="0" fillId="0" borderId="26" xfId="0" applyNumberFormat="1" applyFont="1" applyBorder="1" applyAlignment="1">
      <alignment horizontal="right"/>
    </xf>
    <xf numFmtId="3" fontId="0" fillId="0" borderId="12" xfId="0" applyNumberFormat="1" applyFont="1" applyBorder="1" applyAlignment="1">
      <alignment horizontal="right"/>
    </xf>
    <xf numFmtId="1" fontId="0" fillId="0" borderId="21" xfId="0" applyNumberFormat="1" applyFont="1" applyBorder="1" applyAlignment="1">
      <alignment horizontal="center"/>
    </xf>
    <xf numFmtId="3" fontId="0" fillId="0" borderId="21" xfId="0" applyNumberFormat="1" applyFont="1" applyBorder="1"/>
    <xf numFmtId="1" fontId="0" fillId="0" borderId="14" xfId="0" applyNumberFormat="1" applyFont="1" applyBorder="1" applyAlignment="1">
      <alignment horizontal="center"/>
    </xf>
    <xf numFmtId="3" fontId="0" fillId="0" borderId="14" xfId="0" applyNumberFormat="1" applyFont="1" applyBorder="1"/>
    <xf numFmtId="3" fontId="0" fillId="0" borderId="13" xfId="0" applyNumberFormat="1" applyFont="1" applyBorder="1"/>
    <xf numFmtId="3" fontId="0" fillId="0" borderId="30" xfId="0" applyNumberFormat="1" applyFont="1" applyBorder="1"/>
    <xf numFmtId="3" fontId="6" fillId="0" borderId="0" xfId="0" applyNumberFormat="1" applyFont="1"/>
    <xf numFmtId="3" fontId="2" fillId="2" borderId="0" xfId="0" applyNumberFormat="1" applyFont="1" applyFill="1"/>
    <xf numFmtId="0" fontId="0" fillId="2" borderId="0" xfId="0" applyFont="1" applyFill="1"/>
    <xf numFmtId="3" fontId="0" fillId="2" borderId="0" xfId="0" applyNumberFormat="1" applyFill="1"/>
    <xf numFmtId="3" fontId="0" fillId="2" borderId="15" xfId="0" applyNumberFormat="1" applyFont="1" applyFill="1" applyBorder="1" applyAlignment="1">
      <alignment horizontal="center"/>
    </xf>
    <xf numFmtId="3" fontId="0" fillId="2" borderId="17" xfId="0" applyNumberFormat="1" applyFont="1" applyFill="1" applyBorder="1" applyAlignment="1">
      <alignment horizontal="right"/>
    </xf>
    <xf numFmtId="3" fontId="0" fillId="2" borderId="26" xfId="0" applyNumberFormat="1" applyFont="1" applyFill="1" applyBorder="1" applyAlignment="1">
      <alignment horizontal="right"/>
    </xf>
    <xf numFmtId="3" fontId="0" fillId="2" borderId="14" xfId="0" applyNumberFormat="1" applyFont="1" applyFill="1" applyBorder="1" applyAlignment="1">
      <alignment horizontal="center"/>
    </xf>
    <xf numFmtId="3" fontId="0" fillId="2" borderId="20" xfId="0" applyNumberFormat="1" applyFont="1" applyFill="1" applyBorder="1" applyAlignment="1">
      <alignment horizontal="right"/>
    </xf>
    <xf numFmtId="3" fontId="0" fillId="2" borderId="12" xfId="0" applyNumberFormat="1" applyFont="1" applyFill="1" applyBorder="1" applyAlignment="1">
      <alignment horizontal="right"/>
    </xf>
    <xf numFmtId="3" fontId="0" fillId="2" borderId="15" xfId="0" applyNumberFormat="1" applyFont="1" applyFill="1" applyBorder="1"/>
    <xf numFmtId="4" fontId="0" fillId="2" borderId="26" xfId="0" applyNumberFormat="1" applyFont="1" applyFill="1" applyBorder="1" applyAlignment="1">
      <alignment horizontal="center"/>
    </xf>
    <xf numFmtId="1" fontId="0" fillId="2" borderId="21" xfId="0" applyNumberFormat="1" applyFont="1" applyFill="1" applyBorder="1" applyAlignment="1">
      <alignment horizontal="center"/>
    </xf>
    <xf numFmtId="3" fontId="0" fillId="2" borderId="21" xfId="0" applyNumberFormat="1" applyFont="1" applyFill="1" applyBorder="1"/>
    <xf numFmtId="4" fontId="0" fillId="2" borderId="27" xfId="0" applyNumberFormat="1" applyFont="1" applyFill="1" applyBorder="1" applyAlignment="1">
      <alignment horizontal="center"/>
    </xf>
    <xf numFmtId="171" fontId="0" fillId="2" borderId="27" xfId="6" applyNumberFormat="1" applyFont="1" applyFill="1" applyBorder="1"/>
    <xf numFmtId="1" fontId="0" fillId="2" borderId="14" xfId="0" applyNumberFormat="1" applyFont="1" applyFill="1" applyBorder="1" applyAlignment="1">
      <alignment horizontal="center"/>
    </xf>
    <xf numFmtId="3" fontId="0" fillId="2" borderId="14" xfId="0" applyNumberFormat="1" applyFont="1" applyFill="1" applyBorder="1"/>
    <xf numFmtId="4" fontId="0" fillId="2" borderId="12" xfId="0" applyNumberFormat="1" applyFont="1" applyFill="1" applyBorder="1" applyAlignment="1">
      <alignment horizontal="center"/>
    </xf>
    <xf numFmtId="3" fontId="0" fillId="2" borderId="13" xfId="0" applyNumberFormat="1" applyFont="1" applyFill="1" applyBorder="1"/>
    <xf numFmtId="3" fontId="0" fillId="2" borderId="30" xfId="0" applyNumberFormat="1" applyFont="1" applyFill="1" applyBorder="1"/>
    <xf numFmtId="9" fontId="0" fillId="2" borderId="30" xfId="1" applyFont="1" applyFill="1" applyBorder="1"/>
    <xf numFmtId="0" fontId="2" fillId="2" borderId="0" xfId="0" applyFont="1" applyFill="1"/>
    <xf numFmtId="3" fontId="6" fillId="2" borderId="0" xfId="0" applyNumberFormat="1" applyFont="1" applyFill="1"/>
    <xf numFmtId="164" fontId="0" fillId="2" borderId="26" xfId="1" applyNumberFormat="1" applyFont="1" applyFill="1" applyBorder="1"/>
    <xf numFmtId="164" fontId="0" fillId="2" borderId="12" xfId="1" applyNumberFormat="1" applyFont="1" applyFill="1" applyBorder="1"/>
    <xf numFmtId="1" fontId="0" fillId="2" borderId="13" xfId="0" applyNumberFormat="1" applyFont="1" applyFill="1" applyBorder="1" applyAlignment="1">
      <alignment horizontal="center"/>
    </xf>
    <xf numFmtId="0" fontId="0" fillId="2" borderId="29" xfId="0" quotePrefix="1" applyNumberFormat="1" applyFont="1" applyFill="1" applyBorder="1" applyAlignment="1">
      <alignment horizontal="center"/>
    </xf>
    <xf numFmtId="0" fontId="0" fillId="2" borderId="30" xfId="0" quotePrefix="1" applyNumberFormat="1" applyFont="1" applyFill="1" applyBorder="1" applyAlignment="1">
      <alignment horizontal="center"/>
    </xf>
    <xf numFmtId="3" fontId="0" fillId="2" borderId="18" xfId="0" applyNumberFormat="1" applyFont="1" applyFill="1" applyBorder="1" applyAlignment="1">
      <alignment horizontal="center"/>
    </xf>
    <xf numFmtId="3" fontId="2" fillId="2" borderId="27" xfId="0" applyNumberFormat="1" applyFont="1" applyFill="1" applyBorder="1" applyAlignment="1">
      <alignment horizontal="center"/>
    </xf>
    <xf numFmtId="3" fontId="0" fillId="2" borderId="19" xfId="0" applyNumberFormat="1" applyFont="1" applyFill="1" applyBorder="1" applyAlignment="1">
      <alignment horizontal="center"/>
    </xf>
    <xf numFmtId="3" fontId="2" fillId="2" borderId="12" xfId="0" applyNumberFormat="1" applyFont="1" applyFill="1" applyBorder="1" applyAlignment="1">
      <alignment horizontal="center"/>
    </xf>
    <xf numFmtId="3" fontId="2" fillId="2" borderId="13" xfId="0" applyNumberFormat="1" applyFont="1" applyFill="1" applyBorder="1"/>
    <xf numFmtId="3" fontId="0" fillId="2" borderId="29" xfId="0" applyNumberFormat="1" applyFont="1" applyFill="1" applyBorder="1"/>
    <xf numFmtId="1" fontId="0" fillId="2" borderId="30" xfId="0" applyNumberFormat="1" applyFont="1" applyFill="1" applyBorder="1" applyAlignment="1">
      <alignment horizontal="center"/>
    </xf>
    <xf numFmtId="3" fontId="5" fillId="2" borderId="18" xfId="0" applyNumberFormat="1" applyFont="1" applyFill="1" applyBorder="1" applyAlignment="1">
      <alignment horizontal="center"/>
    </xf>
    <xf numFmtId="0" fontId="2" fillId="8" borderId="0" xfId="0" applyFont="1" applyFill="1" applyAlignment="1">
      <alignment horizontal="center"/>
    </xf>
    <xf numFmtId="0" fontId="24" fillId="0" borderId="0" xfId="0" applyFont="1"/>
    <xf numFmtId="1" fontId="0" fillId="0" borderId="0" xfId="0" applyNumberFormat="1" applyFont="1" applyAlignment="1">
      <alignment horizontal="center"/>
    </xf>
    <xf numFmtId="0" fontId="27" fillId="0" borderId="0" xfId="0" applyFont="1" applyAlignment="1">
      <alignment horizontal="center"/>
    </xf>
    <xf numFmtId="0" fontId="0" fillId="0" borderId="0" xfId="0" applyNumberFormat="1" applyFont="1" applyAlignment="1">
      <alignment horizontal="center"/>
    </xf>
    <xf numFmtId="0" fontId="16" fillId="0" borderId="0" xfId="0" applyFont="1" applyAlignment="1">
      <alignment horizontal="left"/>
    </xf>
    <xf numFmtId="3" fontId="0" fillId="0" borderId="27" xfId="0" applyNumberFormat="1" applyFont="1" applyBorder="1" applyAlignment="1">
      <alignment horizontal="right"/>
    </xf>
    <xf numFmtId="3" fontId="0" fillId="0" borderId="21" xfId="0" applyNumberFormat="1" applyFont="1" applyFill="1" applyBorder="1"/>
    <xf numFmtId="4" fontId="0" fillId="0" borderId="27" xfId="0" applyNumberFormat="1" applyFont="1" applyBorder="1" applyAlignment="1">
      <alignment horizontal="center"/>
    </xf>
    <xf numFmtId="3" fontId="17" fillId="6" borderId="21" xfId="7" applyNumberFormat="1" applyBorder="1"/>
    <xf numFmtId="3" fontId="0" fillId="0" borderId="14" xfId="0" applyNumberFormat="1" applyFont="1" applyFill="1" applyBorder="1"/>
    <xf numFmtId="4" fontId="0" fillId="0" borderId="12" xfId="0" applyNumberFormat="1" applyFont="1" applyBorder="1" applyAlignment="1">
      <alignment horizontal="center"/>
    </xf>
    <xf numFmtId="3" fontId="17" fillId="6" borderId="14" xfId="7" applyNumberFormat="1" applyBorder="1"/>
    <xf numFmtId="3" fontId="0" fillId="7" borderId="0" xfId="8" applyNumberFormat="1" applyFont="1" applyAlignment="1">
      <alignment horizontal="center"/>
    </xf>
    <xf numFmtId="170" fontId="1" fillId="7" borderId="0" xfId="8" applyNumberFormat="1" applyAlignment="1">
      <alignment horizontal="left"/>
    </xf>
    <xf numFmtId="3" fontId="14" fillId="4" borderId="0" xfId="4" applyNumberFormat="1" applyAlignment="1">
      <alignment horizontal="center"/>
    </xf>
    <xf numFmtId="3" fontId="0" fillId="0" borderId="29" xfId="0" applyNumberFormat="1" applyFont="1" applyBorder="1" applyAlignment="1">
      <alignment horizontal="right"/>
    </xf>
    <xf numFmtId="3" fontId="0" fillId="0" borderId="29" xfId="0" applyNumberFormat="1" applyFont="1" applyBorder="1"/>
    <xf numFmtId="3" fontId="0" fillId="0" borderId="29" xfId="0" quotePrefix="1" applyNumberFormat="1" applyFont="1" applyBorder="1" applyAlignment="1">
      <alignment horizontal="center"/>
    </xf>
    <xf numFmtId="9" fontId="0" fillId="0" borderId="0" xfId="1" applyFont="1" applyAlignment="1">
      <alignment horizontal="left"/>
    </xf>
    <xf numFmtId="9" fontId="0" fillId="0" borderId="1" xfId="1" applyFont="1" applyBorder="1" applyAlignment="1">
      <alignment horizontal="left"/>
    </xf>
    <xf numFmtId="171" fontId="0" fillId="0" borderId="1" xfId="6" applyNumberFormat="1" applyFont="1" applyBorder="1"/>
    <xf numFmtId="4" fontId="14" fillId="4" borderId="0" xfId="4" applyNumberFormat="1" applyAlignment="1">
      <alignment horizontal="center"/>
    </xf>
    <xf numFmtId="3" fontId="16" fillId="2" borderId="18" xfId="0" applyNumberFormat="1" applyFont="1" applyFill="1" applyBorder="1" applyAlignment="1">
      <alignment horizontal="left"/>
    </xf>
    <xf numFmtId="0" fontId="28" fillId="0" borderId="0" xfId="0" applyFont="1"/>
    <xf numFmtId="3" fontId="0" fillId="0" borderId="17" xfId="0" applyNumberFormat="1" applyFont="1" applyBorder="1" applyAlignment="1">
      <alignment horizontal="center"/>
    </xf>
    <xf numFmtId="3" fontId="0" fillId="0" borderId="26" xfId="0" applyNumberFormat="1" applyFont="1" applyBorder="1" applyAlignment="1">
      <alignment horizontal="center"/>
    </xf>
    <xf numFmtId="3" fontId="0" fillId="8" borderId="27" xfId="0" applyNumberFormat="1" applyFont="1" applyFill="1" applyBorder="1" applyAlignment="1">
      <alignment horizontal="center"/>
    </xf>
    <xf numFmtId="3" fontId="0" fillId="8" borderId="12" xfId="0" applyNumberFormat="1" applyFont="1" applyFill="1" applyBorder="1" applyAlignment="1">
      <alignment horizontal="center"/>
    </xf>
    <xf numFmtId="3" fontId="0" fillId="0" borderId="16" xfId="0" applyNumberFormat="1" applyFont="1" applyBorder="1" applyAlignment="1">
      <alignment horizontal="center"/>
    </xf>
    <xf numFmtId="3" fontId="16" fillId="0" borderId="26" xfId="0" applyNumberFormat="1" applyFont="1" applyBorder="1" applyAlignment="1">
      <alignment horizontal="center"/>
    </xf>
    <xf numFmtId="3" fontId="0" fillId="0" borderId="18" xfId="0" applyNumberFormat="1" applyFont="1" applyBorder="1" applyAlignment="1">
      <alignment horizontal="center"/>
    </xf>
    <xf numFmtId="3" fontId="0" fillId="0" borderId="19" xfId="0" applyNumberFormat="1" applyFont="1" applyBorder="1" applyAlignment="1">
      <alignment horizontal="center"/>
    </xf>
    <xf numFmtId="172" fontId="0" fillId="0" borderId="0" xfId="0" applyNumberFormat="1" applyFont="1" applyBorder="1" applyAlignment="1">
      <alignment horizontal="center"/>
    </xf>
    <xf numFmtId="172" fontId="14" fillId="4" borderId="27" xfId="4" applyNumberFormat="1" applyBorder="1" applyAlignment="1">
      <alignment horizontal="center"/>
    </xf>
    <xf numFmtId="3" fontId="16" fillId="0" borderId="0" xfId="0" applyNumberFormat="1" applyFont="1"/>
    <xf numFmtId="172" fontId="0" fillId="0" borderId="20" xfId="0" applyNumberFormat="1" applyFont="1" applyBorder="1" applyAlignment="1">
      <alignment horizontal="center"/>
    </xf>
    <xf numFmtId="172" fontId="14" fillId="4" borderId="12" xfId="4" applyNumberFormat="1" applyBorder="1" applyAlignment="1">
      <alignment horizontal="center"/>
    </xf>
    <xf numFmtId="172" fontId="0" fillId="0" borderId="29" xfId="0" applyNumberFormat="1" applyFont="1" applyBorder="1" applyAlignment="1">
      <alignment horizontal="center"/>
    </xf>
    <xf numFmtId="172" fontId="0" fillId="0" borderId="30" xfId="0" applyNumberFormat="1" applyFont="1" applyBorder="1" applyAlignment="1">
      <alignment horizontal="center"/>
    </xf>
    <xf numFmtId="172" fontId="16" fillId="0" borderId="0" xfId="0" applyNumberFormat="1" applyFont="1" applyAlignment="1">
      <alignment horizontal="center"/>
    </xf>
    <xf numFmtId="3" fontId="0" fillId="2" borderId="0" xfId="0" applyNumberFormat="1" applyFont="1" applyFill="1" applyAlignment="1">
      <alignment horizontal="center"/>
    </xf>
    <xf numFmtId="3" fontId="0" fillId="2" borderId="17" xfId="0" applyNumberFormat="1" applyFont="1" applyFill="1" applyBorder="1" applyAlignment="1">
      <alignment horizontal="center"/>
    </xf>
    <xf numFmtId="3" fontId="0" fillId="2" borderId="26" xfId="0" applyNumberFormat="1" applyFont="1" applyFill="1" applyBorder="1" applyAlignment="1">
      <alignment horizontal="center"/>
    </xf>
    <xf numFmtId="3" fontId="0" fillId="2" borderId="21" xfId="0" applyNumberFormat="1" applyFont="1" applyFill="1" applyBorder="1" applyAlignment="1">
      <alignment horizontal="center"/>
    </xf>
    <xf numFmtId="3" fontId="0" fillId="2" borderId="0" xfId="0" applyNumberFormat="1" applyFont="1" applyFill="1" applyBorder="1" applyAlignment="1">
      <alignment horizontal="center"/>
    </xf>
    <xf numFmtId="3" fontId="0" fillId="2" borderId="27" xfId="0" applyNumberFormat="1" applyFont="1" applyFill="1" applyBorder="1" applyAlignment="1">
      <alignment horizontal="center"/>
    </xf>
    <xf numFmtId="3" fontId="0" fillId="2" borderId="20" xfId="0" applyNumberFormat="1" applyFont="1" applyFill="1" applyBorder="1" applyAlignment="1">
      <alignment horizontal="center"/>
    </xf>
    <xf numFmtId="3" fontId="0" fillId="2" borderId="12" xfId="0" applyNumberFormat="1" applyFont="1" applyFill="1" applyBorder="1" applyAlignment="1">
      <alignment horizontal="center"/>
    </xf>
    <xf numFmtId="3" fontId="0" fillId="2" borderId="1" xfId="0" applyNumberFormat="1" applyFont="1" applyFill="1" applyBorder="1" applyAlignment="1">
      <alignment horizontal="center"/>
    </xf>
    <xf numFmtId="0" fontId="22" fillId="0" borderId="0" xfId="0" applyFont="1" applyAlignment="1">
      <alignment horizontal="center" vertical="center"/>
    </xf>
    <xf numFmtId="0" fontId="12" fillId="2" borderId="0" xfId="0" applyFont="1" applyFill="1" applyBorder="1" applyAlignment="1" applyProtection="1"/>
    <xf numFmtId="3" fontId="0" fillId="0" borderId="0" xfId="0" quotePrefix="1" applyNumberFormat="1" applyFont="1" applyAlignment="1">
      <alignment horizontal="right"/>
    </xf>
    <xf numFmtId="3" fontId="0" fillId="0" borderId="0" xfId="0" applyNumberFormat="1" applyAlignment="1">
      <alignment horizontal="center"/>
    </xf>
    <xf numFmtId="3" fontId="16" fillId="0" borderId="0" xfId="0" applyNumberFormat="1" applyFont="1" applyAlignment="1">
      <alignment horizontal="left"/>
    </xf>
    <xf numFmtId="3" fontId="16" fillId="0" borderId="0" xfId="0" applyNumberFormat="1" applyFont="1" applyAlignment="1">
      <alignment horizontal="center"/>
    </xf>
    <xf numFmtId="3" fontId="0" fillId="2" borderId="0" xfId="0" applyNumberFormat="1" applyFont="1" applyFill="1" applyAlignment="1">
      <alignment horizontal="right"/>
    </xf>
    <xf numFmtId="3" fontId="0" fillId="2" borderId="0" xfId="0" applyNumberFormat="1" applyFill="1" applyAlignment="1">
      <alignment horizontal="center"/>
    </xf>
    <xf numFmtId="3" fontId="16" fillId="2" borderId="0" xfId="0" applyNumberFormat="1" applyFont="1" applyFill="1"/>
    <xf numFmtId="3" fontId="0" fillId="2" borderId="16" xfId="0" applyNumberFormat="1" applyFont="1" applyFill="1" applyBorder="1" applyAlignment="1">
      <alignment horizontal="centerContinuous"/>
    </xf>
    <xf numFmtId="3" fontId="0" fillId="2" borderId="26" xfId="0" applyNumberFormat="1" applyFont="1" applyFill="1" applyBorder="1" applyAlignment="1">
      <alignment horizontal="centerContinuous"/>
    </xf>
    <xf numFmtId="3" fontId="16" fillId="0" borderId="14" xfId="0" applyNumberFormat="1" applyFont="1" applyBorder="1"/>
    <xf numFmtId="3" fontId="29" fillId="0" borderId="12" xfId="0" applyNumberFormat="1" applyFont="1" applyBorder="1"/>
    <xf numFmtId="3" fontId="1" fillId="7" borderId="0" xfId="8" applyNumberFormat="1" applyAlignment="1">
      <alignment horizontal="center"/>
    </xf>
    <xf numFmtId="4" fontId="0" fillId="0" borderId="0" xfId="0" applyNumberFormat="1" applyFont="1" applyAlignment="1">
      <alignment horizontal="left"/>
    </xf>
    <xf numFmtId="3" fontId="29" fillId="0" borderId="0" xfId="0" applyNumberFormat="1" applyFont="1" applyAlignment="1">
      <alignment horizontal="left"/>
    </xf>
    <xf numFmtId="172" fontId="14" fillId="4" borderId="0" xfId="4" applyNumberFormat="1" applyAlignment="1">
      <alignment horizontal="left"/>
    </xf>
    <xf numFmtId="0" fontId="24" fillId="0" borderId="0" xfId="0" applyFont="1" applyProtection="1">
      <protection locked="0"/>
    </xf>
    <xf numFmtId="0" fontId="31" fillId="0" borderId="0" xfId="0" applyFont="1" applyAlignment="1">
      <alignment horizontal="center" vertical="center"/>
    </xf>
    <xf numFmtId="0" fontId="31" fillId="0" borderId="0" xfId="0" applyFont="1" applyAlignment="1">
      <alignment horizontal="left" vertical="center" indent="1"/>
    </xf>
    <xf numFmtId="164" fontId="0" fillId="2" borderId="0" xfId="1" applyNumberFormat="1" applyFont="1" applyFill="1"/>
    <xf numFmtId="0" fontId="0" fillId="0" borderId="0" xfId="0" applyFont="1" applyAlignment="1" applyProtection="1">
      <alignment horizontal="center"/>
      <protection locked="0"/>
    </xf>
    <xf numFmtId="0" fontId="0" fillId="0" borderId="16" xfId="0" applyFont="1" applyBorder="1"/>
    <xf numFmtId="0" fontId="0" fillId="0" borderId="17" xfId="0" applyFont="1" applyBorder="1" applyAlignment="1">
      <alignment horizontal="center"/>
    </xf>
    <xf numFmtId="0" fontId="0" fillId="0" borderId="26" xfId="0" applyFont="1" applyBorder="1" applyAlignment="1">
      <alignment horizontal="center"/>
    </xf>
    <xf numFmtId="3" fontId="0" fillId="0" borderId="19" xfId="0" applyNumberFormat="1" applyFont="1" applyBorder="1" applyAlignment="1">
      <alignment horizontal="centerContinuous"/>
    </xf>
    <xf numFmtId="3" fontId="0" fillId="0" borderId="12" xfId="0" applyNumberFormat="1" applyFont="1" applyBorder="1" applyAlignment="1">
      <alignment horizontal="centerContinuous"/>
    </xf>
    <xf numFmtId="9" fontId="0" fillId="0" borderId="0" xfId="1" applyFont="1" applyBorder="1" applyAlignment="1">
      <alignment horizontal="center"/>
    </xf>
    <xf numFmtId="9" fontId="0" fillId="0" borderId="20" xfId="1" applyFont="1" applyBorder="1" applyAlignment="1">
      <alignment horizontal="center"/>
    </xf>
    <xf numFmtId="3" fontId="17" fillId="6" borderId="1" xfId="7" applyNumberFormat="1" applyBorder="1" applyAlignment="1">
      <alignment horizontal="center"/>
    </xf>
    <xf numFmtId="3" fontId="17" fillId="6" borderId="0" xfId="7" applyNumberFormat="1" applyAlignment="1">
      <alignment horizontal="left"/>
    </xf>
    <xf numFmtId="3" fontId="25" fillId="0" borderId="0" xfId="0" applyNumberFormat="1" applyFont="1" applyAlignment="1">
      <alignment horizontal="center"/>
    </xf>
    <xf numFmtId="4" fontId="14" fillId="4" borderId="0" xfId="4" applyNumberFormat="1" applyAlignment="1">
      <alignment horizontal="left"/>
    </xf>
    <xf numFmtId="3" fontId="15" fillId="5" borderId="0" xfId="5" applyNumberFormat="1" applyAlignment="1">
      <alignment horizontal="center"/>
    </xf>
    <xf numFmtId="4" fontId="15" fillId="5" borderId="0" xfId="5" applyNumberFormat="1" applyAlignment="1">
      <alignment horizontal="center"/>
    </xf>
    <xf numFmtId="3" fontId="0" fillId="8" borderId="0" xfId="0" applyNumberFormat="1" applyFill="1"/>
    <xf numFmtId="3" fontId="0" fillId="2" borderId="19" xfId="0" applyNumberFormat="1" applyFont="1" applyFill="1" applyBorder="1" applyAlignment="1">
      <alignment horizontal="centerContinuous"/>
    </xf>
    <xf numFmtId="3" fontId="0" fillId="2" borderId="12" xfId="0" applyNumberFormat="1" applyFont="1" applyFill="1" applyBorder="1" applyAlignment="1">
      <alignment horizontal="centerContinuous"/>
    </xf>
    <xf numFmtId="3" fontId="0" fillId="2" borderId="18" xfId="0" applyNumberFormat="1" applyFont="1" applyFill="1" applyBorder="1" applyAlignment="1">
      <alignment horizontal="centerContinuous"/>
    </xf>
    <xf numFmtId="3" fontId="0" fillId="2" borderId="27" xfId="0" applyNumberFormat="1" applyFont="1" applyFill="1" applyBorder="1" applyAlignment="1">
      <alignment horizontal="centerContinuous"/>
    </xf>
    <xf numFmtId="9" fontId="0" fillId="2" borderId="27" xfId="1" applyFont="1" applyFill="1" applyBorder="1" applyAlignment="1">
      <alignment horizontal="center"/>
    </xf>
    <xf numFmtId="9" fontId="0" fillId="2" borderId="12" xfId="1" applyFont="1" applyFill="1" applyBorder="1" applyAlignment="1">
      <alignment horizontal="center"/>
    </xf>
    <xf numFmtId="3" fontId="0" fillId="2" borderId="13" xfId="0" applyNumberFormat="1" applyFont="1" applyFill="1" applyBorder="1" applyAlignment="1">
      <alignment horizontal="center"/>
    </xf>
    <xf numFmtId="3" fontId="0" fillId="2" borderId="13" xfId="0" applyNumberFormat="1" applyFont="1" applyFill="1" applyBorder="1" applyAlignment="1">
      <alignment horizontal="centerContinuous"/>
    </xf>
    <xf numFmtId="3" fontId="0" fillId="2" borderId="30" xfId="0" applyNumberFormat="1" applyFont="1" applyFill="1" applyBorder="1" applyAlignment="1">
      <alignment horizontal="centerContinuous"/>
    </xf>
    <xf numFmtId="9" fontId="0" fillId="0" borderId="0" xfId="1" applyFont="1" applyAlignment="1">
      <alignment horizontal="center"/>
    </xf>
    <xf numFmtId="3" fontId="17" fillId="6" borderId="0" xfId="7" applyNumberFormat="1" applyAlignment="1">
      <alignment horizontal="center"/>
    </xf>
    <xf numFmtId="3" fontId="12" fillId="0" borderId="17" xfId="0" applyNumberFormat="1" applyFont="1" applyBorder="1" applyAlignment="1">
      <alignment horizontal="center"/>
    </xf>
    <xf numFmtId="3" fontId="29" fillId="0" borderId="17" xfId="0" applyNumberFormat="1" applyFont="1" applyBorder="1" applyAlignment="1">
      <alignment horizontal="center"/>
    </xf>
    <xf numFmtId="3" fontId="29" fillId="0" borderId="0" xfId="0" applyNumberFormat="1" applyFont="1" applyAlignment="1">
      <alignment horizontal="center"/>
    </xf>
    <xf numFmtId="164" fontId="1" fillId="7" borderId="0" xfId="8" applyNumberFormat="1" applyAlignment="1">
      <alignment horizontal="center"/>
    </xf>
    <xf numFmtId="3" fontId="12" fillId="2" borderId="0" xfId="0" applyNumberFormat="1" applyFont="1" applyFill="1" applyBorder="1" applyProtection="1"/>
    <xf numFmtId="3" fontId="1" fillId="7" borderId="0" xfId="8" applyNumberFormat="1"/>
    <xf numFmtId="3" fontId="27" fillId="0" borderId="0" xfId="0" applyNumberFormat="1" applyFont="1" applyAlignment="1">
      <alignment horizontal="center"/>
    </xf>
    <xf numFmtId="0" fontId="12" fillId="2" borderId="16" xfId="0" applyFont="1" applyFill="1" applyBorder="1" applyProtection="1"/>
    <xf numFmtId="0" fontId="29" fillId="0" borderId="0" xfId="0" applyFont="1"/>
    <xf numFmtId="0" fontId="36" fillId="8" borderId="0" xfId="0" applyFont="1" applyFill="1" applyBorder="1" applyAlignment="1">
      <alignment horizontal="center"/>
    </xf>
    <xf numFmtId="0" fontId="16" fillId="8" borderId="0" xfId="0" applyFont="1" applyFill="1"/>
    <xf numFmtId="0" fontId="0" fillId="8" borderId="20" xfId="0" applyFill="1" applyBorder="1" applyAlignment="1">
      <alignment horizontal="center"/>
    </xf>
    <xf numFmtId="0" fontId="23" fillId="8" borderId="20" xfId="0" applyFont="1" applyFill="1" applyBorder="1"/>
    <xf numFmtId="0" fontId="23" fillId="0" borderId="0" xfId="0" applyFont="1" applyAlignment="1">
      <alignment horizontal="center"/>
    </xf>
    <xf numFmtId="3" fontId="12" fillId="0" borderId="0" xfId="0" applyNumberFormat="1" applyFont="1"/>
    <xf numFmtId="0" fontId="12" fillId="10" borderId="31" xfId="0" applyFont="1" applyFill="1" applyBorder="1" applyProtection="1"/>
    <xf numFmtId="0" fontId="12" fillId="10" borderId="32" xfId="0" applyFont="1" applyFill="1" applyBorder="1" applyProtection="1"/>
    <xf numFmtId="0" fontId="12" fillId="10" borderId="33" xfId="0" applyFont="1" applyFill="1" applyBorder="1" applyProtection="1"/>
    <xf numFmtId="0" fontId="36" fillId="2" borderId="0" xfId="0" applyFont="1" applyFill="1" applyBorder="1" applyAlignment="1">
      <alignment horizontal="center"/>
    </xf>
    <xf numFmtId="0" fontId="16" fillId="2" borderId="0" xfId="0" applyFont="1" applyFill="1"/>
    <xf numFmtId="0" fontId="0" fillId="2" borderId="20" xfId="0" applyFill="1" applyBorder="1" applyAlignment="1">
      <alignment horizontal="center"/>
    </xf>
    <xf numFmtId="0" fontId="23" fillId="2" borderId="20" xfId="0" applyFont="1" applyFill="1" applyBorder="1"/>
    <xf numFmtId="0" fontId="23" fillId="2" borderId="0" xfId="0" applyFont="1" applyFill="1" applyAlignment="1">
      <alignment horizontal="center"/>
    </xf>
    <xf numFmtId="3" fontId="12" fillId="2" borderId="0" xfId="0" applyNumberFormat="1" applyFont="1" applyFill="1"/>
    <xf numFmtId="3" fontId="2" fillId="0" borderId="0" xfId="0" applyNumberFormat="1" applyFont="1" applyAlignment="1">
      <alignment horizontal="center"/>
    </xf>
    <xf numFmtId="3" fontId="14" fillId="4" borderId="0" xfId="4" applyNumberFormat="1"/>
    <xf numFmtId="3" fontId="0" fillId="0" borderId="0" xfId="0" quotePrefix="1" applyNumberFormat="1" applyAlignment="1">
      <alignment horizontal="center"/>
    </xf>
    <xf numFmtId="3" fontId="17" fillId="6" borderId="0" xfId="7" applyNumberFormat="1"/>
    <xf numFmtId="3" fontId="0" fillId="0" borderId="29" xfId="0" applyNumberFormat="1" applyBorder="1"/>
    <xf numFmtId="3" fontId="0" fillId="0" borderId="20" xfId="0" applyNumberFormat="1" applyBorder="1"/>
    <xf numFmtId="3" fontId="0" fillId="0" borderId="20" xfId="0" applyNumberFormat="1" applyBorder="1" applyAlignment="1">
      <alignment horizontal="center"/>
    </xf>
    <xf numFmtId="0" fontId="0" fillId="2" borderId="0" xfId="0" applyNumberFormat="1" applyFill="1"/>
    <xf numFmtId="0" fontId="0" fillId="2" borderId="1" xfId="0" applyNumberFormat="1" applyFill="1" applyBorder="1" applyAlignment="1">
      <alignment horizontal="center"/>
    </xf>
    <xf numFmtId="3" fontId="0" fillId="2" borderId="1" xfId="0" applyNumberFormat="1" applyFill="1" applyBorder="1" applyAlignment="1">
      <alignment horizontal="center"/>
    </xf>
    <xf numFmtId="0" fontId="6" fillId="0" borderId="0" xfId="0" applyFont="1"/>
    <xf numFmtId="3" fontId="2" fillId="0" borderId="0" xfId="0" quotePrefix="1" applyNumberFormat="1" applyFont="1" applyAlignment="1">
      <alignment horizontal="center"/>
    </xf>
    <xf numFmtId="0" fontId="0" fillId="0" borderId="13" xfId="0" quotePrefix="1" applyFont="1" applyBorder="1" applyAlignment="1">
      <alignment horizontal="center"/>
    </xf>
    <xf numFmtId="0" fontId="0" fillId="0" borderId="29" xfId="0" quotePrefix="1" applyFont="1" applyBorder="1" applyAlignment="1">
      <alignment horizontal="center"/>
    </xf>
    <xf numFmtId="0" fontId="0" fillId="0" borderId="30" xfId="0" quotePrefix="1" applyFont="1" applyBorder="1" applyAlignment="1">
      <alignment horizontal="center"/>
    </xf>
    <xf numFmtId="0" fontId="5" fillId="0" borderId="1" xfId="0" quotePrefix="1" applyFont="1" applyBorder="1" applyAlignment="1">
      <alignment horizontal="center"/>
    </xf>
    <xf numFmtId="0" fontId="16" fillId="0" borderId="16" xfId="0" applyFont="1" applyBorder="1"/>
    <xf numFmtId="167" fontId="17" fillId="6" borderId="16" xfId="7" applyNumberFormat="1" applyBorder="1" applyAlignment="1">
      <alignment horizontal="center"/>
    </xf>
    <xf numFmtId="167" fontId="17" fillId="6" borderId="17" xfId="7" applyNumberFormat="1" applyBorder="1" applyAlignment="1">
      <alignment horizontal="center"/>
    </xf>
    <xf numFmtId="167" fontId="17" fillId="6" borderId="26" xfId="7" applyNumberFormat="1" applyBorder="1" applyAlignment="1">
      <alignment horizontal="center"/>
    </xf>
    <xf numFmtId="0" fontId="12" fillId="0" borderId="18" xfId="0" quotePrefix="1" applyFont="1" applyBorder="1"/>
    <xf numFmtId="167" fontId="17" fillId="6" borderId="18" xfId="7" applyNumberFormat="1" applyBorder="1" applyAlignment="1">
      <alignment horizontal="center"/>
    </xf>
    <xf numFmtId="167" fontId="17" fillId="6" borderId="0" xfId="7" applyNumberFormat="1" applyBorder="1" applyAlignment="1">
      <alignment horizontal="center"/>
    </xf>
    <xf numFmtId="3" fontId="17" fillId="6" borderId="27" xfId="7" applyNumberFormat="1" applyBorder="1"/>
    <xf numFmtId="3" fontId="12" fillId="0" borderId="19" xfId="0" applyNumberFormat="1" applyFont="1" applyBorder="1"/>
    <xf numFmtId="3" fontId="17" fillId="6" borderId="0" xfId="7" applyNumberFormat="1" applyBorder="1"/>
    <xf numFmtId="3" fontId="17" fillId="6" borderId="19" xfId="7" applyNumberFormat="1" applyBorder="1"/>
    <xf numFmtId="3" fontId="17" fillId="6" borderId="20" xfId="7" applyNumberFormat="1" applyBorder="1"/>
    <xf numFmtId="3" fontId="17" fillId="6" borderId="12" xfId="7" applyNumberFormat="1" applyBorder="1"/>
    <xf numFmtId="3" fontId="39" fillId="0" borderId="1" xfId="0" applyNumberFormat="1" applyFont="1" applyBorder="1" applyAlignment="1">
      <alignment horizontal="center"/>
    </xf>
    <xf numFmtId="172" fontId="35" fillId="0" borderId="13" xfId="0" applyNumberFormat="1" applyFont="1" applyBorder="1" applyAlignment="1">
      <alignment horizontal="center"/>
    </xf>
    <xf numFmtId="172" fontId="35" fillId="0" borderId="29" xfId="0" applyNumberFormat="1" applyFont="1" applyBorder="1" applyAlignment="1">
      <alignment horizontal="center"/>
    </xf>
    <xf numFmtId="172" fontId="35" fillId="0" borderId="30" xfId="0" applyNumberFormat="1" applyFont="1" applyBorder="1" applyAlignment="1">
      <alignment horizontal="center"/>
    </xf>
    <xf numFmtId="172" fontId="5" fillId="0" borderId="1" xfId="0" applyNumberFormat="1" applyFont="1" applyBorder="1" applyAlignment="1">
      <alignment horizontal="center"/>
    </xf>
    <xf numFmtId="0" fontId="0" fillId="0" borderId="1" xfId="0" applyFont="1" applyBorder="1"/>
    <xf numFmtId="0" fontId="0" fillId="0" borderId="13"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3" fontId="29" fillId="0" borderId="1" xfId="0" applyNumberFormat="1" applyFont="1" applyBorder="1"/>
    <xf numFmtId="172" fontId="29" fillId="0" borderId="29" xfId="0" applyNumberFormat="1" applyFont="1" applyBorder="1" applyAlignment="1">
      <alignment horizontal="center"/>
    </xf>
    <xf numFmtId="172" fontId="5" fillId="0" borderId="30" xfId="0" applyNumberFormat="1" applyFont="1" applyBorder="1" applyAlignment="1">
      <alignment horizontal="center"/>
    </xf>
    <xf numFmtId="3" fontId="11" fillId="0" borderId="0" xfId="0" quotePrefix="1" applyNumberFormat="1" applyFont="1" applyAlignment="1">
      <alignment horizontal="center"/>
    </xf>
    <xf numFmtId="3" fontId="12" fillId="0" borderId="13" xfId="0" applyNumberFormat="1" applyFont="1" applyBorder="1"/>
    <xf numFmtId="3" fontId="6" fillId="0" borderId="0" xfId="0" quotePrefix="1" applyNumberFormat="1" applyFont="1"/>
    <xf numFmtId="0" fontId="2" fillId="0" borderId="13" xfId="0" quotePrefix="1" applyFont="1" applyBorder="1" applyAlignment="1">
      <alignment horizontal="center"/>
    </xf>
    <xf numFmtId="0" fontId="2" fillId="0" borderId="29" xfId="0" quotePrefix="1" applyFont="1" applyBorder="1" applyAlignment="1">
      <alignment horizontal="center"/>
    </xf>
    <xf numFmtId="0" fontId="2" fillId="0" borderId="30" xfId="0" quotePrefix="1" applyFont="1" applyBorder="1" applyAlignment="1">
      <alignment horizontal="center"/>
    </xf>
    <xf numFmtId="3" fontId="40" fillId="0" borderId="1" xfId="0" applyNumberFormat="1" applyFont="1" applyBorder="1"/>
    <xf numFmtId="3" fontId="37" fillId="0" borderId="29" xfId="0" applyNumberFormat="1" applyFont="1" applyBorder="1" applyAlignment="1">
      <alignment horizontal="center"/>
    </xf>
    <xf numFmtId="3" fontId="37" fillId="0" borderId="30" xfId="0" applyNumberFormat="1" applyFont="1" applyBorder="1" applyAlignment="1">
      <alignment horizontal="center"/>
    </xf>
    <xf numFmtId="3" fontId="0" fillId="0" borderId="1" xfId="0" applyNumberFormat="1" applyFont="1" applyBorder="1"/>
    <xf numFmtId="3" fontId="12" fillId="0" borderId="13" xfId="4" applyNumberFormat="1" applyFont="1" applyFill="1" applyBorder="1" applyAlignment="1">
      <alignment horizontal="center"/>
    </xf>
    <xf numFmtId="3" fontId="12" fillId="0" borderId="29" xfId="4" applyNumberFormat="1" applyFont="1" applyFill="1" applyBorder="1" applyAlignment="1">
      <alignment horizontal="center"/>
    </xf>
    <xf numFmtId="3" fontId="0" fillId="2" borderId="0" xfId="0" applyNumberFormat="1" applyFont="1" applyFill="1" applyAlignment="1">
      <alignment horizontal="centerContinuous"/>
    </xf>
    <xf numFmtId="3" fontId="23" fillId="2" borderId="29" xfId="0" applyNumberFormat="1" applyFont="1" applyFill="1" applyBorder="1" applyAlignment="1">
      <alignment horizontal="right"/>
    </xf>
    <xf numFmtId="3" fontId="23" fillId="2" borderId="30" xfId="0" applyNumberFormat="1" applyFont="1" applyFill="1" applyBorder="1" applyAlignment="1">
      <alignment horizontal="right"/>
    </xf>
    <xf numFmtId="1" fontId="23" fillId="2" borderId="21" xfId="0" applyNumberFormat="1" applyFont="1" applyFill="1" applyBorder="1" applyAlignment="1">
      <alignment horizontal="center"/>
    </xf>
    <xf numFmtId="3" fontId="37" fillId="2" borderId="27" xfId="0" applyNumberFormat="1" applyFont="1" applyFill="1" applyBorder="1"/>
    <xf numFmtId="3" fontId="37" fillId="2" borderId="0" xfId="0" applyNumberFormat="1" applyFont="1" applyFill="1" applyBorder="1"/>
    <xf numFmtId="1" fontId="23" fillId="2" borderId="14" xfId="0" applyNumberFormat="1" applyFont="1" applyFill="1" applyBorder="1" applyAlignment="1">
      <alignment horizontal="center"/>
    </xf>
    <xf numFmtId="3" fontId="37" fillId="2" borderId="20" xfId="0" applyNumberFormat="1" applyFont="1" applyFill="1" applyBorder="1"/>
    <xf numFmtId="0" fontId="6" fillId="2" borderId="0" xfId="0" applyFont="1" applyFill="1"/>
    <xf numFmtId="1" fontId="0" fillId="2" borderId="1" xfId="0" applyNumberFormat="1" applyFont="1" applyFill="1" applyBorder="1" applyAlignment="1">
      <alignment horizontal="center"/>
    </xf>
    <xf numFmtId="0" fontId="30" fillId="12" borderId="34" xfId="0" applyFont="1" applyFill="1" applyBorder="1" applyAlignment="1">
      <alignment horizontal="center" vertical="center" wrapText="1"/>
    </xf>
    <xf numFmtId="1" fontId="30" fillId="12" borderId="34" xfId="0" applyNumberFormat="1" applyFont="1" applyFill="1" applyBorder="1" applyAlignment="1">
      <alignment horizontal="center" vertical="center" wrapText="1"/>
    </xf>
    <xf numFmtId="166" fontId="0" fillId="2" borderId="0" xfId="0" applyNumberFormat="1" applyFill="1"/>
    <xf numFmtId="0" fontId="42" fillId="0" borderId="0" xfId="0" applyFont="1" applyAlignment="1">
      <alignment horizontal="left" vertical="center" indent="1"/>
    </xf>
    <xf numFmtId="0" fontId="31" fillId="12" borderId="34" xfId="0" applyFont="1" applyFill="1" applyBorder="1" applyAlignment="1">
      <alignment horizontal="center" vertical="center" wrapText="1"/>
    </xf>
    <xf numFmtId="0" fontId="31" fillId="12" borderId="34" xfId="0" quotePrefix="1" applyNumberFormat="1" applyFont="1" applyFill="1" applyBorder="1" applyAlignment="1">
      <alignment horizontal="center" vertical="center" wrapText="1"/>
    </xf>
    <xf numFmtId="167" fontId="22" fillId="11" borderId="34" xfId="0" applyNumberFormat="1" applyFont="1" applyFill="1" applyBorder="1" applyAlignment="1">
      <alignment vertical="center" wrapText="1"/>
    </xf>
    <xf numFmtId="4" fontId="1" fillId="7" borderId="0" xfId="8" applyNumberFormat="1" applyAlignment="1">
      <alignment horizontal="center"/>
    </xf>
    <xf numFmtId="3" fontId="0" fillId="0" borderId="0" xfId="0" applyNumberFormat="1" applyAlignment="1">
      <alignment horizontal="right"/>
    </xf>
    <xf numFmtId="4" fontId="17" fillId="6" borderId="0" xfId="7" applyNumberFormat="1" applyAlignment="1">
      <alignment horizontal="center"/>
    </xf>
    <xf numFmtId="4" fontId="0" fillId="0" borderId="0" xfId="0" applyNumberFormat="1" applyAlignment="1">
      <alignment horizontal="center"/>
    </xf>
    <xf numFmtId="173" fontId="0" fillId="0" borderId="0" xfId="0" applyNumberFormat="1" applyAlignment="1">
      <alignment horizontal="center"/>
    </xf>
    <xf numFmtId="1" fontId="0" fillId="0" borderId="0" xfId="0" applyNumberFormat="1" applyAlignment="1">
      <alignment horizontal="center"/>
    </xf>
    <xf numFmtId="3" fontId="0" fillId="2" borderId="16" xfId="0" applyNumberFormat="1" applyFill="1" applyBorder="1"/>
    <xf numFmtId="2" fontId="0" fillId="2" borderId="17" xfId="0" applyNumberFormat="1" applyFill="1" applyBorder="1" applyAlignment="1">
      <alignment horizontal="right"/>
    </xf>
    <xf numFmtId="1" fontId="0" fillId="2" borderId="26" xfId="0" applyNumberFormat="1" applyFill="1" applyBorder="1" applyAlignment="1">
      <alignment horizontal="left"/>
    </xf>
    <xf numFmtId="3" fontId="0" fillId="2" borderId="26" xfId="0" applyNumberFormat="1" applyFill="1" applyBorder="1"/>
    <xf numFmtId="0" fontId="0" fillId="2" borderId="18" xfId="0" applyFill="1" applyBorder="1"/>
    <xf numFmtId="2" fontId="0" fillId="2" borderId="0" xfId="0" applyNumberFormat="1" applyFill="1" applyBorder="1" applyAlignment="1">
      <alignment horizontal="right"/>
    </xf>
    <xf numFmtId="1" fontId="0" fillId="2" borderId="27" xfId="0" applyNumberFormat="1" applyFill="1" applyBorder="1" applyAlignment="1">
      <alignment horizontal="left"/>
    </xf>
    <xf numFmtId="3" fontId="0" fillId="2" borderId="27" xfId="0" applyNumberFormat="1" applyFill="1" applyBorder="1"/>
    <xf numFmtId="2" fontId="0" fillId="2" borderId="0" xfId="0" applyNumberFormat="1" applyFill="1"/>
    <xf numFmtId="3" fontId="0" fillId="2" borderId="16" xfId="0" applyNumberFormat="1" applyFill="1" applyBorder="1" applyAlignment="1">
      <alignment horizontal="right"/>
    </xf>
    <xf numFmtId="1" fontId="0" fillId="2" borderId="26" xfId="0" applyNumberFormat="1" applyFill="1" applyBorder="1" applyAlignment="1">
      <alignment horizontal="center"/>
    </xf>
    <xf numFmtId="3" fontId="0" fillId="2" borderId="26" xfId="0" applyNumberFormat="1" applyFill="1" applyBorder="1" applyAlignment="1">
      <alignment horizontal="center"/>
    </xf>
    <xf numFmtId="0" fontId="0" fillId="2" borderId="19" xfId="0" applyFill="1" applyBorder="1"/>
    <xf numFmtId="0" fontId="0" fillId="2" borderId="20" xfId="0" applyFill="1" applyBorder="1" applyAlignment="1">
      <alignment horizontal="right"/>
    </xf>
    <xf numFmtId="0" fontId="0" fillId="2" borderId="12" xfId="0" applyFill="1" applyBorder="1" applyAlignment="1">
      <alignment horizontal="left"/>
    </xf>
    <xf numFmtId="2" fontId="0" fillId="2" borderId="12" xfId="0" applyNumberFormat="1" applyFill="1" applyBorder="1"/>
    <xf numFmtId="3" fontId="0" fillId="2" borderId="19" xfId="0" applyNumberFormat="1" applyFill="1" applyBorder="1" applyAlignment="1">
      <alignment horizontal="right"/>
    </xf>
    <xf numFmtId="1" fontId="0" fillId="2" borderId="12" xfId="0" applyNumberFormat="1" applyFill="1" applyBorder="1" applyAlignment="1">
      <alignment horizontal="center"/>
    </xf>
    <xf numFmtId="3" fontId="0" fillId="2" borderId="18" xfId="0" applyNumberFormat="1" applyFill="1" applyBorder="1"/>
    <xf numFmtId="0" fontId="0" fillId="0" borderId="0" xfId="0" applyFont="1" applyAlignment="1" applyProtection="1">
      <alignment horizontal="left"/>
      <protection locked="0"/>
    </xf>
    <xf numFmtId="3" fontId="0" fillId="0" borderId="12" xfId="0" applyNumberFormat="1" applyBorder="1" applyAlignment="1">
      <alignment horizontal="center"/>
    </xf>
    <xf numFmtId="1" fontId="0" fillId="0" borderId="27" xfId="0" applyNumberFormat="1" applyBorder="1" applyAlignment="1">
      <alignment horizontal="center"/>
    </xf>
    <xf numFmtId="172" fontId="0" fillId="0" borderId="0" xfId="0" applyNumberFormat="1" applyAlignment="1">
      <alignment horizontal="center"/>
    </xf>
    <xf numFmtId="3" fontId="0" fillId="0" borderId="26" xfId="0" applyNumberFormat="1" applyBorder="1"/>
    <xf numFmtId="3" fontId="0" fillId="0" borderId="17" xfId="0" applyNumberFormat="1" applyBorder="1"/>
    <xf numFmtId="3" fontId="46" fillId="0" borderId="17" xfId="0" applyNumberFormat="1" applyFont="1" applyBorder="1"/>
    <xf numFmtId="0" fontId="0" fillId="0" borderId="12" xfId="0" applyBorder="1" applyAlignment="1">
      <alignment horizontal="center"/>
    </xf>
    <xf numFmtId="3" fontId="0" fillId="0" borderId="20" xfId="0" quotePrefix="1" applyNumberFormat="1" applyBorder="1" applyAlignment="1">
      <alignment horizontal="center"/>
    </xf>
    <xf numFmtId="3" fontId="47" fillId="0" borderId="17" xfId="0" applyNumberFormat="1" applyFont="1" applyBorder="1" applyAlignment="1">
      <alignment horizontal="center"/>
    </xf>
    <xf numFmtId="1" fontId="27" fillId="0" borderId="0" xfId="0" applyNumberFormat="1" applyFont="1" applyAlignment="1">
      <alignment horizontal="center"/>
    </xf>
    <xf numFmtId="3" fontId="46" fillId="0" borderId="0" xfId="0" applyNumberFormat="1" applyFont="1" applyAlignment="1">
      <alignment horizontal="center"/>
    </xf>
    <xf numFmtId="3" fontId="47" fillId="0" borderId="0" xfId="0" applyNumberFormat="1" applyFont="1" applyAlignment="1">
      <alignment horizontal="center"/>
    </xf>
    <xf numFmtId="10" fontId="39" fillId="0" borderId="0" xfId="1" applyNumberFormat="1" applyFont="1" applyAlignment="1">
      <alignment horizontal="center"/>
    </xf>
    <xf numFmtId="3" fontId="0" fillId="2" borderId="15" xfId="0" applyNumberFormat="1" applyFill="1" applyBorder="1" applyAlignment="1">
      <alignment horizontal="center"/>
    </xf>
    <xf numFmtId="3" fontId="0" fillId="2" borderId="17" xfId="0" applyNumberFormat="1" applyFill="1" applyBorder="1" applyAlignment="1">
      <alignment horizontal="center"/>
    </xf>
    <xf numFmtId="2" fontId="0" fillId="2" borderId="21" xfId="0" applyNumberFormat="1" applyFill="1" applyBorder="1" applyAlignment="1">
      <alignment horizontal="center"/>
    </xf>
    <xf numFmtId="2" fontId="0" fillId="2" borderId="0" xfId="0" applyNumberFormat="1" applyFill="1" applyBorder="1" applyAlignment="1">
      <alignment horizontal="center"/>
    </xf>
    <xf numFmtId="2" fontId="0" fillId="2" borderId="27" xfId="0" applyNumberFormat="1" applyFill="1" applyBorder="1" applyAlignment="1">
      <alignment horizontal="center"/>
    </xf>
    <xf numFmtId="2" fontId="0" fillId="2" borderId="0" xfId="0" applyNumberFormat="1" applyFill="1" applyAlignment="1">
      <alignment horizontal="center"/>
    </xf>
    <xf numFmtId="3" fontId="0" fillId="2" borderId="14" xfId="0" applyNumberFormat="1" applyFill="1" applyBorder="1" applyAlignment="1">
      <alignment horizontal="center"/>
    </xf>
    <xf numFmtId="3" fontId="0" fillId="2" borderId="20" xfId="0" applyNumberFormat="1" applyFill="1" applyBorder="1" applyAlignment="1">
      <alignment horizontal="center"/>
    </xf>
    <xf numFmtId="3" fontId="0" fillId="2" borderId="12" xfId="0" applyNumberFormat="1" applyFill="1" applyBorder="1" applyAlignment="1">
      <alignment horizontal="center"/>
    </xf>
    <xf numFmtId="3" fontId="0" fillId="2" borderId="30" xfId="0" applyNumberFormat="1" applyFill="1" applyBorder="1" applyAlignment="1">
      <alignment horizontal="center"/>
    </xf>
    <xf numFmtId="1" fontId="0" fillId="2" borderId="21" xfId="0" applyNumberFormat="1" applyFill="1" applyBorder="1" applyAlignment="1">
      <alignment horizontal="center"/>
    </xf>
    <xf numFmtId="3" fontId="0" fillId="2" borderId="0" xfId="0" applyNumberFormat="1" applyFill="1" applyBorder="1" applyAlignment="1">
      <alignment horizontal="center"/>
    </xf>
    <xf numFmtId="4" fontId="0" fillId="2" borderId="0" xfId="0" applyNumberFormat="1" applyFill="1" applyBorder="1" applyAlignment="1">
      <alignment horizontal="center"/>
    </xf>
    <xf numFmtId="172" fontId="0" fillId="2" borderId="27" xfId="0" applyNumberFormat="1" applyFill="1" applyBorder="1" applyAlignment="1">
      <alignment horizontal="center"/>
    </xf>
    <xf numFmtId="3" fontId="0" fillId="2" borderId="27" xfId="0" applyNumberFormat="1" applyFill="1" applyBorder="1" applyAlignment="1">
      <alignment horizontal="center"/>
    </xf>
    <xf numFmtId="1" fontId="0" fillId="2" borderId="14" xfId="0" applyNumberFormat="1" applyFill="1" applyBorder="1" applyAlignment="1">
      <alignment horizontal="center"/>
    </xf>
    <xf numFmtId="4" fontId="0" fillId="2" borderId="20" xfId="0" applyNumberFormat="1" applyFill="1" applyBorder="1" applyAlignment="1">
      <alignment horizontal="center"/>
    </xf>
    <xf numFmtId="172" fontId="0" fillId="2" borderId="12" xfId="0" applyNumberFormat="1" applyFill="1" applyBorder="1" applyAlignment="1">
      <alignment horizontal="center"/>
    </xf>
    <xf numFmtId="3" fontId="0" fillId="10" borderId="1" xfId="0" applyNumberFormat="1" applyFill="1" applyBorder="1" applyAlignment="1">
      <alignment horizontal="center"/>
    </xf>
    <xf numFmtId="1" fontId="0" fillId="10" borderId="1" xfId="0" applyNumberFormat="1" applyFill="1" applyBorder="1" applyAlignment="1">
      <alignment horizontal="center"/>
    </xf>
    <xf numFmtId="3" fontId="24" fillId="2" borderId="0" xfId="0" applyNumberFormat="1" applyFont="1" applyFill="1"/>
    <xf numFmtId="0" fontId="5" fillId="0" borderId="0" xfId="0" applyFont="1"/>
    <xf numFmtId="0" fontId="0" fillId="0" borderId="13" xfId="0" applyBorder="1" applyAlignment="1">
      <alignment horizontal="left"/>
    </xf>
    <xf numFmtId="0" fontId="0" fillId="0" borderId="29" xfId="0" applyBorder="1"/>
    <xf numFmtId="0" fontId="0" fillId="0" borderId="30" xfId="0" applyBorder="1"/>
    <xf numFmtId="0" fontId="0" fillId="2" borderId="0" xfId="0" applyFont="1" applyFill="1" applyBorder="1" applyAlignment="1">
      <alignment vertical="top"/>
    </xf>
    <xf numFmtId="3" fontId="0" fillId="13" borderId="0" xfId="0" applyNumberFormat="1" applyFont="1" applyFill="1" applyBorder="1" applyAlignment="1">
      <alignment horizontal="center" vertical="top" wrapText="1"/>
    </xf>
    <xf numFmtId="0" fontId="0" fillId="2" borderId="0" xfId="0" applyFont="1" applyFill="1" applyBorder="1" applyAlignment="1">
      <alignment horizontal="center" vertical="top" wrapText="1"/>
    </xf>
    <xf numFmtId="3" fontId="0" fillId="2" borderId="0" xfId="0" applyNumberFormat="1" applyFont="1" applyFill="1" applyBorder="1" applyAlignment="1">
      <alignment horizontal="center" vertical="top" wrapText="1"/>
    </xf>
    <xf numFmtId="0" fontId="0" fillId="2" borderId="17" xfId="0" applyFont="1" applyFill="1" applyBorder="1" applyAlignment="1">
      <alignment horizontal="center" vertical="top" wrapText="1"/>
    </xf>
    <xf numFmtId="0" fontId="0" fillId="2" borderId="26" xfId="0" applyFont="1" applyFill="1" applyBorder="1" applyAlignment="1">
      <alignment horizontal="center" vertical="top" wrapText="1"/>
    </xf>
    <xf numFmtId="3" fontId="0" fillId="2" borderId="27" xfId="0" applyNumberFormat="1" applyFont="1" applyFill="1" applyBorder="1" applyAlignment="1">
      <alignment horizontal="center" vertical="top" wrapText="1"/>
    </xf>
    <xf numFmtId="0" fontId="0" fillId="14" borderId="27" xfId="0" applyFont="1" applyFill="1" applyBorder="1" applyAlignment="1">
      <alignment horizontal="center" vertical="top" wrapText="1"/>
    </xf>
    <xf numFmtId="3" fontId="0" fillId="2" borderId="20" xfId="0" applyNumberFormat="1" applyFont="1" applyFill="1" applyBorder="1" applyAlignment="1">
      <alignment horizontal="center" vertical="top" wrapText="1"/>
    </xf>
    <xf numFmtId="0" fontId="0" fillId="2" borderId="20" xfId="0" applyFont="1" applyFill="1" applyBorder="1" applyAlignment="1">
      <alignment horizontal="center" vertical="top" wrapText="1"/>
    </xf>
    <xf numFmtId="0" fontId="0" fillId="14" borderId="20" xfId="0" applyFont="1" applyFill="1" applyBorder="1" applyAlignment="1">
      <alignment horizontal="center" vertical="top" wrapText="1"/>
    </xf>
    <xf numFmtId="0" fontId="0" fillId="14" borderId="12" xfId="0" applyFont="1" applyFill="1" applyBorder="1" applyAlignment="1">
      <alignment horizontal="center" vertical="top" wrapText="1"/>
    </xf>
    <xf numFmtId="0" fontId="0" fillId="2" borderId="12"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14" xfId="0" applyFont="1" applyFill="1" applyBorder="1" applyAlignment="1">
      <alignment horizontal="center" vertical="top" wrapText="1"/>
    </xf>
    <xf numFmtId="0" fontId="48" fillId="2" borderId="21" xfId="0" applyFont="1" applyFill="1" applyBorder="1" applyAlignment="1">
      <alignment horizontal="center" vertical="top" wrapText="1"/>
    </xf>
    <xf numFmtId="0" fontId="48" fillId="2" borderId="14" xfId="0" applyFont="1" applyFill="1" applyBorder="1" applyAlignment="1">
      <alignment horizontal="center" vertical="top" wrapText="1"/>
    </xf>
    <xf numFmtId="9" fontId="0" fillId="2" borderId="14" xfId="0" applyNumberFormat="1" applyFont="1" applyFill="1" applyBorder="1" applyAlignment="1">
      <alignment horizontal="center" vertical="top" wrapText="1"/>
    </xf>
    <xf numFmtId="9" fontId="0" fillId="2" borderId="12" xfId="0" applyNumberFormat="1" applyFont="1" applyFill="1" applyBorder="1" applyAlignment="1">
      <alignment horizontal="center" vertical="top" wrapText="1"/>
    </xf>
    <xf numFmtId="0" fontId="49" fillId="2" borderId="0" xfId="0" applyFont="1" applyFill="1" applyAlignment="1">
      <alignment horizontal="left" vertical="center" indent="1"/>
    </xf>
    <xf numFmtId="0" fontId="0" fillId="0" borderId="28" xfId="0" applyFont="1" applyBorder="1" applyAlignment="1">
      <alignment horizontal="left" vertical="top"/>
    </xf>
    <xf numFmtId="0" fontId="53" fillId="0" borderId="0" xfId="0" applyNumberFormat="1" applyFont="1" applyBorder="1" applyAlignment="1">
      <alignment horizontal="left" vertical="center" indent="1"/>
    </xf>
    <xf numFmtId="174" fontId="0" fillId="0" borderId="0" xfId="0" applyNumberFormat="1"/>
    <xf numFmtId="169" fontId="0" fillId="0" borderId="0" xfId="1" applyNumberFormat="1" applyFont="1"/>
    <xf numFmtId="0" fontId="0" fillId="0" borderId="17" xfId="0" applyBorder="1"/>
    <xf numFmtId="0" fontId="0" fillId="0" borderId="20" xfId="0" applyFont="1" applyBorder="1" applyAlignment="1">
      <alignment horizontal="center" vertical="top" wrapText="1"/>
    </xf>
    <xf numFmtId="0" fontId="0" fillId="0" borderId="17" xfId="0" applyFont="1" applyBorder="1" applyAlignment="1">
      <alignment horizontal="center" vertical="top" wrapText="1"/>
    </xf>
    <xf numFmtId="0" fontId="52" fillId="0" borderId="26" xfId="0" applyFont="1" applyBorder="1" applyAlignment="1">
      <alignment horizontal="center" vertical="top" wrapText="1"/>
    </xf>
    <xf numFmtId="0" fontId="0" fillId="0" borderId="15" xfId="0" applyBorder="1"/>
    <xf numFmtId="0" fontId="0" fillId="0" borderId="21" xfId="0" applyBorder="1" applyAlignment="1">
      <alignment horizontal="center"/>
    </xf>
    <xf numFmtId="0" fontId="48" fillId="0" borderId="21" xfId="0" applyFont="1" applyBorder="1" applyAlignment="1">
      <alignment horizontal="center" vertical="top" wrapText="1"/>
    </xf>
    <xf numFmtId="0" fontId="48" fillId="0" borderId="14" xfId="0" applyFont="1" applyBorder="1" applyAlignment="1">
      <alignment horizontal="center" vertical="top" wrapText="1"/>
    </xf>
    <xf numFmtId="0" fontId="0" fillId="0" borderId="26" xfId="0" applyFont="1" applyBorder="1" applyAlignment="1">
      <alignment horizontal="center" vertical="top" wrapText="1"/>
    </xf>
    <xf numFmtId="0" fontId="0" fillId="0" borderId="27" xfId="0" quotePrefix="1" applyFont="1" applyBorder="1" applyAlignment="1">
      <alignment horizontal="center" vertical="center" wrapText="1"/>
    </xf>
    <xf numFmtId="0" fontId="0" fillId="0" borderId="12" xfId="0" quotePrefix="1" applyFont="1" applyBorder="1" applyAlignment="1">
      <alignment horizontal="center" vertical="center" wrapText="1"/>
    </xf>
    <xf numFmtId="0" fontId="0" fillId="0" borderId="12" xfId="0" applyFont="1" applyBorder="1" applyAlignment="1">
      <alignment horizontal="center" vertical="top" wrapText="1"/>
    </xf>
    <xf numFmtId="0" fontId="12" fillId="0" borderId="0" xfId="0" applyFont="1"/>
    <xf numFmtId="0" fontId="12" fillId="0" borderId="0" xfId="0" quotePrefix="1" applyFont="1" applyAlignment="1">
      <alignment horizontal="center"/>
    </xf>
    <xf numFmtId="0" fontId="12" fillId="0" borderId="0" xfId="0" quotePrefix="1" applyFont="1"/>
    <xf numFmtId="3" fontId="17" fillId="6" borderId="29" xfId="7" applyNumberFormat="1" applyBorder="1" applyAlignment="1">
      <alignment horizontal="centerContinuous"/>
    </xf>
    <xf numFmtId="3" fontId="17" fillId="6" borderId="30" xfId="7" applyNumberFormat="1" applyBorder="1" applyAlignment="1">
      <alignment horizontal="right"/>
    </xf>
    <xf numFmtId="3" fontId="17" fillId="6" borderId="29" xfId="7" applyNumberFormat="1" applyBorder="1" applyAlignment="1">
      <alignment horizontal="center"/>
    </xf>
    <xf numFmtId="3" fontId="17" fillId="6" borderId="30" xfId="7" applyNumberFormat="1" applyBorder="1" applyAlignment="1">
      <alignment horizontal="center"/>
    </xf>
    <xf numFmtId="3" fontId="0" fillId="0" borderId="0" xfId="0" applyNumberFormat="1" applyAlignment="1">
      <alignment horizontal="centerContinuous"/>
    </xf>
    <xf numFmtId="1" fontId="0" fillId="8" borderId="0" xfId="0" applyNumberFormat="1" applyFill="1" applyAlignment="1">
      <alignment horizontal="center"/>
    </xf>
    <xf numFmtId="1" fontId="16" fillId="0" borderId="21" xfId="0" applyNumberFormat="1" applyFont="1" applyBorder="1" applyAlignment="1">
      <alignment horizontal="center"/>
    </xf>
    <xf numFmtId="3" fontId="0" fillId="0" borderId="0" xfId="0" applyNumberFormat="1" applyBorder="1" applyAlignment="1">
      <alignment horizontal="right"/>
    </xf>
    <xf numFmtId="3" fontId="0" fillId="0" borderId="27" xfId="0" quotePrefix="1" applyNumberFormat="1" applyBorder="1"/>
    <xf numFmtId="4" fontId="0" fillId="0" borderId="0" xfId="0" applyNumberFormat="1" applyBorder="1" applyAlignment="1">
      <alignment horizontal="center"/>
    </xf>
    <xf numFmtId="4" fontId="0" fillId="0" borderId="27" xfId="0" applyNumberFormat="1" applyBorder="1" applyAlignment="1">
      <alignment horizontal="center"/>
    </xf>
    <xf numFmtId="3" fontId="5" fillId="0" borderId="0" xfId="0" applyNumberFormat="1" applyFont="1"/>
    <xf numFmtId="1" fontId="16" fillId="0" borderId="14" xfId="0" applyNumberFormat="1" applyFont="1" applyBorder="1" applyAlignment="1">
      <alignment horizontal="center"/>
    </xf>
    <xf numFmtId="3" fontId="0" fillId="0" borderId="20" xfId="0" applyNumberFormat="1" applyBorder="1" applyAlignment="1">
      <alignment horizontal="right"/>
    </xf>
    <xf numFmtId="3" fontId="0" fillId="0" borderId="12" xfId="0" quotePrefix="1" applyNumberFormat="1" applyBorder="1"/>
    <xf numFmtId="4" fontId="0" fillId="0" borderId="20" xfId="0" applyNumberFormat="1" applyBorder="1" applyAlignment="1">
      <alignment horizontal="center"/>
    </xf>
    <xf numFmtId="4" fontId="0" fillId="0" borderId="12" xfId="0" applyNumberFormat="1" applyBorder="1" applyAlignment="1">
      <alignment horizontal="center"/>
    </xf>
    <xf numFmtId="3" fontId="5" fillId="0" borderId="0" xfId="0" applyNumberFormat="1" applyFont="1" applyAlignment="1">
      <alignment horizontal="center"/>
    </xf>
    <xf numFmtId="3" fontId="29" fillId="0" borderId="0" xfId="0" applyNumberFormat="1" applyFont="1" applyAlignment="1">
      <alignment horizontal="centerContinuous"/>
    </xf>
    <xf numFmtId="0" fontId="29" fillId="0" borderId="0" xfId="0" applyFont="1" applyAlignment="1">
      <alignment horizontal="centerContinuous"/>
    </xf>
    <xf numFmtId="3" fontId="29" fillId="0" borderId="0" xfId="0" quotePrefix="1" applyNumberFormat="1" applyFont="1" applyAlignment="1">
      <alignment horizontal="center"/>
    </xf>
    <xf numFmtId="3" fontId="29" fillId="0" borderId="0" xfId="0" applyNumberFormat="1" applyFont="1"/>
    <xf numFmtId="3" fontId="0" fillId="0" borderId="0" xfId="0" quotePrefix="1" applyNumberFormat="1"/>
    <xf numFmtId="173" fontId="29" fillId="0" borderId="0" xfId="0" applyNumberFormat="1" applyFont="1" applyAlignment="1">
      <alignment horizontal="centerContinuous"/>
    </xf>
    <xf numFmtId="173" fontId="29" fillId="0" borderId="0" xfId="0" applyNumberFormat="1" applyFont="1" applyAlignment="1">
      <alignment horizontal="center"/>
    </xf>
    <xf numFmtId="173" fontId="0" fillId="0" borderId="0" xfId="0" applyNumberFormat="1"/>
    <xf numFmtId="3" fontId="12" fillId="2" borderId="0" xfId="0" applyNumberFormat="1" applyFont="1" applyFill="1" applyAlignment="1">
      <alignment horizontal="center"/>
    </xf>
    <xf numFmtId="3" fontId="0" fillId="2" borderId="0" xfId="0" applyNumberFormat="1" applyFill="1" applyAlignment="1">
      <alignment horizontal="centerContinuous"/>
    </xf>
    <xf numFmtId="3" fontId="0" fillId="2" borderId="13" xfId="0" applyNumberFormat="1" applyFill="1" applyBorder="1" applyAlignment="1"/>
    <xf numFmtId="3" fontId="0" fillId="2" borderId="29" xfId="0" applyNumberFormat="1" applyFill="1" applyBorder="1" applyAlignment="1">
      <alignment horizontal="right"/>
    </xf>
    <xf numFmtId="1" fontId="12" fillId="2" borderId="30" xfId="7" applyNumberFormat="1" applyFont="1" applyFill="1" applyBorder="1" applyAlignment="1">
      <alignment horizontal="left"/>
    </xf>
    <xf numFmtId="3" fontId="12" fillId="2" borderId="30" xfId="4" applyNumberFormat="1" applyFont="1" applyFill="1" applyBorder="1" applyAlignment="1">
      <alignment horizontal="center"/>
    </xf>
    <xf numFmtId="3" fontId="5" fillId="2" borderId="0" xfId="4" applyNumberFormat="1" applyFont="1" applyFill="1" applyBorder="1" applyAlignment="1">
      <alignment horizontal="center"/>
    </xf>
    <xf numFmtId="0" fontId="16" fillId="2" borderId="13" xfId="0" applyFont="1" applyFill="1" applyBorder="1" applyAlignment="1">
      <alignment horizontal="centerContinuous"/>
    </xf>
    <xf numFmtId="0" fontId="16" fillId="2" borderId="29" xfId="0" applyFont="1" applyFill="1" applyBorder="1" applyAlignment="1">
      <alignment horizontal="centerContinuous"/>
    </xf>
    <xf numFmtId="0" fontId="16" fillId="2" borderId="30" xfId="0" applyFont="1" applyFill="1" applyBorder="1" applyAlignment="1">
      <alignment horizontal="centerContinuous"/>
    </xf>
    <xf numFmtId="0" fontId="0" fillId="2" borderId="1" xfId="0" applyFill="1" applyBorder="1" applyAlignment="1">
      <alignment horizontal="center"/>
    </xf>
    <xf numFmtId="3" fontId="0" fillId="2" borderId="17" xfId="0" quotePrefix="1" applyNumberFormat="1" applyFill="1" applyBorder="1"/>
    <xf numFmtId="4" fontId="0" fillId="2" borderId="26" xfId="0" applyNumberFormat="1" applyFill="1" applyBorder="1" applyAlignment="1">
      <alignment horizontal="center"/>
    </xf>
    <xf numFmtId="3" fontId="0" fillId="2" borderId="0" xfId="0" quotePrefix="1" applyNumberFormat="1" applyFill="1" applyBorder="1"/>
    <xf numFmtId="4" fontId="0" fillId="2" borderId="27" xfId="0" applyNumberFormat="1" applyFill="1" applyBorder="1" applyAlignment="1">
      <alignment horizontal="center"/>
    </xf>
    <xf numFmtId="3" fontId="0" fillId="2" borderId="19" xfId="0" applyNumberFormat="1" applyFill="1" applyBorder="1"/>
    <xf numFmtId="3" fontId="0" fillId="2" borderId="20" xfId="0" quotePrefix="1" applyNumberFormat="1" applyFill="1" applyBorder="1"/>
    <xf numFmtId="3" fontId="0" fillId="2" borderId="12" xfId="0" applyNumberFormat="1" applyFill="1" applyBorder="1"/>
    <xf numFmtId="4" fontId="0" fillId="2" borderId="12" xfId="0" applyNumberFormat="1" applyFill="1" applyBorder="1" applyAlignment="1">
      <alignment horizontal="center"/>
    </xf>
    <xf numFmtId="4" fontId="12" fillId="6" borderId="0" xfId="7" applyNumberFormat="1" applyFont="1"/>
    <xf numFmtId="4" fontId="17" fillId="6" borderId="0" xfId="7" applyNumberFormat="1"/>
    <xf numFmtId="4" fontId="12" fillId="0" borderId="0" xfId="7" applyNumberFormat="1" applyFont="1" applyFill="1"/>
    <xf numFmtId="4" fontId="0" fillId="0" borderId="0" xfId="0" applyNumberFormat="1"/>
    <xf numFmtId="3" fontId="0" fillId="0" borderId="15" xfId="0" applyNumberFormat="1" applyBorder="1"/>
    <xf numFmtId="3" fontId="0" fillId="0" borderId="17" xfId="0" applyNumberFormat="1" applyBorder="1" applyAlignment="1">
      <alignment horizontal="centerContinuous"/>
    </xf>
    <xf numFmtId="3" fontId="0" fillId="0" borderId="26" xfId="0" applyNumberFormat="1" applyBorder="1" applyAlignment="1">
      <alignment horizontal="centerContinuous"/>
    </xf>
    <xf numFmtId="2" fontId="0" fillId="0" borderId="14" xfId="0" applyNumberFormat="1" applyBorder="1" applyAlignment="1">
      <alignment horizontal="center"/>
    </xf>
    <xf numFmtId="1" fontId="0" fillId="0" borderId="20" xfId="0" applyNumberFormat="1" applyBorder="1" applyAlignment="1">
      <alignment horizontal="center"/>
    </xf>
    <xf numFmtId="1" fontId="0" fillId="0" borderId="12" xfId="0" applyNumberFormat="1" applyBorder="1" applyAlignment="1">
      <alignment horizontal="center"/>
    </xf>
    <xf numFmtId="3" fontId="0" fillId="8" borderId="0" xfId="0" applyNumberFormat="1" applyFill="1" applyAlignment="1">
      <alignment horizontal="center"/>
    </xf>
    <xf numFmtId="170" fontId="0" fillId="0" borderId="0" xfId="0" applyNumberFormat="1" applyFill="1" applyBorder="1" applyAlignment="1">
      <alignment horizontal="center"/>
    </xf>
    <xf numFmtId="170" fontId="0" fillId="0" borderId="27" xfId="0" applyNumberFormat="1" applyFill="1" applyBorder="1" applyAlignment="1">
      <alignment horizontal="center"/>
    </xf>
    <xf numFmtId="170" fontId="47" fillId="0" borderId="27" xfId="0" applyNumberFormat="1" applyFont="1" applyFill="1" applyBorder="1" applyAlignment="1">
      <alignment horizontal="center"/>
    </xf>
    <xf numFmtId="170" fontId="1" fillId="15" borderId="0" xfId="10" applyNumberFormat="1" applyBorder="1" applyAlignment="1">
      <alignment horizontal="center"/>
    </xf>
    <xf numFmtId="170" fontId="1" fillId="7" borderId="0" xfId="8" applyNumberFormat="1" applyBorder="1" applyAlignment="1">
      <alignment horizontal="center"/>
    </xf>
    <xf numFmtId="170" fontId="47" fillId="0" borderId="0" xfId="0" applyNumberFormat="1" applyFont="1" applyFill="1" applyBorder="1" applyAlignment="1">
      <alignment horizontal="center"/>
    </xf>
    <xf numFmtId="0" fontId="0" fillId="0" borderId="14" xfId="0" applyBorder="1" applyAlignment="1">
      <alignment horizontal="center"/>
    </xf>
    <xf numFmtId="170" fontId="0" fillId="0" borderId="20" xfId="0" applyNumberFormat="1" applyFill="1" applyBorder="1" applyAlignment="1">
      <alignment horizontal="center"/>
    </xf>
    <xf numFmtId="170" fontId="0" fillId="0" borderId="12" xfId="0" applyNumberFormat="1" applyFill="1" applyBorder="1" applyAlignment="1">
      <alignment horizontal="center"/>
    </xf>
    <xf numFmtId="170" fontId="47" fillId="0" borderId="20" xfId="0" applyNumberFormat="1" applyFont="1" applyFill="1" applyBorder="1" applyAlignment="1">
      <alignment horizontal="center"/>
    </xf>
    <xf numFmtId="170" fontId="1" fillId="15" borderId="0" xfId="10" applyNumberFormat="1" applyAlignment="1">
      <alignment horizontal="center"/>
    </xf>
    <xf numFmtId="170" fontId="1" fillId="7" borderId="0" xfId="8" applyNumberFormat="1" applyAlignment="1">
      <alignment horizontal="center"/>
    </xf>
    <xf numFmtId="0" fontId="29" fillId="0" borderId="0" xfId="0" applyFont="1" applyAlignment="1">
      <alignment horizontal="center"/>
    </xf>
    <xf numFmtId="164" fontId="0" fillId="0" borderId="0" xfId="1" applyNumberFormat="1" applyFont="1"/>
    <xf numFmtId="164" fontId="0" fillId="0" borderId="0" xfId="1" applyNumberFormat="1" applyFont="1" applyFill="1" applyBorder="1" applyAlignment="1">
      <alignment horizontal="center"/>
    </xf>
    <xf numFmtId="164" fontId="0" fillId="0" borderId="27" xfId="1" applyNumberFormat="1" applyFont="1" applyFill="1" applyBorder="1" applyAlignment="1">
      <alignment horizontal="center"/>
    </xf>
    <xf numFmtId="164" fontId="12" fillId="0" borderId="0" xfId="1" applyNumberFormat="1" applyFont="1" applyFill="1" applyBorder="1" applyAlignment="1">
      <alignment horizontal="center"/>
    </xf>
    <xf numFmtId="164" fontId="16" fillId="0" borderId="0" xfId="1" applyNumberFormat="1" applyFont="1" applyFill="1" applyBorder="1" applyAlignment="1">
      <alignment horizontal="center"/>
    </xf>
    <xf numFmtId="164" fontId="0" fillId="0" borderId="20" xfId="1" applyNumberFormat="1" applyFont="1" applyFill="1" applyBorder="1" applyAlignment="1">
      <alignment horizontal="center"/>
    </xf>
    <xf numFmtId="164" fontId="0" fillId="0" borderId="12" xfId="1" applyNumberFormat="1" applyFont="1" applyFill="1" applyBorder="1" applyAlignment="1">
      <alignment horizontal="center"/>
    </xf>
    <xf numFmtId="164" fontId="16" fillId="0" borderId="20" xfId="1" applyNumberFormat="1" applyFont="1" applyFill="1" applyBorder="1" applyAlignment="1">
      <alignment horizontal="center"/>
    </xf>
    <xf numFmtId="164" fontId="0" fillId="0" borderId="1" xfId="1" applyNumberFormat="1" applyFont="1" applyBorder="1" applyAlignment="1">
      <alignment horizontal="center"/>
    </xf>
    <xf numFmtId="4" fontId="0" fillId="7" borderId="0" xfId="8" applyNumberFormat="1" applyFont="1" applyAlignment="1">
      <alignment horizontal="center"/>
    </xf>
    <xf numFmtId="3" fontId="0" fillId="7" borderId="0" xfId="8" applyNumberFormat="1" applyFont="1"/>
    <xf numFmtId="170" fontId="0" fillId="0" borderId="0" xfId="0" applyNumberFormat="1" applyAlignment="1">
      <alignment horizontal="center"/>
    </xf>
    <xf numFmtId="3" fontId="0" fillId="0" borderId="0" xfId="0" applyNumberFormat="1" applyFill="1" applyBorder="1" applyAlignment="1">
      <alignment horizontal="center"/>
    </xf>
    <xf numFmtId="3" fontId="37" fillId="0" borderId="27" xfId="0" applyNumberFormat="1" applyFont="1" applyFill="1" applyBorder="1" applyAlignment="1">
      <alignment horizontal="center"/>
    </xf>
    <xf numFmtId="3" fontId="1" fillId="16" borderId="0" xfId="11" applyNumberFormat="1" applyBorder="1" applyAlignment="1">
      <alignment horizontal="center"/>
    </xf>
    <xf numFmtId="3" fontId="37" fillId="0" borderId="0" xfId="0" applyNumberFormat="1" applyFont="1" applyFill="1" applyBorder="1" applyAlignment="1">
      <alignment horizontal="center"/>
    </xf>
    <xf numFmtId="3" fontId="0" fillId="0" borderId="27" xfId="0" applyNumberFormat="1" applyFill="1" applyBorder="1" applyAlignment="1">
      <alignment horizontal="center"/>
    </xf>
    <xf numFmtId="3" fontId="1" fillId="16" borderId="0" xfId="11" applyNumberFormat="1" applyAlignment="1">
      <alignment horizontal="center"/>
    </xf>
    <xf numFmtId="3" fontId="37" fillId="0" borderId="20" xfId="0" applyNumberFormat="1" applyFont="1" applyFill="1" applyBorder="1" applyAlignment="1">
      <alignment horizontal="center"/>
    </xf>
    <xf numFmtId="3" fontId="0" fillId="0" borderId="20" xfId="0" applyNumberFormat="1" applyFill="1" applyBorder="1" applyAlignment="1">
      <alignment horizontal="center"/>
    </xf>
    <xf numFmtId="3" fontId="0" fillId="0" borderId="12" xfId="0" applyNumberFormat="1" applyFill="1" applyBorder="1" applyAlignment="1">
      <alignment horizontal="center"/>
    </xf>
    <xf numFmtId="3" fontId="12" fillId="4" borderId="0" xfId="4" applyNumberFormat="1" applyFont="1"/>
    <xf numFmtId="1" fontId="0" fillId="0" borderId="13" xfId="0" quotePrefix="1" applyNumberFormat="1" applyFont="1" applyBorder="1" applyAlignment="1">
      <alignment horizontal="center"/>
    </xf>
    <xf numFmtId="167" fontId="12" fillId="0" borderId="16" xfId="7" applyNumberFormat="1" applyFont="1" applyFill="1" applyBorder="1" applyAlignment="1">
      <alignment horizontal="center"/>
    </xf>
    <xf numFmtId="167" fontId="12" fillId="0" borderId="17" xfId="7" applyNumberFormat="1" applyFont="1" applyFill="1" applyBorder="1" applyAlignment="1">
      <alignment horizontal="center"/>
    </xf>
    <xf numFmtId="167" fontId="12" fillId="0" borderId="26" xfId="7" applyNumberFormat="1" applyFont="1" applyFill="1" applyBorder="1" applyAlignment="1">
      <alignment horizontal="center"/>
    </xf>
    <xf numFmtId="167" fontId="12" fillId="0" borderId="18" xfId="7" applyNumberFormat="1" applyFont="1" applyFill="1" applyBorder="1" applyAlignment="1">
      <alignment horizontal="center"/>
    </xf>
    <xf numFmtId="167" fontId="12" fillId="0" borderId="0" xfId="7" applyNumberFormat="1" applyFont="1" applyFill="1" applyBorder="1" applyAlignment="1">
      <alignment horizontal="center"/>
    </xf>
    <xf numFmtId="3" fontId="12" fillId="0" borderId="27" xfId="7" applyNumberFormat="1" applyFont="1" applyFill="1" applyBorder="1"/>
    <xf numFmtId="3" fontId="12" fillId="0" borderId="0" xfId="7" applyNumberFormat="1" applyFont="1" applyFill="1" applyBorder="1"/>
    <xf numFmtId="3" fontId="12" fillId="0" borderId="19" xfId="7" applyNumberFormat="1" applyFont="1" applyFill="1" applyBorder="1"/>
    <xf numFmtId="3" fontId="12" fillId="0" borderId="20" xfId="7" applyNumberFormat="1" applyFont="1" applyFill="1" applyBorder="1"/>
    <xf numFmtId="3" fontId="12" fillId="0" borderId="12" xfId="7" applyNumberFormat="1" applyFont="1" applyFill="1" applyBorder="1"/>
    <xf numFmtId="3" fontId="0" fillId="2" borderId="15" xfId="0" applyNumberFormat="1" applyFill="1" applyBorder="1"/>
    <xf numFmtId="3" fontId="0" fillId="2" borderId="17" xfId="0" applyNumberFormat="1" applyFill="1" applyBorder="1" applyAlignment="1">
      <alignment horizontal="centerContinuous"/>
    </xf>
    <xf numFmtId="3" fontId="0" fillId="2" borderId="26" xfId="0" applyNumberFormat="1" applyFill="1" applyBorder="1" applyAlignment="1">
      <alignment horizontal="centerContinuous"/>
    </xf>
    <xf numFmtId="2" fontId="0" fillId="2" borderId="14" xfId="0" applyNumberFormat="1" applyFill="1" applyBorder="1" applyAlignment="1">
      <alignment horizontal="center"/>
    </xf>
    <xf numFmtId="1" fontId="0" fillId="2" borderId="20" xfId="0" applyNumberFormat="1" applyFill="1" applyBorder="1" applyAlignment="1">
      <alignment horizontal="center"/>
    </xf>
    <xf numFmtId="0" fontId="0" fillId="2" borderId="21" xfId="0" applyFill="1" applyBorder="1" applyAlignment="1">
      <alignment horizontal="center"/>
    </xf>
    <xf numFmtId="0" fontId="0" fillId="2" borderId="14" xfId="0" applyFill="1" applyBorder="1" applyAlignment="1">
      <alignment horizontal="center"/>
    </xf>
    <xf numFmtId="3" fontId="0" fillId="2" borderId="17" xfId="0" applyNumberFormat="1" applyFont="1" applyFill="1" applyBorder="1" applyAlignment="1">
      <alignment horizontal="centerContinuous"/>
    </xf>
    <xf numFmtId="0" fontId="12" fillId="10" borderId="1" xfId="0" applyFont="1" applyFill="1" applyBorder="1" applyAlignment="1" applyProtection="1">
      <alignment horizontal="center"/>
    </xf>
    <xf numFmtId="3" fontId="0" fillId="2" borderId="13" xfId="0" applyNumberFormat="1" applyFill="1" applyBorder="1"/>
    <xf numFmtId="3" fontId="0" fillId="2" borderId="29" xfId="0" applyNumberFormat="1" applyFill="1" applyBorder="1"/>
    <xf numFmtId="3" fontId="0" fillId="2" borderId="30" xfId="0" applyNumberFormat="1" applyFill="1" applyBorder="1"/>
    <xf numFmtId="164" fontId="0" fillId="2" borderId="30" xfId="1" applyNumberFormat="1" applyFont="1" applyFill="1" applyBorder="1" applyAlignment="1">
      <alignment horizontal="center"/>
    </xf>
    <xf numFmtId="170" fontId="0" fillId="2" borderId="0" xfId="0" applyNumberFormat="1" applyFill="1" applyBorder="1" applyAlignment="1">
      <alignment horizontal="center"/>
    </xf>
    <xf numFmtId="170" fontId="47" fillId="2" borderId="27" xfId="0" applyNumberFormat="1" applyFont="1" applyFill="1" applyBorder="1" applyAlignment="1">
      <alignment horizontal="center"/>
    </xf>
    <xf numFmtId="170" fontId="1" fillId="2" borderId="0" xfId="8" applyNumberFormat="1" applyFill="1" applyBorder="1" applyAlignment="1">
      <alignment horizontal="center"/>
    </xf>
    <xf numFmtId="170" fontId="47" fillId="2" borderId="0" xfId="0" applyNumberFormat="1" applyFont="1" applyFill="1" applyBorder="1" applyAlignment="1">
      <alignment horizontal="center"/>
    </xf>
    <xf numFmtId="170" fontId="0" fillId="2" borderId="27" xfId="0" applyNumberFormat="1" applyFill="1" applyBorder="1" applyAlignment="1">
      <alignment horizontal="center"/>
    </xf>
    <xf numFmtId="170" fontId="47" fillId="2" borderId="20" xfId="0" applyNumberFormat="1" applyFont="1" applyFill="1" applyBorder="1" applyAlignment="1">
      <alignment horizontal="center"/>
    </xf>
    <xf numFmtId="170" fontId="0" fillId="2" borderId="20" xfId="0" applyNumberFormat="1" applyFill="1" applyBorder="1" applyAlignment="1">
      <alignment horizontal="center"/>
    </xf>
    <xf numFmtId="170" fontId="0" fillId="2" borderId="12" xfId="0" applyNumberFormat="1" applyFill="1" applyBorder="1" applyAlignment="1">
      <alignment horizontal="center"/>
    </xf>
    <xf numFmtId="0" fontId="45" fillId="2" borderId="0" xfId="0" applyFont="1" applyFill="1" applyBorder="1" applyProtection="1"/>
    <xf numFmtId="0" fontId="27" fillId="0" borderId="0" xfId="0" applyFont="1"/>
    <xf numFmtId="0" fontId="12" fillId="2" borderId="1" xfId="0" applyFont="1" applyFill="1" applyBorder="1" applyAlignment="1" applyProtection="1">
      <alignment horizontal="center"/>
    </xf>
    <xf numFmtId="0" fontId="12" fillId="2" borderId="14" xfId="0" applyFont="1" applyFill="1" applyBorder="1" applyAlignment="1" applyProtection="1">
      <alignment horizontal="center"/>
    </xf>
    <xf numFmtId="0" fontId="30" fillId="12" borderId="38" xfId="0" applyFont="1" applyFill="1" applyBorder="1" applyAlignment="1">
      <alignment horizontal="center" vertical="center"/>
    </xf>
    <xf numFmtId="0" fontId="30" fillId="12" borderId="39" xfId="0" applyFont="1" applyFill="1" applyBorder="1" applyAlignment="1">
      <alignment horizontal="center" vertical="center"/>
    </xf>
    <xf numFmtId="0" fontId="30" fillId="11" borderId="34" xfId="0" applyFont="1" applyFill="1" applyBorder="1" applyAlignment="1">
      <alignment vertical="center"/>
    </xf>
    <xf numFmtId="3" fontId="21" fillId="11" borderId="34" xfId="0" applyNumberFormat="1" applyFont="1" applyFill="1" applyBorder="1" applyAlignment="1">
      <alignment vertical="center"/>
    </xf>
    <xf numFmtId="3" fontId="21" fillId="17" borderId="34" xfId="0" applyNumberFormat="1" applyFont="1" applyFill="1" applyBorder="1" applyAlignment="1">
      <alignment vertical="center"/>
    </xf>
    <xf numFmtId="0" fontId="0" fillId="0" borderId="0" xfId="0" applyAlignment="1">
      <alignment horizontal="centerContinuous"/>
    </xf>
    <xf numFmtId="3" fontId="0" fillId="0" borderId="0" xfId="0" applyNumberFormat="1" applyFill="1" applyAlignment="1">
      <alignment horizontal="center"/>
    </xf>
    <xf numFmtId="3" fontId="23" fillId="0" borderId="0" xfId="0" applyNumberFormat="1" applyFont="1"/>
    <xf numFmtId="3" fontId="23" fillId="0" borderId="0" xfId="0" applyNumberFormat="1" applyFont="1" applyAlignment="1">
      <alignment horizontal="center"/>
    </xf>
    <xf numFmtId="164" fontId="5" fillId="0" borderId="0" xfId="1" applyNumberFormat="1" applyFont="1" applyAlignment="1">
      <alignment horizontal="center"/>
    </xf>
    <xf numFmtId="164" fontId="0" fillId="0" borderId="0" xfId="1" applyNumberFormat="1" applyFont="1" applyAlignment="1">
      <alignment horizontal="center"/>
    </xf>
    <xf numFmtId="170" fontId="23" fillId="0" borderId="0" xfId="8" applyNumberFormat="1" applyFont="1" applyFill="1" applyAlignment="1">
      <alignment horizontal="center"/>
    </xf>
    <xf numFmtId="3" fontId="0" fillId="2" borderId="13" xfId="0" applyNumberFormat="1" applyFill="1" applyBorder="1" applyAlignment="1">
      <alignment horizontal="center"/>
    </xf>
    <xf numFmtId="3" fontId="0" fillId="2" borderId="29" xfId="0" applyNumberFormat="1"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3" fontId="12" fillId="10" borderId="29" xfId="7" applyNumberFormat="1" applyFont="1" applyFill="1" applyBorder="1" applyAlignment="1">
      <alignment horizontal="center"/>
    </xf>
    <xf numFmtId="3" fontId="12" fillId="10" borderId="30" xfId="4" applyNumberFormat="1" applyFont="1" applyFill="1" applyBorder="1" applyAlignment="1">
      <alignment horizontal="center"/>
    </xf>
    <xf numFmtId="0" fontId="0" fillId="0" borderId="27" xfId="0" applyBorder="1" applyAlignment="1">
      <alignment horizontal="center"/>
    </xf>
    <xf numFmtId="10" fontId="0" fillId="0" borderId="0" xfId="1" applyNumberFormat="1" applyFont="1" applyFill="1" applyAlignment="1">
      <alignment horizontal="center"/>
    </xf>
    <xf numFmtId="10" fontId="37" fillId="0" borderId="0" xfId="1" applyNumberFormat="1" applyFont="1" applyFill="1" applyAlignment="1">
      <alignment horizontal="center"/>
    </xf>
    <xf numFmtId="0" fontId="58" fillId="0" borderId="0" xfId="0" quotePrefix="1" applyFont="1"/>
    <xf numFmtId="168" fontId="0" fillId="0" borderId="0" xfId="1" applyNumberFormat="1" applyFont="1" applyAlignment="1">
      <alignment horizontal="center"/>
    </xf>
    <xf numFmtId="167" fontId="0" fillId="0" borderId="0" xfId="0" applyNumberFormat="1" applyAlignment="1">
      <alignment horizontal="center"/>
    </xf>
    <xf numFmtId="167" fontId="0" fillId="0" borderId="0" xfId="1" applyNumberFormat="1" applyFont="1" applyAlignment="1">
      <alignment horizontal="center"/>
    </xf>
    <xf numFmtId="0" fontId="0" fillId="0" borderId="26" xfId="0" applyBorder="1" applyAlignment="1">
      <alignment horizontal="center"/>
    </xf>
    <xf numFmtId="168" fontId="0" fillId="0" borderId="16" xfId="0" applyNumberFormat="1" applyBorder="1" applyAlignment="1">
      <alignment horizontal="center"/>
    </xf>
    <xf numFmtId="168" fontId="0" fillId="0" borderId="17" xfId="0" applyNumberFormat="1" applyBorder="1" applyAlignment="1">
      <alignment horizontal="center"/>
    </xf>
    <xf numFmtId="168" fontId="16" fillId="0" borderId="17" xfId="0" applyNumberFormat="1" applyFont="1" applyBorder="1" applyAlignment="1">
      <alignment horizontal="center"/>
    </xf>
    <xf numFmtId="168" fontId="0" fillId="0" borderId="0" xfId="0" applyNumberFormat="1" applyBorder="1" applyAlignment="1">
      <alignment horizontal="center"/>
    </xf>
    <xf numFmtId="10" fontId="0" fillId="0" borderId="16" xfId="1" applyNumberFormat="1" applyFont="1" applyBorder="1" applyAlignment="1">
      <alignment horizontal="center"/>
    </xf>
    <xf numFmtId="10" fontId="0" fillId="0" borderId="17" xfId="1" applyNumberFormat="1" applyFont="1" applyBorder="1" applyAlignment="1">
      <alignment horizontal="center"/>
    </xf>
    <xf numFmtId="0" fontId="16" fillId="0" borderId="17" xfId="0" applyFont="1" applyBorder="1"/>
    <xf numFmtId="0" fontId="0" fillId="0" borderId="1" xfId="0" applyFont="1" applyFill="1" applyBorder="1" applyAlignment="1">
      <alignment horizontal="center"/>
    </xf>
    <xf numFmtId="0" fontId="12" fillId="0" borderId="0" xfId="0" applyFont="1" applyFill="1" applyBorder="1"/>
    <xf numFmtId="0" fontId="0" fillId="0" borderId="21" xfId="0" applyFont="1" applyFill="1" applyBorder="1" applyAlignment="1">
      <alignment horizontal="center"/>
    </xf>
    <xf numFmtId="175" fontId="0" fillId="8" borderId="0" xfId="0" applyNumberFormat="1" applyFont="1" applyFill="1" applyBorder="1" applyAlignment="1">
      <alignment horizontal="center"/>
    </xf>
    <xf numFmtId="175" fontId="0" fillId="8" borderId="27" xfId="0" applyNumberFormat="1" applyFont="1" applyFill="1" applyBorder="1" applyAlignment="1">
      <alignment horizontal="center"/>
    </xf>
    <xf numFmtId="0" fontId="6" fillId="0" borderId="0" xfId="0" quotePrefix="1" applyFont="1"/>
    <xf numFmtId="0" fontId="0" fillId="0" borderId="14" xfId="0" applyFont="1" applyFill="1" applyBorder="1" applyAlignment="1">
      <alignment horizontal="center"/>
    </xf>
    <xf numFmtId="0" fontId="29" fillId="0" borderId="0" xfId="0" applyFont="1" applyFill="1" applyBorder="1" applyAlignment="1">
      <alignment horizontal="left"/>
    </xf>
    <xf numFmtId="0" fontId="29" fillId="0" borderId="0" xfId="0" quotePrefix="1" applyFont="1" applyAlignment="1">
      <alignment horizontal="center"/>
    </xf>
    <xf numFmtId="0" fontId="12" fillId="0" borderId="0" xfId="0" applyFont="1" applyAlignment="1">
      <alignment horizontal="center"/>
    </xf>
    <xf numFmtId="0" fontId="61" fillId="0" borderId="0" xfId="0" applyFont="1"/>
    <xf numFmtId="0" fontId="61" fillId="0" borderId="0" xfId="0" quotePrefix="1" applyFont="1" applyAlignment="1">
      <alignment horizontal="center"/>
    </xf>
    <xf numFmtId="0" fontId="29" fillId="0" borderId="19" xfId="0" applyFont="1" applyFill="1" applyBorder="1" applyAlignment="1">
      <alignment horizontal="center"/>
    </xf>
    <xf numFmtId="0" fontId="61" fillId="0" borderId="20" xfId="0" applyFont="1" applyFill="1" applyBorder="1"/>
    <xf numFmtId="176" fontId="29" fillId="0" borderId="0" xfId="9" applyNumberFormat="1" applyFont="1" applyFill="1" applyAlignment="1">
      <alignment horizontal="right"/>
    </xf>
    <xf numFmtId="176" fontId="61" fillId="0" borderId="0" xfId="0" applyNumberFormat="1" applyFont="1" applyFill="1"/>
    <xf numFmtId="176" fontId="29" fillId="0" borderId="20" xfId="9" applyNumberFormat="1" applyFont="1" applyFill="1" applyBorder="1" applyAlignment="1">
      <alignment horizontal="right"/>
    </xf>
    <xf numFmtId="176" fontId="61" fillId="0" borderId="20" xfId="0" applyNumberFormat="1" applyFont="1" applyFill="1" applyBorder="1"/>
    <xf numFmtId="0" fontId="0" fillId="0" borderId="27" xfId="0" applyBorder="1"/>
    <xf numFmtId="176" fontId="29" fillId="0" borderId="0" xfId="0" applyNumberFormat="1" applyFont="1" applyFill="1"/>
    <xf numFmtId="0" fontId="0" fillId="2" borderId="0" xfId="0" applyFill="1" applyAlignment="1">
      <alignment horizontal="centerContinuous"/>
    </xf>
    <xf numFmtId="0" fontId="0" fillId="2" borderId="0" xfId="0" applyFill="1" applyAlignment="1">
      <alignment horizontal="center"/>
    </xf>
    <xf numFmtId="0" fontId="0" fillId="2" borderId="12" xfId="0" applyFill="1" applyBorder="1" applyAlignment="1">
      <alignment horizontal="center"/>
    </xf>
    <xf numFmtId="0" fontId="0" fillId="2" borderId="27" xfId="0" applyFill="1" applyBorder="1" applyAlignment="1">
      <alignment horizontal="center"/>
    </xf>
    <xf numFmtId="3" fontId="0" fillId="2" borderId="0" xfId="1" applyNumberFormat="1" applyFont="1" applyFill="1" applyAlignment="1">
      <alignment horizontal="center"/>
    </xf>
    <xf numFmtId="10" fontId="0" fillId="2" borderId="0" xfId="1" applyNumberFormat="1" applyFont="1" applyFill="1" applyAlignment="1">
      <alignment horizontal="center"/>
    </xf>
    <xf numFmtId="0" fontId="0" fillId="2" borderId="20" xfId="0" quotePrefix="1" applyFill="1" applyBorder="1" applyAlignment="1">
      <alignment horizontal="center"/>
    </xf>
    <xf numFmtId="0" fontId="24" fillId="2" borderId="0" xfId="0" applyFont="1" applyFill="1"/>
    <xf numFmtId="175" fontId="0" fillId="2" borderId="0" xfId="9" applyNumberFormat="1" applyFont="1" applyFill="1" applyAlignment="1">
      <alignment horizontal="center"/>
    </xf>
    <xf numFmtId="0" fontId="60" fillId="2" borderId="13" xfId="4" applyFont="1" applyFill="1" applyBorder="1"/>
    <xf numFmtId="0" fontId="11" fillId="2" borderId="29" xfId="4" applyFont="1" applyFill="1" applyBorder="1"/>
    <xf numFmtId="164" fontId="11" fillId="2" borderId="29" xfId="4" applyNumberFormat="1" applyFont="1" applyFill="1" applyBorder="1"/>
    <xf numFmtId="0" fontId="11" fillId="2" borderId="30" xfId="4" applyFont="1" applyFill="1" applyBorder="1"/>
    <xf numFmtId="0" fontId="0" fillId="10" borderId="13" xfId="0" applyFill="1" applyBorder="1" applyAlignment="1">
      <alignment horizontal="centerContinuous"/>
    </xf>
    <xf numFmtId="0" fontId="0" fillId="10" borderId="30" xfId="0" applyFont="1" applyFill="1" applyBorder="1" applyAlignment="1">
      <alignment horizontal="centerContinuous"/>
    </xf>
    <xf numFmtId="0" fontId="0" fillId="10" borderId="1" xfId="0" applyFill="1" applyBorder="1" applyAlignment="1">
      <alignment horizontal="center"/>
    </xf>
    <xf numFmtId="3" fontId="0" fillId="0" borderId="16" xfId="0" applyNumberFormat="1" applyFont="1" applyBorder="1" applyAlignment="1">
      <alignment horizontal="right"/>
    </xf>
    <xf numFmtId="3" fontId="0" fillId="0" borderId="15" xfId="0" applyNumberFormat="1" applyFont="1" applyBorder="1" applyAlignment="1">
      <alignment horizontal="right"/>
    </xf>
    <xf numFmtId="3" fontId="0" fillId="0" borderId="19" xfId="0" applyNumberFormat="1" applyFont="1" applyBorder="1" applyAlignment="1">
      <alignment horizontal="right"/>
    </xf>
    <xf numFmtId="3" fontId="0" fillId="0" borderId="14" xfId="0" applyNumberFormat="1" applyFont="1" applyBorder="1" applyAlignment="1">
      <alignment horizontal="right"/>
    </xf>
    <xf numFmtId="3" fontId="0" fillId="0" borderId="18" xfId="0" applyNumberFormat="1" applyFont="1" applyBorder="1" applyAlignment="1">
      <alignment horizontal="right"/>
    </xf>
    <xf numFmtId="164" fontId="0" fillId="0" borderId="21" xfId="1" applyNumberFormat="1" applyFont="1" applyBorder="1"/>
    <xf numFmtId="3" fontId="0" fillId="0" borderId="16" xfId="0" applyNumberFormat="1" applyFont="1" applyBorder="1"/>
    <xf numFmtId="164" fontId="0" fillId="0" borderId="14" xfId="1" applyNumberFormat="1" applyFont="1" applyBorder="1"/>
    <xf numFmtId="164" fontId="14" fillId="4" borderId="0" xfId="4" applyNumberFormat="1"/>
    <xf numFmtId="3" fontId="0" fillId="0" borderId="0" xfId="0" applyNumberFormat="1" applyFont="1" applyAlignment="1">
      <alignment horizontal="centerContinuous"/>
    </xf>
    <xf numFmtId="0" fontId="36" fillId="0" borderId="0" xfId="0" applyFont="1"/>
    <xf numFmtId="3" fontId="29" fillId="0" borderId="0" xfId="0" quotePrefix="1" applyNumberFormat="1" applyFont="1"/>
    <xf numFmtId="164" fontId="0" fillId="0" borderId="0" xfId="1" applyNumberFormat="1" applyFont="1" applyAlignment="1">
      <alignment horizontal="centerContinuous"/>
    </xf>
    <xf numFmtId="3" fontId="14" fillId="4" borderId="13" xfId="4" applyNumberFormat="1" applyBorder="1" applyAlignment="1">
      <alignment horizontal="centerContinuous"/>
    </xf>
    <xf numFmtId="3" fontId="14" fillId="4" borderId="29" xfId="4" applyNumberFormat="1" applyBorder="1" applyAlignment="1">
      <alignment horizontal="centerContinuous"/>
    </xf>
    <xf numFmtId="3" fontId="14" fillId="4" borderId="29" xfId="4" quotePrefix="1" applyNumberFormat="1" applyBorder="1" applyAlignment="1">
      <alignment horizontal="center"/>
    </xf>
    <xf numFmtId="3" fontId="14" fillId="4" borderId="30" xfId="4" applyNumberFormat="1" applyBorder="1" applyAlignment="1">
      <alignment horizontal="center"/>
    </xf>
    <xf numFmtId="3" fontId="35" fillId="0" borderId="0" xfId="0" applyNumberFormat="1" applyFont="1"/>
    <xf numFmtId="3" fontId="0" fillId="2" borderId="16" xfId="0" applyNumberFormat="1" applyFont="1" applyFill="1" applyBorder="1" applyAlignment="1">
      <alignment horizontal="right"/>
    </xf>
    <xf numFmtId="3" fontId="16" fillId="2" borderId="26" xfId="0" applyNumberFormat="1" applyFont="1" applyFill="1" applyBorder="1" applyAlignment="1">
      <alignment horizontal="right"/>
    </xf>
    <xf numFmtId="3" fontId="0" fillId="2" borderId="19" xfId="0" applyNumberFormat="1" applyFont="1" applyFill="1" applyBorder="1" applyAlignment="1">
      <alignment horizontal="right"/>
    </xf>
    <xf numFmtId="3" fontId="16" fillId="2" borderId="12" xfId="0" applyNumberFormat="1" applyFont="1" applyFill="1" applyBorder="1" applyAlignment="1">
      <alignment horizontal="right"/>
    </xf>
    <xf numFmtId="9" fontId="0" fillId="2" borderId="14" xfId="1" applyFont="1" applyFill="1" applyBorder="1"/>
    <xf numFmtId="9" fontId="0" fillId="2" borderId="15" xfId="1" applyFont="1" applyFill="1" applyBorder="1"/>
    <xf numFmtId="0" fontId="14" fillId="4" borderId="0" xfId="4" applyBorder="1"/>
    <xf numFmtId="0" fontId="12" fillId="2" borderId="26" xfId="0" applyFont="1" applyFill="1" applyBorder="1" applyProtection="1"/>
    <xf numFmtId="2" fontId="12" fillId="2" borderId="40" xfId="0" applyNumberFormat="1" applyFont="1" applyFill="1" applyBorder="1" applyAlignment="1" applyProtection="1">
      <alignment horizontal="center"/>
    </xf>
    <xf numFmtId="0" fontId="12" fillId="2" borderId="5" xfId="0" applyFont="1" applyFill="1" applyBorder="1" applyProtection="1"/>
    <xf numFmtId="0" fontId="12" fillId="2" borderId="41" xfId="0" applyFont="1" applyFill="1" applyBorder="1" applyAlignment="1" applyProtection="1">
      <alignment horizontal="center"/>
    </xf>
    <xf numFmtId="2" fontId="12" fillId="2" borderId="42" xfId="0" applyNumberFormat="1" applyFont="1" applyFill="1" applyBorder="1" applyAlignment="1" applyProtection="1">
      <alignment horizontal="center"/>
    </xf>
    <xf numFmtId="0" fontId="12" fillId="2" borderId="43" xfId="0" applyFont="1" applyFill="1" applyBorder="1" applyAlignment="1" applyProtection="1">
      <alignment horizontal="center"/>
    </xf>
    <xf numFmtId="2" fontId="12" fillId="2" borderId="7" xfId="0" applyNumberFormat="1" applyFont="1" applyFill="1" applyBorder="1" applyAlignment="1" applyProtection="1">
      <alignment horizontal="center"/>
    </xf>
    <xf numFmtId="0" fontId="12" fillId="2" borderId="44" xfId="0" applyFont="1" applyFill="1" applyBorder="1" applyAlignment="1" applyProtection="1">
      <alignment horizontal="center"/>
    </xf>
    <xf numFmtId="2" fontId="12" fillId="2" borderId="10" xfId="0" applyNumberFormat="1" applyFont="1" applyFill="1" applyBorder="1" applyAlignment="1" applyProtection="1">
      <alignment horizontal="center"/>
    </xf>
    <xf numFmtId="0" fontId="14" fillId="4" borderId="20" xfId="4" applyBorder="1"/>
    <xf numFmtId="0" fontId="0" fillId="0" borderId="0" xfId="0" quotePrefix="1" applyAlignment="1">
      <alignment horizontal="center"/>
    </xf>
    <xf numFmtId="164" fontId="14" fillId="4" borderId="0" xfId="4" applyNumberFormat="1" applyAlignment="1">
      <alignment horizontal="center"/>
    </xf>
    <xf numFmtId="0" fontId="5" fillId="0" borderId="0" xfId="0" applyFont="1" applyAlignment="1">
      <alignment horizontal="center"/>
    </xf>
    <xf numFmtId="0" fontId="0" fillId="2" borderId="27" xfId="0" applyFill="1" applyBorder="1"/>
    <xf numFmtId="9" fontId="0" fillId="2" borderId="26" xfId="0" applyNumberFormat="1" applyFill="1" applyBorder="1"/>
    <xf numFmtId="0" fontId="14" fillId="4" borderId="27" xfId="4" applyBorder="1"/>
    <xf numFmtId="0" fontId="0" fillId="0" borderId="0" xfId="0" applyBorder="1"/>
    <xf numFmtId="168" fontId="0" fillId="0" borderId="0" xfId="0" applyNumberFormat="1" applyFont="1" applyProtection="1">
      <protection locked="0"/>
    </xf>
    <xf numFmtId="168" fontId="0" fillId="0" borderId="27" xfId="0" applyNumberFormat="1" applyFont="1" applyBorder="1" applyProtection="1">
      <protection locked="0"/>
    </xf>
    <xf numFmtId="168" fontId="0" fillId="0" borderId="12" xfId="0" applyNumberFormat="1" applyFont="1" applyBorder="1" applyProtection="1">
      <protection locked="0"/>
    </xf>
    <xf numFmtId="0" fontId="0" fillId="0" borderId="13" xfId="0" applyBorder="1"/>
    <xf numFmtId="0" fontId="15" fillId="5" borderId="2" xfId="5" applyBorder="1" applyAlignment="1" applyProtection="1">
      <alignment horizontal="center"/>
    </xf>
    <xf numFmtId="0" fontId="11" fillId="2" borderId="0" xfId="0" applyFont="1" applyFill="1" applyBorder="1" applyAlignment="1" applyProtection="1">
      <alignment horizontal="right"/>
    </xf>
    <xf numFmtId="3" fontId="0" fillId="0" borderId="17" xfId="0" applyNumberFormat="1" applyBorder="1" applyAlignment="1">
      <alignment horizontal="center"/>
    </xf>
    <xf numFmtId="3" fontId="35" fillId="0" borderId="0" xfId="0" applyNumberFormat="1" applyFont="1" applyBorder="1" applyAlignment="1">
      <alignment horizontal="center"/>
    </xf>
    <xf numFmtId="3" fontId="16" fillId="0" borderId="19" xfId="0" applyNumberFormat="1" applyFont="1" applyBorder="1" applyAlignment="1">
      <alignment horizontal="center"/>
    </xf>
    <xf numFmtId="3" fontId="35" fillId="0" borderId="20" xfId="0" applyNumberFormat="1" applyFont="1" applyBorder="1" applyAlignment="1">
      <alignment horizontal="center"/>
    </xf>
    <xf numFmtId="177" fontId="0" fillId="0" borderId="21" xfId="0" quotePrefix="1" applyNumberFormat="1" applyFont="1" applyBorder="1" applyAlignment="1">
      <alignment horizontal="center"/>
    </xf>
    <xf numFmtId="4" fontId="0" fillId="0" borderId="0" xfId="0" applyNumberFormat="1" applyBorder="1"/>
    <xf numFmtId="173" fontId="0" fillId="0" borderId="18" xfId="0" applyNumberFormat="1" applyFont="1" applyBorder="1"/>
    <xf numFmtId="177" fontId="0" fillId="0" borderId="14" xfId="0" quotePrefix="1" applyNumberFormat="1" applyFont="1" applyBorder="1" applyAlignment="1">
      <alignment horizontal="center"/>
    </xf>
    <xf numFmtId="173" fontId="0" fillId="0" borderId="19" xfId="0" applyNumberFormat="1" applyFont="1" applyBorder="1"/>
    <xf numFmtId="3" fontId="0" fillId="0" borderId="12" xfId="0" quotePrefix="1" applyNumberFormat="1" applyFont="1" applyBorder="1" applyAlignment="1">
      <alignment horizontal="center"/>
    </xf>
    <xf numFmtId="4" fontId="0" fillId="0" borderId="20" xfId="0" applyNumberFormat="1" applyBorder="1"/>
    <xf numFmtId="10" fontId="0" fillId="8" borderId="27" xfId="1" applyNumberFormat="1" applyFont="1" applyFill="1" applyBorder="1"/>
    <xf numFmtId="10" fontId="0" fillId="8" borderId="12" xfId="1" applyNumberFormat="1" applyFont="1" applyFill="1" applyBorder="1"/>
    <xf numFmtId="3" fontId="15" fillId="5" borderId="18" xfId="5" applyNumberFormat="1" applyBorder="1" applyAlignment="1">
      <alignment horizontal="center"/>
    </xf>
    <xf numFmtId="10" fontId="15" fillId="5" borderId="27" xfId="5" applyNumberFormat="1" applyBorder="1" applyAlignment="1">
      <alignment horizontal="center"/>
    </xf>
    <xf numFmtId="3" fontId="15" fillId="5" borderId="19" xfId="5" applyNumberFormat="1" applyBorder="1" applyAlignment="1">
      <alignment horizontal="center"/>
    </xf>
    <xf numFmtId="10" fontId="15" fillId="5" borderId="12" xfId="5" applyNumberFormat="1" applyBorder="1" applyAlignment="1">
      <alignment horizontal="center"/>
    </xf>
    <xf numFmtId="3" fontId="12" fillId="2" borderId="15" xfId="0" applyNumberFormat="1" applyFont="1" applyFill="1" applyBorder="1" applyAlignment="1">
      <alignment horizontal="center"/>
    </xf>
    <xf numFmtId="3" fontId="12" fillId="2" borderId="17" xfId="0" applyNumberFormat="1" applyFont="1" applyFill="1" applyBorder="1" applyAlignment="1">
      <alignment horizontal="center"/>
    </xf>
    <xf numFmtId="3" fontId="12" fillId="2" borderId="26" xfId="0" applyNumberFormat="1" applyFont="1" applyFill="1" applyBorder="1" applyAlignment="1">
      <alignment horizontal="center"/>
    </xf>
    <xf numFmtId="3" fontId="12" fillId="2" borderId="16" xfId="0" applyNumberFormat="1" applyFont="1" applyFill="1" applyBorder="1" applyAlignment="1">
      <alignment horizontal="center"/>
    </xf>
    <xf numFmtId="3" fontId="12" fillId="2" borderId="21" xfId="0" applyNumberFormat="1" applyFont="1" applyFill="1" applyBorder="1" applyAlignment="1">
      <alignment horizontal="center"/>
    </xf>
    <xf numFmtId="3" fontId="12" fillId="2" borderId="0" xfId="0" applyNumberFormat="1" applyFont="1" applyFill="1" applyBorder="1" applyAlignment="1">
      <alignment horizontal="center"/>
    </xf>
    <xf numFmtId="3" fontId="12" fillId="2" borderId="27" xfId="0" applyNumberFormat="1" applyFont="1" applyFill="1" applyBorder="1" applyAlignment="1">
      <alignment horizontal="center"/>
    </xf>
    <xf numFmtId="3" fontId="12" fillId="2" borderId="18" xfId="0" applyNumberFormat="1" applyFont="1" applyFill="1" applyBorder="1" applyAlignment="1">
      <alignment horizontal="center"/>
    </xf>
    <xf numFmtId="3" fontId="12" fillId="2" borderId="14" xfId="0" applyNumberFormat="1" applyFont="1" applyFill="1" applyBorder="1" applyAlignment="1">
      <alignment horizontal="center"/>
    </xf>
    <xf numFmtId="3" fontId="12" fillId="2" borderId="20" xfId="0" applyNumberFormat="1" applyFont="1" applyFill="1" applyBorder="1" applyAlignment="1">
      <alignment horizontal="center"/>
    </xf>
    <xf numFmtId="3" fontId="12" fillId="2" borderId="12" xfId="0" applyNumberFormat="1" applyFont="1" applyFill="1" applyBorder="1" applyAlignment="1">
      <alignment horizontal="center"/>
    </xf>
    <xf numFmtId="3" fontId="12" fillId="2" borderId="19" xfId="0" applyNumberFormat="1" applyFont="1" applyFill="1" applyBorder="1" applyAlignment="1">
      <alignment horizontal="center"/>
    </xf>
    <xf numFmtId="177" fontId="12" fillId="2" borderId="21" xfId="0" quotePrefix="1" applyNumberFormat="1" applyFont="1" applyFill="1" applyBorder="1" applyAlignment="1">
      <alignment horizontal="center"/>
    </xf>
    <xf numFmtId="173" fontId="12" fillId="2" borderId="18" xfId="7" applyNumberFormat="1" applyFont="1" applyFill="1" applyBorder="1"/>
    <xf numFmtId="3" fontId="12" fillId="2" borderId="27" xfId="0" quotePrefix="1" applyNumberFormat="1" applyFont="1" applyFill="1" applyBorder="1" applyAlignment="1">
      <alignment horizontal="center"/>
    </xf>
    <xf numFmtId="3" fontId="12" fillId="2" borderId="18" xfId="0" applyNumberFormat="1" applyFont="1" applyFill="1" applyBorder="1"/>
    <xf numFmtId="4" fontId="12" fillId="2" borderId="0" xfId="0" applyNumberFormat="1" applyFont="1" applyFill="1" applyBorder="1"/>
    <xf numFmtId="173" fontId="12" fillId="2" borderId="18" xfId="0" applyNumberFormat="1" applyFont="1" applyFill="1" applyBorder="1"/>
    <xf numFmtId="177" fontId="12" fillId="2" borderId="14" xfId="0" quotePrefix="1" applyNumberFormat="1" applyFont="1" applyFill="1" applyBorder="1" applyAlignment="1">
      <alignment horizontal="center"/>
    </xf>
    <xf numFmtId="173" fontId="12" fillId="2" borderId="19" xfId="0" applyNumberFormat="1" applyFont="1" applyFill="1" applyBorder="1"/>
    <xf numFmtId="3" fontId="12" fillId="2" borderId="12" xfId="0" quotePrefix="1" applyNumberFormat="1" applyFont="1" applyFill="1" applyBorder="1" applyAlignment="1">
      <alignment horizontal="center"/>
    </xf>
    <xf numFmtId="3" fontId="12" fillId="2" borderId="19" xfId="0" applyNumberFormat="1" applyFont="1" applyFill="1" applyBorder="1"/>
    <xf numFmtId="4" fontId="12" fillId="2" borderId="20" xfId="0" applyNumberFormat="1" applyFont="1" applyFill="1" applyBorder="1"/>
    <xf numFmtId="10" fontId="12" fillId="2" borderId="27" xfId="7" applyNumberFormat="1" applyFont="1" applyFill="1" applyBorder="1"/>
    <xf numFmtId="10" fontId="12" fillId="2" borderId="27" xfId="1" applyNumberFormat="1" applyFont="1" applyFill="1" applyBorder="1"/>
    <xf numFmtId="10" fontId="12" fillId="2" borderId="12" xfId="1" applyNumberFormat="1" applyFont="1" applyFill="1" applyBorder="1"/>
    <xf numFmtId="4" fontId="12" fillId="2" borderId="0" xfId="12" applyNumberFormat="1" applyFont="1" applyFill="1" applyBorder="1"/>
    <xf numFmtId="10" fontId="12" fillId="2" borderId="27" xfId="12" applyNumberFormat="1" applyFont="1" applyFill="1" applyBorder="1"/>
    <xf numFmtId="10" fontId="14" fillId="4" borderId="0" xfId="4" applyNumberFormat="1"/>
    <xf numFmtId="177" fontId="0" fillId="0" borderId="0" xfId="0" applyNumberFormat="1" applyFont="1" applyFill="1" applyBorder="1" applyAlignment="1">
      <alignment horizontal="left"/>
    </xf>
    <xf numFmtId="0" fontId="0" fillId="2" borderId="17" xfId="0" applyNumberFormat="1" applyFont="1" applyFill="1" applyBorder="1" applyAlignment="1">
      <alignment horizontal="center"/>
    </xf>
    <xf numFmtId="0" fontId="0" fillId="2" borderId="26" xfId="0" applyNumberFormat="1" applyFont="1" applyFill="1" applyBorder="1" applyAlignment="1">
      <alignment horizontal="center"/>
    </xf>
    <xf numFmtId="3" fontId="0" fillId="2" borderId="16" xfId="0" quotePrefix="1" applyNumberFormat="1" applyFont="1" applyFill="1" applyBorder="1" applyAlignment="1">
      <alignment horizontal="center"/>
    </xf>
    <xf numFmtId="164" fontId="0" fillId="2" borderId="18" xfId="1" applyNumberFormat="1" applyFont="1" applyFill="1" applyBorder="1"/>
    <xf numFmtId="164" fontId="0" fillId="2" borderId="27" xfId="1" applyNumberFormat="1" applyFont="1" applyFill="1" applyBorder="1"/>
    <xf numFmtId="164" fontId="0" fillId="2" borderId="19" xfId="1" applyNumberFormat="1" applyFont="1" applyFill="1" applyBorder="1"/>
    <xf numFmtId="0" fontId="0" fillId="2" borderId="3" xfId="0" applyFont="1" applyFill="1" applyBorder="1" applyAlignment="1" applyProtection="1">
      <alignment horizontal="center"/>
    </xf>
    <xf numFmtId="164" fontId="29" fillId="0" borderId="0" xfId="1" applyNumberFormat="1" applyFont="1"/>
    <xf numFmtId="3" fontId="15" fillId="5" borderId="0" xfId="5" applyNumberFormat="1"/>
    <xf numFmtId="3" fontId="15" fillId="5" borderId="0" xfId="5" applyNumberFormat="1" applyAlignment="1">
      <alignment horizontal="right"/>
    </xf>
    <xf numFmtId="0" fontId="0" fillId="0" borderId="20" xfId="0" applyNumberFormat="1" applyFont="1" applyBorder="1" applyAlignment="1">
      <alignment horizontal="right"/>
    </xf>
    <xf numFmtId="0" fontId="0" fillId="0" borderId="12" xfId="0" applyNumberFormat="1" applyFont="1" applyBorder="1" applyAlignment="1">
      <alignment horizontal="right"/>
    </xf>
    <xf numFmtId="164" fontId="29" fillId="0" borderId="27" xfId="1" applyNumberFormat="1" applyFont="1" applyBorder="1"/>
    <xf numFmtId="164" fontId="12" fillId="0" borderId="0" xfId="4" applyNumberFormat="1" applyFont="1" applyFill="1"/>
    <xf numFmtId="164" fontId="14" fillId="4" borderId="17" xfId="4" applyNumberFormat="1" applyBorder="1" applyAlignment="1">
      <alignment horizontal="center"/>
    </xf>
    <xf numFmtId="0" fontId="0" fillId="0" borderId="0" xfId="0" applyAlignment="1">
      <alignment horizontal="right"/>
    </xf>
    <xf numFmtId="164" fontId="1" fillId="15" borderId="1" xfId="10" applyNumberFormat="1" applyBorder="1" applyAlignment="1" applyProtection="1">
      <alignment horizontal="center"/>
    </xf>
    <xf numFmtId="164" fontId="0" fillId="0" borderId="0" xfId="0" applyNumberFormat="1" applyAlignment="1">
      <alignment horizontal="center"/>
    </xf>
    <xf numFmtId="166" fontId="14" fillId="4" borderId="0" xfId="4" applyNumberFormat="1" applyAlignment="1">
      <alignment horizontal="center"/>
    </xf>
    <xf numFmtId="8" fontId="12" fillId="3" borderId="1" xfId="0" applyNumberFormat="1" applyFont="1" applyFill="1" applyBorder="1" applyAlignment="1" applyProtection="1">
      <alignment horizontal="center"/>
    </xf>
    <xf numFmtId="8" fontId="0" fillId="0" borderId="0" xfId="0" applyNumberFormat="1" applyAlignment="1">
      <alignment horizontal="left"/>
    </xf>
    <xf numFmtId="164" fontId="14" fillId="4" borderId="0" xfId="4" applyNumberFormat="1" applyAlignment="1">
      <alignment horizontal="left"/>
    </xf>
    <xf numFmtId="10" fontId="0" fillId="2" borderId="12" xfId="1" applyNumberFormat="1" applyFont="1" applyFill="1" applyBorder="1"/>
    <xf numFmtId="171" fontId="12" fillId="2" borderId="26" xfId="6" applyNumberFormat="1" applyFont="1" applyFill="1" applyBorder="1" applyProtection="1">
      <protection locked="0"/>
    </xf>
    <xf numFmtId="171" fontId="12" fillId="2" borderId="27" xfId="6" applyNumberFormat="1" applyFont="1" applyFill="1" applyBorder="1" applyProtection="1">
      <protection locked="0"/>
    </xf>
    <xf numFmtId="171" fontId="12" fillId="2" borderId="12" xfId="6" applyNumberFormat="1" applyFont="1" applyFill="1" applyBorder="1" applyProtection="1">
      <protection locked="0"/>
    </xf>
    <xf numFmtId="171" fontId="0" fillId="0" borderId="0" xfId="0" applyNumberFormat="1" applyFont="1" applyProtection="1">
      <protection locked="0"/>
    </xf>
    <xf numFmtId="0" fontId="39" fillId="0" borderId="0" xfId="0" applyFont="1" applyProtection="1">
      <protection locked="0"/>
    </xf>
    <xf numFmtId="0" fontId="0" fillId="0" borderId="0" xfId="0" applyFont="1" applyAlignment="1" applyProtection="1">
      <alignment horizontal="right"/>
      <protection locked="0"/>
    </xf>
    <xf numFmtId="171" fontId="14" fillId="4" borderId="0" xfId="4" applyNumberFormat="1" applyProtection="1">
      <protection locked="0"/>
    </xf>
    <xf numFmtId="0" fontId="0" fillId="0" borderId="0" xfId="0" quotePrefix="1" applyFont="1" applyAlignment="1" applyProtection="1">
      <alignment horizontal="center"/>
      <protection locked="0"/>
    </xf>
    <xf numFmtId="0" fontId="39" fillId="0" borderId="0" xfId="0" quotePrefix="1" applyFont="1" applyAlignment="1" applyProtection="1">
      <alignment horizontal="right"/>
      <protection locked="0"/>
    </xf>
    <xf numFmtId="0" fontId="24" fillId="0" borderId="0" xfId="0" applyFont="1" applyAlignment="1" applyProtection="1">
      <alignment horizontal="left"/>
      <protection locked="0"/>
    </xf>
    <xf numFmtId="3" fontId="0" fillId="2" borderId="12" xfId="1" applyNumberFormat="1" applyFont="1" applyFill="1" applyBorder="1"/>
    <xf numFmtId="1" fontId="0" fillId="8" borderId="1" xfId="0" applyNumberFormat="1" applyFont="1" applyFill="1" applyBorder="1" applyAlignment="1">
      <alignment horizontal="center"/>
    </xf>
    <xf numFmtId="1" fontId="0" fillId="8" borderId="30" xfId="0" applyNumberFormat="1" applyFont="1" applyFill="1" applyBorder="1" applyAlignment="1">
      <alignment horizontal="center"/>
    </xf>
    <xf numFmtId="1" fontId="0" fillId="0" borderId="27" xfId="0" applyNumberFormat="1" applyFont="1" applyBorder="1" applyAlignment="1">
      <alignment horizontal="center"/>
    </xf>
    <xf numFmtId="3" fontId="6" fillId="0" borderId="0" xfId="0" applyNumberFormat="1" applyFont="1" applyAlignment="1">
      <alignment horizontal="centerContinuous"/>
    </xf>
    <xf numFmtId="3" fontId="2" fillId="0" borderId="26" xfId="0" applyNumberFormat="1" applyFont="1" applyBorder="1"/>
    <xf numFmtId="3" fontId="14" fillId="4" borderId="17" xfId="4" applyNumberFormat="1" applyBorder="1"/>
    <xf numFmtId="16" fontId="0" fillId="8" borderId="13" xfId="0" quotePrefix="1" applyNumberFormat="1" applyFont="1" applyFill="1" applyBorder="1" applyAlignment="1">
      <alignment horizontal="center"/>
    </xf>
    <xf numFmtId="3" fontId="5" fillId="0" borderId="0" xfId="0" quotePrefix="1" applyNumberFormat="1" applyFont="1" applyAlignment="1">
      <alignment horizontal="center"/>
    </xf>
    <xf numFmtId="3" fontId="47" fillId="0" borderId="0" xfId="0" quotePrefix="1" applyNumberFormat="1" applyFont="1" applyAlignment="1">
      <alignment horizontal="center"/>
    </xf>
    <xf numFmtId="3" fontId="64" fillId="0" borderId="0" xfId="0" applyNumberFormat="1" applyFont="1"/>
    <xf numFmtId="3" fontId="2" fillId="8" borderId="1" xfId="0" applyNumberFormat="1" applyFont="1" applyFill="1" applyBorder="1"/>
    <xf numFmtId="3" fontId="0" fillId="2" borderId="0" xfId="0" quotePrefix="1" applyNumberFormat="1" applyFont="1" applyFill="1" applyAlignment="1">
      <alignment horizontal="center"/>
    </xf>
    <xf numFmtId="0" fontId="2" fillId="2" borderId="2" xfId="0" applyFont="1" applyFill="1" applyBorder="1" applyAlignment="1" applyProtection="1">
      <alignment horizontal="center"/>
      <protection locked="0"/>
    </xf>
    <xf numFmtId="3" fontId="16" fillId="0" borderId="0" xfId="0" quotePrefix="1" applyNumberFormat="1" applyFont="1" applyAlignment="1">
      <alignment horizontal="center"/>
    </xf>
    <xf numFmtId="3" fontId="24" fillId="0" borderId="0" xfId="0" applyNumberFormat="1" applyFont="1" applyAlignment="1">
      <alignment horizontal="left"/>
    </xf>
    <xf numFmtId="3" fontId="34" fillId="2" borderId="0" xfId="0" applyNumberFormat="1" applyFont="1" applyFill="1"/>
    <xf numFmtId="3" fontId="21" fillId="11" borderId="34" xfId="0" applyNumberFormat="1" applyFont="1" applyFill="1" applyBorder="1" applyAlignment="1">
      <alignment vertical="center" wrapText="1"/>
    </xf>
    <xf numFmtId="3" fontId="41" fillId="11" borderId="34" xfId="0" applyNumberFormat="1" applyFont="1" applyFill="1" applyBorder="1" applyAlignment="1">
      <alignment vertical="center" wrapText="1"/>
    </xf>
    <xf numFmtId="3" fontId="0" fillId="11" borderId="35" xfId="0" applyNumberFormat="1" applyFill="1" applyBorder="1"/>
    <xf numFmtId="3" fontId="0" fillId="11" borderId="0" xfId="0" applyNumberFormat="1" applyFill="1"/>
    <xf numFmtId="3" fontId="0" fillId="11" borderId="36" xfId="0" applyNumberFormat="1" applyFill="1" applyBorder="1"/>
    <xf numFmtId="3" fontId="0" fillId="11" borderId="37" xfId="0" applyNumberFormat="1" applyFill="1" applyBorder="1"/>
    <xf numFmtId="167" fontId="0" fillId="11" borderId="35" xfId="0" applyNumberFormat="1" applyFont="1" applyFill="1" applyBorder="1"/>
    <xf numFmtId="167" fontId="0" fillId="11" borderId="36" xfId="0" applyNumberFormat="1" applyFont="1" applyFill="1" applyBorder="1"/>
    <xf numFmtId="167" fontId="0" fillId="11" borderId="37" xfId="0" applyNumberFormat="1" applyFont="1" applyFill="1" applyBorder="1"/>
    <xf numFmtId="3" fontId="12" fillId="2" borderId="30" xfId="0" applyNumberFormat="1" applyFont="1" applyFill="1" applyBorder="1" applyAlignment="1" applyProtection="1">
      <alignment horizontal="center"/>
    </xf>
    <xf numFmtId="3" fontId="12" fillId="2" borderId="12" xfId="0" applyNumberFormat="1" applyFont="1" applyFill="1" applyBorder="1" applyAlignment="1" applyProtection="1">
      <alignment horizontal="center"/>
    </xf>
    <xf numFmtId="1" fontId="0" fillId="2" borderId="1" xfId="0" applyNumberFormat="1" applyFill="1" applyBorder="1" applyAlignment="1">
      <alignment horizontal="center"/>
    </xf>
    <xf numFmtId="169" fontId="12" fillId="10" borderId="1" xfId="1" applyNumberFormat="1" applyFont="1" applyFill="1" applyBorder="1" applyAlignment="1" applyProtection="1">
      <alignment horizontal="center"/>
    </xf>
    <xf numFmtId="0" fontId="0" fillId="13" borderId="20" xfId="0" quotePrefix="1" applyFont="1" applyFill="1" applyBorder="1" applyAlignment="1">
      <alignment horizontal="center" vertical="top" wrapText="1"/>
    </xf>
    <xf numFmtId="3" fontId="0" fillId="0" borderId="27" xfId="0" applyNumberFormat="1" applyFont="1" applyBorder="1" applyAlignment="1">
      <alignment horizontal="center" vertical="top" wrapText="1"/>
    </xf>
    <xf numFmtId="169" fontId="0" fillId="0" borderId="12" xfId="0" quotePrefix="1" applyNumberFormat="1" applyFont="1" applyBorder="1" applyAlignment="1">
      <alignment horizontal="center" vertical="top" wrapText="1"/>
    </xf>
    <xf numFmtId="3" fontId="0" fillId="9" borderId="12" xfId="0" applyNumberFormat="1" applyFont="1" applyFill="1" applyBorder="1" applyAlignment="1">
      <alignment horizontal="center" vertical="top" wrapText="1"/>
    </xf>
    <xf numFmtId="169" fontId="0" fillId="0" borderId="0" xfId="0" applyNumberFormat="1" applyFont="1" applyProtection="1">
      <protection locked="0"/>
    </xf>
    <xf numFmtId="0" fontId="52" fillId="0" borderId="12" xfId="0" applyFont="1" applyBorder="1" applyAlignment="1">
      <alignment horizontal="center" vertical="top" wrapText="1"/>
    </xf>
    <xf numFmtId="0" fontId="12" fillId="2" borderId="20" xfId="0" applyFont="1" applyFill="1" applyBorder="1" applyProtection="1"/>
    <xf numFmtId="0" fontId="11" fillId="2" borderId="29" xfId="0" applyFont="1" applyFill="1" applyBorder="1" applyProtection="1"/>
    <xf numFmtId="0" fontId="12" fillId="2" borderId="29" xfId="0" applyFont="1" applyFill="1" applyBorder="1" applyProtection="1"/>
    <xf numFmtId="0" fontId="12" fillId="2" borderId="30" xfId="0" applyFont="1" applyFill="1" applyBorder="1" applyProtection="1"/>
    <xf numFmtId="0" fontId="12" fillId="2" borderId="1" xfId="0" applyFont="1" applyFill="1" applyBorder="1" applyProtection="1"/>
    <xf numFmtId="0" fontId="12" fillId="2" borderId="21" xfId="0" applyFont="1" applyFill="1" applyBorder="1" applyAlignment="1" applyProtection="1">
      <alignment horizontal="center"/>
    </xf>
    <xf numFmtId="0" fontId="2" fillId="0" borderId="15" xfId="0" applyFont="1" applyBorder="1" applyAlignment="1">
      <alignment horizontal="center" wrapText="1"/>
    </xf>
    <xf numFmtId="0" fontId="2" fillId="0" borderId="14" xfId="0" applyFont="1" applyBorder="1" applyAlignment="1">
      <alignment horizontal="center" wrapText="1"/>
    </xf>
    <xf numFmtId="0" fontId="7" fillId="2" borderId="4" xfId="2" quotePrefix="1" applyFont="1" applyFill="1" applyBorder="1" applyAlignment="1" applyProtection="1">
      <alignment horizontal="right"/>
    </xf>
    <xf numFmtId="0" fontId="7" fillId="0" borderId="5" xfId="2" applyFont="1" applyBorder="1" applyAlignment="1">
      <alignment horizontal="right"/>
    </xf>
    <xf numFmtId="0" fontId="7" fillId="2" borderId="5" xfId="2" quotePrefix="1" applyFont="1" applyFill="1" applyBorder="1" applyAlignment="1" applyProtection="1">
      <alignment horizontal="right"/>
    </xf>
  </cellXfs>
  <cellStyles count="13">
    <cellStyle name="40% - Accent1" xfId="8" builtinId="31"/>
    <cellStyle name="40% - Accent4" xfId="10" builtinId="43"/>
    <cellStyle name="40% - Accent6" xfId="11" builtinId="51"/>
    <cellStyle name="Accent2" xfId="12" builtinId="33"/>
    <cellStyle name="Bad" xfId="5" builtinId="27"/>
    <cellStyle name="Comma" xfId="9" builtinId="3"/>
    <cellStyle name="Currency" xfId="6" builtinId="4"/>
    <cellStyle name="Good" xfId="4" builtinId="26"/>
    <cellStyle name="Hyperlink" xfId="2" builtinId="8"/>
    <cellStyle name="Neutral" xfId="7" builtinId="28"/>
    <cellStyle name="Normal" xfId="0" builtinId="0"/>
    <cellStyle name="Normal 2" xfId="3"/>
    <cellStyle name="Percent" xfId="1" builtinId="5"/>
  </cellStyles>
  <dxfs count="102">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6</xdr:col>
      <xdr:colOff>189230</xdr:colOff>
      <xdr:row>4</xdr:row>
      <xdr:rowOff>17569</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3322955" cy="7795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561975</xdr:colOff>
      <xdr:row>5</xdr:row>
      <xdr:rowOff>152400</xdr:rowOff>
    </xdr:from>
    <xdr:to>
      <xdr:col>20</xdr:col>
      <xdr:colOff>267510</xdr:colOff>
      <xdr:row>15</xdr:row>
      <xdr:rowOff>133616</xdr:rowOff>
    </xdr:to>
    <xdr:pic>
      <xdr:nvPicPr>
        <xdr:cNvPr id="2" name="Picture 1"/>
        <xdr:cNvPicPr>
          <a:picLocks noChangeAspect="1"/>
        </xdr:cNvPicPr>
      </xdr:nvPicPr>
      <xdr:blipFill>
        <a:blip xmlns:r="http://schemas.openxmlformats.org/officeDocument/2006/relationships" r:embed="rId1"/>
        <a:stretch>
          <a:fillRect/>
        </a:stretch>
      </xdr:blipFill>
      <xdr:spPr>
        <a:xfrm>
          <a:off x="8258175" y="1104900"/>
          <a:ext cx="5801535" cy="19052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497417</xdr:colOff>
      <xdr:row>3</xdr:row>
      <xdr:rowOff>158751</xdr:rowOff>
    </xdr:from>
    <xdr:to>
      <xdr:col>21</xdr:col>
      <xdr:colOff>560917</xdr:colOff>
      <xdr:row>7</xdr:row>
      <xdr:rowOff>148167</xdr:rowOff>
    </xdr:to>
    <xdr:cxnSp macro="">
      <xdr:nvCxnSpPr>
        <xdr:cNvPr id="2" name="Straight Arrow Connector 1"/>
        <xdr:cNvCxnSpPr/>
      </xdr:nvCxnSpPr>
      <xdr:spPr>
        <a:xfrm flipH="1">
          <a:off x="12508442" y="539751"/>
          <a:ext cx="673100" cy="7514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497417</xdr:colOff>
      <xdr:row>53</xdr:row>
      <xdr:rowOff>158751</xdr:rowOff>
    </xdr:from>
    <xdr:to>
      <xdr:col>23</xdr:col>
      <xdr:colOff>560917</xdr:colOff>
      <xdr:row>57</xdr:row>
      <xdr:rowOff>148167</xdr:rowOff>
    </xdr:to>
    <xdr:cxnSp macro="">
      <xdr:nvCxnSpPr>
        <xdr:cNvPr id="2" name="Straight Arrow Connector 1"/>
        <xdr:cNvCxnSpPr/>
      </xdr:nvCxnSpPr>
      <xdr:spPr>
        <a:xfrm flipH="1">
          <a:off x="11889317" y="8540751"/>
          <a:ext cx="939800" cy="7514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95251</xdr:colOff>
      <xdr:row>14</xdr:row>
      <xdr:rowOff>127000</xdr:rowOff>
    </xdr:from>
    <xdr:to>
      <xdr:col>21</xdr:col>
      <xdr:colOff>571500</xdr:colOff>
      <xdr:row>17</xdr:row>
      <xdr:rowOff>169333</xdr:rowOff>
    </xdr:to>
    <xdr:cxnSp macro="">
      <xdr:nvCxnSpPr>
        <xdr:cNvPr id="2" name="Straight Arrow Connector 1"/>
        <xdr:cNvCxnSpPr/>
      </xdr:nvCxnSpPr>
      <xdr:spPr>
        <a:xfrm flipH="1">
          <a:off x="11487151" y="1841500"/>
          <a:ext cx="1085849" cy="6138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heetViews>
  <sheetFormatPr defaultRowHeight="15"/>
  <cols>
    <col min="1" max="11" width="9.140625" style="37"/>
    <col min="12" max="12" width="7" style="37" customWidth="1"/>
    <col min="13" max="13" width="12.42578125" style="37" customWidth="1"/>
    <col min="14" max="16384" width="9.140625" style="37"/>
  </cols>
  <sheetData>
    <row r="6" spans="1:13" ht="21">
      <c r="A6" s="12" t="s">
        <v>15</v>
      </c>
      <c r="B6" s="12"/>
      <c r="C6" s="12"/>
      <c r="D6" s="12"/>
      <c r="E6" s="12"/>
      <c r="F6" s="12"/>
      <c r="G6" s="12"/>
      <c r="H6" s="12"/>
      <c r="I6" s="12"/>
      <c r="J6" s="12"/>
      <c r="K6" s="12"/>
      <c r="L6" s="12"/>
      <c r="M6" s="12"/>
    </row>
    <row r="8" spans="1:13">
      <c r="A8" s="37" t="s">
        <v>16</v>
      </c>
    </row>
    <row r="10" spans="1:13">
      <c r="A10" s="37" t="s">
        <v>28</v>
      </c>
    </row>
    <row r="12" spans="1:13">
      <c r="A12" s="37" t="s">
        <v>17</v>
      </c>
    </row>
    <row r="14" spans="1:13">
      <c r="A14" s="37" t="s">
        <v>29</v>
      </c>
    </row>
    <row r="15" spans="1:13">
      <c r="A15" s="37" t="s">
        <v>18</v>
      </c>
    </row>
    <row r="17" spans="1:13">
      <c r="A17" s="37" t="s">
        <v>19</v>
      </c>
    </row>
    <row r="18" spans="1:13">
      <c r="A18" s="37" t="s">
        <v>30</v>
      </c>
    </row>
    <row r="19" spans="1:13">
      <c r="A19" s="37" t="s">
        <v>31</v>
      </c>
    </row>
    <row r="20" spans="1:13" ht="15.75" thickBot="1"/>
    <row r="21" spans="1:13" ht="15.75" thickBot="1">
      <c r="A21" s="37" t="s">
        <v>22</v>
      </c>
      <c r="M21" s="5"/>
    </row>
    <row r="23" spans="1:13">
      <c r="A23" s="37" t="s">
        <v>32</v>
      </c>
    </row>
    <row r="25" spans="1:13">
      <c r="A25" s="37" t="s">
        <v>20</v>
      </c>
    </row>
    <row r="26" spans="1:13">
      <c r="A26" s="37" t="s">
        <v>21</v>
      </c>
    </row>
    <row r="27" spans="1:13">
      <c r="B27" s="38"/>
      <c r="C27" s="38"/>
      <c r="D27" s="38"/>
      <c r="E27" s="38"/>
      <c r="F27" s="38"/>
      <c r="G27" s="38"/>
      <c r="H27" s="38"/>
      <c r="I27" s="38"/>
      <c r="J27" s="38"/>
      <c r="K27" s="38"/>
      <c r="L27" s="38"/>
      <c r="M27" s="38"/>
    </row>
    <row r="28" spans="1:13" ht="15.75">
      <c r="A28" s="13" t="s">
        <v>23</v>
      </c>
      <c r="B28" s="38"/>
      <c r="C28" s="38"/>
      <c r="D28" s="38"/>
      <c r="E28" s="38"/>
      <c r="F28" s="38"/>
      <c r="G28" s="38"/>
      <c r="H28" s="38"/>
      <c r="I28" s="38"/>
      <c r="J28" s="38"/>
      <c r="K28" s="38"/>
      <c r="L28" s="38"/>
      <c r="M28" s="3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7"/>
  <sheetViews>
    <sheetView zoomScaleNormal="100" workbookViewId="0">
      <selection activeCell="A8" sqref="A8"/>
    </sheetView>
  </sheetViews>
  <sheetFormatPr defaultRowHeight="15"/>
  <cols>
    <col min="1" max="1" width="9.7109375" style="37" customWidth="1"/>
    <col min="2" max="2" width="10.42578125" style="37" customWidth="1"/>
    <col min="3" max="9" width="6.7109375" style="37" customWidth="1"/>
    <col min="10" max="10" width="14.140625" style="37" bestFit="1" customWidth="1"/>
    <col min="11" max="11" width="2.7109375" style="37" customWidth="1"/>
    <col min="12" max="12" width="12.7109375" style="37" customWidth="1"/>
    <col min="13" max="19" width="6.7109375" style="37" customWidth="1"/>
    <col min="20" max="26" width="9.140625" style="37"/>
    <col min="27" max="27" width="12.140625" style="37" bestFit="1" customWidth="1"/>
    <col min="28" max="28" width="12.7109375" style="37" customWidth="1"/>
    <col min="29" max="16384" width="9.140625" style="37"/>
  </cols>
  <sheetData>
    <row r="1" spans="1:24" ht="15.75" thickBot="1"/>
    <row r="2" spans="1:24" ht="15" customHeight="1" thickBot="1">
      <c r="L2" s="14" t="s">
        <v>25</v>
      </c>
      <c r="M2" s="29" t="str">
        <f t="array" ref="M2">IF(SUM(IF(M8:S32="",0,1))=0,"",SUM(M8:S32))</f>
        <v/>
      </c>
      <c r="O2" s="10" t="s">
        <v>14</v>
      </c>
      <c r="P2" s="6" t="str">
        <f>IF(M2="","",M2/M3)</f>
        <v/>
      </c>
    </row>
    <row r="3" spans="1:24">
      <c r="L3" s="15" t="s">
        <v>26</v>
      </c>
      <c r="M3" s="30">
        <f>SUM(B8:B37)</f>
        <v>60</v>
      </c>
    </row>
    <row r="5" spans="1:24" ht="23.25">
      <c r="A5" s="11" t="s">
        <v>671</v>
      </c>
      <c r="B5" s="38"/>
      <c r="C5" s="38"/>
      <c r="D5" s="38"/>
      <c r="E5" s="38"/>
      <c r="F5" s="38"/>
      <c r="G5" s="38"/>
      <c r="H5" s="38"/>
      <c r="I5" s="38"/>
      <c r="J5" s="38"/>
      <c r="K5" s="38"/>
      <c r="L5" s="38"/>
      <c r="M5" s="38"/>
      <c r="N5" s="38"/>
      <c r="O5" s="38"/>
      <c r="P5" s="38"/>
      <c r="Q5" s="38"/>
      <c r="R5" s="38"/>
      <c r="S5" s="38"/>
    </row>
    <row r="6" spans="1:24" ht="15.75">
      <c r="A6" s="1"/>
      <c r="B6" s="884" t="s">
        <v>9</v>
      </c>
      <c r="C6" s="2" t="s">
        <v>1</v>
      </c>
      <c r="D6" s="2"/>
      <c r="E6" s="2"/>
      <c r="F6" s="2"/>
      <c r="G6" s="2"/>
      <c r="H6" s="2"/>
      <c r="I6" s="2"/>
      <c r="J6" s="1"/>
      <c r="L6" s="4" t="s">
        <v>11</v>
      </c>
      <c r="M6" s="2" t="s">
        <v>1</v>
      </c>
      <c r="N6" s="2"/>
      <c r="O6" s="2"/>
      <c r="P6" s="2"/>
      <c r="Q6" s="2"/>
      <c r="R6" s="2"/>
      <c r="S6" s="2"/>
    </row>
    <row r="7" spans="1:24">
      <c r="A7" s="3" t="s">
        <v>0</v>
      </c>
      <c r="B7" s="885"/>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4">
      <c r="A8" s="39">
        <v>1</v>
      </c>
      <c r="B8" s="59">
        <f>SUM(C8:I8)</f>
        <v>1</v>
      </c>
      <c r="C8" s="40">
        <v>1</v>
      </c>
      <c r="D8" s="40"/>
      <c r="E8" s="40"/>
      <c r="F8" s="40"/>
      <c r="G8" s="40"/>
      <c r="H8" s="40"/>
      <c r="I8" s="40"/>
      <c r="J8" s="41" t="str">
        <f ca="1">INDIRECT("'"&amp;A8&amp;"'!B1")</f>
        <v>Incomplete</v>
      </c>
      <c r="L8" s="39">
        <f>A8</f>
        <v>1</v>
      </c>
      <c r="M8" s="42" t="str">
        <f>IF('1'!$A$8="","",'1'!$A$8)</f>
        <v/>
      </c>
      <c r="N8" s="42"/>
      <c r="O8" s="42"/>
      <c r="P8" s="42"/>
      <c r="Q8" s="42"/>
      <c r="R8" s="42"/>
      <c r="S8" s="42"/>
      <c r="T8" s="73" t="s">
        <v>44</v>
      </c>
      <c r="U8" s="73"/>
      <c r="V8" s="73"/>
      <c r="W8" s="73"/>
      <c r="X8" s="73"/>
    </row>
    <row r="9" spans="1:24">
      <c r="A9" s="39">
        <v>2</v>
      </c>
      <c r="B9" s="53">
        <f t="shared" ref="B9:B32" si="0">SUM(C9:I9)</f>
        <v>1</v>
      </c>
      <c r="C9" s="40">
        <v>1</v>
      </c>
      <c r="D9" s="40"/>
      <c r="E9" s="40"/>
      <c r="F9" s="40"/>
      <c r="G9" s="40"/>
      <c r="H9" s="40"/>
      <c r="I9" s="40"/>
      <c r="J9" s="41" t="str">
        <f t="shared" ref="J9:J26" ca="1" si="1">INDIRECT("'"&amp;A9&amp;"'!B1")</f>
        <v>Incomplete</v>
      </c>
      <c r="L9" s="39">
        <f t="shared" ref="L9:L26" si="2">A9</f>
        <v>2</v>
      </c>
      <c r="M9" s="42" t="str">
        <f>IF('2'!$A$8="","",'2'!$A$8)</f>
        <v/>
      </c>
      <c r="N9" s="42"/>
      <c r="O9" s="42"/>
      <c r="P9" s="42"/>
      <c r="Q9" s="42"/>
      <c r="R9" s="42"/>
      <c r="S9" s="42"/>
      <c r="T9" s="73" t="s">
        <v>44</v>
      </c>
      <c r="U9" s="73"/>
      <c r="V9" s="73"/>
      <c r="W9" s="73"/>
      <c r="X9" s="73"/>
    </row>
    <row r="10" spans="1:24">
      <c r="A10" s="39">
        <v>3</v>
      </c>
      <c r="B10" s="53">
        <f t="shared" si="0"/>
        <v>1</v>
      </c>
      <c r="C10" s="40">
        <v>1</v>
      </c>
      <c r="D10" s="40"/>
      <c r="E10" s="40"/>
      <c r="F10" s="40"/>
      <c r="G10" s="40"/>
      <c r="H10" s="40"/>
      <c r="I10" s="40"/>
      <c r="J10" s="41" t="str">
        <f t="shared" ca="1" si="1"/>
        <v>Incomplete</v>
      </c>
      <c r="L10" s="39">
        <f t="shared" si="2"/>
        <v>3</v>
      </c>
      <c r="M10" s="42" t="str">
        <f>IF('3'!$A$8="","",'3'!$A$8)</f>
        <v/>
      </c>
      <c r="N10" s="42"/>
      <c r="O10" s="42"/>
      <c r="P10" s="42"/>
      <c r="Q10" s="42"/>
      <c r="R10" s="42"/>
      <c r="S10" s="42"/>
      <c r="T10" s="73" t="s">
        <v>45</v>
      </c>
      <c r="U10" s="738"/>
      <c r="V10" s="738"/>
      <c r="W10" s="73"/>
      <c r="X10" s="73"/>
    </row>
    <row r="11" spans="1:24">
      <c r="A11" s="39">
        <v>4</v>
      </c>
      <c r="B11" s="53">
        <f t="shared" si="0"/>
        <v>1</v>
      </c>
      <c r="C11" s="40">
        <v>1</v>
      </c>
      <c r="D11" s="40"/>
      <c r="E11" s="40"/>
      <c r="F11" s="40"/>
      <c r="G11" s="40"/>
      <c r="H11" s="40"/>
      <c r="I11" s="40"/>
      <c r="J11" s="41" t="str">
        <f t="shared" ca="1" si="1"/>
        <v>Incomplete</v>
      </c>
      <c r="L11" s="39">
        <f t="shared" si="2"/>
        <v>4</v>
      </c>
      <c r="M11" s="42" t="str">
        <f>IF('4'!$A$8="","",'4'!$A$8)</f>
        <v/>
      </c>
      <c r="N11" s="42"/>
      <c r="O11" s="42"/>
      <c r="P11" s="42"/>
      <c r="Q11" s="42"/>
      <c r="R11" s="42"/>
      <c r="S11" s="42"/>
      <c r="T11" s="73" t="s">
        <v>45</v>
      </c>
      <c r="U11" s="738"/>
      <c r="V11" s="73"/>
      <c r="W11" s="73"/>
      <c r="X11" s="73"/>
    </row>
    <row r="12" spans="1:24">
      <c r="A12" s="39">
        <v>5</v>
      </c>
      <c r="B12" s="53">
        <f t="shared" si="0"/>
        <v>1</v>
      </c>
      <c r="C12" s="40">
        <v>1</v>
      </c>
      <c r="D12" s="40"/>
      <c r="E12" s="40"/>
      <c r="F12" s="40"/>
      <c r="G12" s="40"/>
      <c r="H12" s="40"/>
      <c r="I12" s="40"/>
      <c r="J12" s="41" t="str">
        <f t="shared" ca="1" si="1"/>
        <v>Incomplete</v>
      </c>
      <c r="L12" s="39">
        <f t="shared" si="2"/>
        <v>5</v>
      </c>
      <c r="M12" s="42" t="str">
        <f>IF('5'!$A$8="","",'5'!$A$8)</f>
        <v/>
      </c>
      <c r="N12" s="42"/>
      <c r="O12" s="42"/>
      <c r="P12" s="42"/>
      <c r="Q12" s="42"/>
      <c r="R12" s="42"/>
      <c r="S12" s="42"/>
      <c r="T12" s="73" t="s">
        <v>46</v>
      </c>
      <c r="U12" s="738"/>
      <c r="V12" s="73"/>
      <c r="W12" s="73"/>
      <c r="X12" s="73"/>
    </row>
    <row r="13" spans="1:24">
      <c r="A13" s="39">
        <v>6</v>
      </c>
      <c r="B13" s="53">
        <f t="shared" si="0"/>
        <v>1</v>
      </c>
      <c r="C13" s="40">
        <v>1</v>
      </c>
      <c r="D13" s="40"/>
      <c r="E13" s="40"/>
      <c r="F13" s="40"/>
      <c r="G13" s="40"/>
      <c r="H13" s="40"/>
      <c r="I13" s="40"/>
      <c r="J13" s="41" t="str">
        <f t="shared" ca="1" si="1"/>
        <v>Incomplete</v>
      </c>
      <c r="L13" s="39">
        <f t="shared" si="2"/>
        <v>6</v>
      </c>
      <c r="M13" s="42" t="str">
        <f>IF('6'!$A$8="","",'6'!$A$8)</f>
        <v/>
      </c>
      <c r="N13" s="42"/>
      <c r="O13" s="42"/>
      <c r="P13" s="42"/>
      <c r="Q13" s="42"/>
      <c r="R13" s="42"/>
      <c r="S13" s="42"/>
      <c r="T13" s="748" t="s">
        <v>697</v>
      </c>
      <c r="U13" s="748"/>
      <c r="V13" s="748"/>
      <c r="W13" s="748"/>
      <c r="X13" s="748"/>
    </row>
    <row r="14" spans="1:24">
      <c r="A14" s="39">
        <v>7</v>
      </c>
      <c r="B14" s="53">
        <f t="shared" si="0"/>
        <v>2.25</v>
      </c>
      <c r="C14" s="40">
        <v>0.75</v>
      </c>
      <c r="D14" s="40">
        <v>1.5</v>
      </c>
      <c r="E14" s="40"/>
      <c r="F14" s="40"/>
      <c r="G14" s="40"/>
      <c r="H14" s="40"/>
      <c r="I14" s="40"/>
      <c r="J14" s="41" t="str">
        <f t="shared" ca="1" si="1"/>
        <v>Incomplete</v>
      </c>
      <c r="L14" s="39">
        <f t="shared" si="2"/>
        <v>7</v>
      </c>
      <c r="M14" s="42" t="str">
        <f>IF('7'!$A$8="","",'7'!$A$8)</f>
        <v/>
      </c>
      <c r="N14" s="42" t="str">
        <f>IF('7'!$A$12="","",'7'!$A$12)</f>
        <v/>
      </c>
      <c r="O14" s="42" t="str">
        <f>IF('7'!$A$16="","",'7'!$A$16)</f>
        <v/>
      </c>
      <c r="P14" s="42"/>
      <c r="Q14" s="42"/>
      <c r="R14" s="42"/>
      <c r="S14" s="42"/>
      <c r="T14" s="73" t="s">
        <v>62</v>
      </c>
      <c r="U14" s="73"/>
      <c r="V14" s="73"/>
      <c r="W14" s="73"/>
      <c r="X14" s="73"/>
    </row>
    <row r="15" spans="1:24">
      <c r="A15" s="39">
        <v>8</v>
      </c>
      <c r="B15" s="53">
        <f t="shared" si="0"/>
        <v>2.5</v>
      </c>
      <c r="C15" s="40">
        <v>2</v>
      </c>
      <c r="D15" s="40">
        <v>0.5</v>
      </c>
      <c r="E15" s="40"/>
      <c r="F15" s="40"/>
      <c r="G15" s="40"/>
      <c r="H15" s="40"/>
      <c r="I15" s="40"/>
      <c r="J15" s="41" t="str">
        <f t="shared" ca="1" si="1"/>
        <v>Incomplete</v>
      </c>
      <c r="L15" s="39">
        <f t="shared" si="2"/>
        <v>8</v>
      </c>
      <c r="M15" s="42" t="str">
        <f>IF('8'!$A$8="","",'8'!$A$8)</f>
        <v/>
      </c>
      <c r="N15" s="42" t="str">
        <f>IF('8'!$A$19="","",'8'!$A$19)</f>
        <v/>
      </c>
      <c r="O15" s="42"/>
      <c r="P15" s="42"/>
      <c r="Q15" s="42"/>
      <c r="R15" s="42"/>
      <c r="S15" s="42"/>
      <c r="T15" s="73" t="s">
        <v>63</v>
      </c>
      <c r="U15" s="73"/>
      <c r="V15" s="73"/>
      <c r="W15" s="73"/>
      <c r="X15" s="73"/>
    </row>
    <row r="16" spans="1:24">
      <c r="A16" s="39">
        <v>9</v>
      </c>
      <c r="B16" s="53">
        <f t="shared" si="0"/>
        <v>2.5</v>
      </c>
      <c r="C16" s="40">
        <v>1.75</v>
      </c>
      <c r="D16" s="40">
        <v>0.75</v>
      </c>
      <c r="E16" s="40"/>
      <c r="F16" s="40"/>
      <c r="G16" s="40"/>
      <c r="H16" s="40"/>
      <c r="I16" s="40"/>
      <c r="J16" s="41" t="str">
        <f t="shared" ca="1" si="1"/>
        <v>Incomplete</v>
      </c>
      <c r="L16" s="39">
        <f t="shared" si="2"/>
        <v>9</v>
      </c>
      <c r="M16" s="42" t="str">
        <f>IF('9'!$A$8="","",'9'!$A$8)</f>
        <v/>
      </c>
      <c r="N16" s="42" t="str">
        <f>IF('9'!$A$32="","",'9'!$A$32)</f>
        <v/>
      </c>
      <c r="O16" s="42"/>
      <c r="P16" s="42"/>
      <c r="Q16" s="42"/>
      <c r="R16" s="42"/>
      <c r="S16" s="42"/>
      <c r="T16" s="73" t="s">
        <v>94</v>
      </c>
      <c r="U16" s="73"/>
      <c r="V16" s="73"/>
      <c r="W16" s="73"/>
      <c r="X16" s="73"/>
    </row>
    <row r="17" spans="1:24">
      <c r="A17" s="39">
        <v>10</v>
      </c>
      <c r="B17" s="53">
        <f t="shared" si="0"/>
        <v>2</v>
      </c>
      <c r="C17" s="40">
        <v>0.5</v>
      </c>
      <c r="D17" s="40">
        <v>1.5</v>
      </c>
      <c r="E17" s="40"/>
      <c r="F17" s="40"/>
      <c r="G17" s="40"/>
      <c r="H17" s="40"/>
      <c r="I17" s="40"/>
      <c r="J17" s="41" t="str">
        <f t="shared" ca="1" si="1"/>
        <v>Incomplete</v>
      </c>
      <c r="L17" s="39">
        <f t="shared" si="2"/>
        <v>10</v>
      </c>
      <c r="M17" s="42" t="str">
        <f>IF('10'!$A$8="","",'10'!$A$8)</f>
        <v/>
      </c>
      <c r="N17" s="42" t="str">
        <f>IF('10'!$A$12="","",'10'!$A$12)</f>
        <v/>
      </c>
      <c r="O17" s="42"/>
      <c r="P17" s="42"/>
      <c r="Q17" s="42"/>
      <c r="R17" s="42"/>
      <c r="S17" s="42"/>
      <c r="T17" s="738" t="s">
        <v>102</v>
      </c>
      <c r="U17" s="73"/>
      <c r="V17" s="73"/>
      <c r="W17" s="73"/>
      <c r="X17" s="73"/>
    </row>
    <row r="18" spans="1:24">
      <c r="A18" s="39">
        <v>11</v>
      </c>
      <c r="B18" s="53">
        <f t="shared" si="0"/>
        <v>1.5</v>
      </c>
      <c r="C18" s="40">
        <v>1</v>
      </c>
      <c r="D18" s="40">
        <v>0.5</v>
      </c>
      <c r="E18" s="40"/>
      <c r="F18" s="40"/>
      <c r="G18" s="40"/>
      <c r="H18" s="40"/>
      <c r="I18" s="40"/>
      <c r="J18" s="41" t="str">
        <f t="shared" ca="1" si="1"/>
        <v>Incomplete</v>
      </c>
      <c r="L18" s="39">
        <f t="shared" si="2"/>
        <v>11</v>
      </c>
      <c r="M18" s="42" t="str">
        <f>IF('11'!$A$8="","",'11'!$A$8)</f>
        <v/>
      </c>
      <c r="N18" s="42" t="str">
        <f>IF('11'!$A$16="","",'11'!$A$16)</f>
        <v/>
      </c>
      <c r="O18" s="42"/>
      <c r="P18" s="42"/>
      <c r="Q18" s="42"/>
      <c r="R18" s="42"/>
      <c r="S18" s="42"/>
      <c r="T18" s="73" t="s">
        <v>120</v>
      </c>
      <c r="U18" s="73"/>
      <c r="V18" s="73"/>
      <c r="W18" s="73"/>
      <c r="X18" s="73"/>
    </row>
    <row r="19" spans="1:24">
      <c r="A19" s="39">
        <v>12</v>
      </c>
      <c r="B19" s="53">
        <f t="shared" si="0"/>
        <v>3.25</v>
      </c>
      <c r="C19" s="40">
        <v>2</v>
      </c>
      <c r="D19" s="40">
        <v>0.5</v>
      </c>
      <c r="E19" s="40">
        <v>0.75</v>
      </c>
      <c r="F19" s="40"/>
      <c r="G19" s="40"/>
      <c r="H19" s="40"/>
      <c r="I19" s="40"/>
      <c r="J19" s="41" t="str">
        <f t="shared" ca="1" si="1"/>
        <v>Incomplete</v>
      </c>
      <c r="L19" s="39">
        <f t="shared" si="2"/>
        <v>12</v>
      </c>
      <c r="M19" s="42" t="str">
        <f>IF('12'!$A$8="","",'12'!$A$8)</f>
        <v/>
      </c>
      <c r="N19" s="42" t="str">
        <f>IF('12'!$A$12="","",'12'!$A$12)</f>
        <v/>
      </c>
      <c r="O19" s="42" t="str">
        <f>IF('12'!$A$16="","",'12'!$A$16)</f>
        <v/>
      </c>
      <c r="P19" s="42"/>
      <c r="Q19" s="42"/>
      <c r="R19" s="42"/>
      <c r="S19" s="42"/>
      <c r="T19" s="738" t="s">
        <v>120</v>
      </c>
      <c r="U19" s="73"/>
      <c r="V19" s="73"/>
      <c r="W19" s="73"/>
      <c r="X19" s="73"/>
    </row>
    <row r="20" spans="1:24">
      <c r="A20" s="39">
        <v>13</v>
      </c>
      <c r="B20" s="53">
        <f t="shared" si="0"/>
        <v>3.75</v>
      </c>
      <c r="C20" s="40">
        <v>1</v>
      </c>
      <c r="D20" s="40">
        <v>1.25</v>
      </c>
      <c r="E20" s="40">
        <v>1.5</v>
      </c>
      <c r="F20" s="40"/>
      <c r="G20" s="40"/>
      <c r="H20" s="40"/>
      <c r="I20" s="40"/>
      <c r="J20" s="41" t="str">
        <f t="shared" ca="1" si="1"/>
        <v>Incomplete</v>
      </c>
      <c r="L20" s="39">
        <f t="shared" si="2"/>
        <v>13</v>
      </c>
      <c r="M20" s="42" t="str">
        <f>IF('13'!$A$8="","",'13'!$A$8)</f>
        <v/>
      </c>
      <c r="N20" s="42" t="str">
        <f>IF('13'!$A$12="","",'13'!$A$12)</f>
        <v/>
      </c>
      <c r="O20" s="42" t="str">
        <f>IF('13'!$A$21="","",'13'!$A$21)</f>
        <v/>
      </c>
      <c r="P20" s="42"/>
      <c r="Q20" s="42"/>
      <c r="R20" s="42"/>
      <c r="S20" s="42"/>
      <c r="T20" s="738" t="s">
        <v>225</v>
      </c>
      <c r="U20" s="73"/>
      <c r="V20" s="73"/>
      <c r="W20" s="73"/>
      <c r="X20" s="73"/>
    </row>
    <row r="21" spans="1:24">
      <c r="A21" s="39">
        <v>14</v>
      </c>
      <c r="B21" s="53">
        <f t="shared" si="0"/>
        <v>1</v>
      </c>
      <c r="C21" s="40">
        <v>1</v>
      </c>
      <c r="D21" s="40"/>
      <c r="E21" s="40"/>
      <c r="F21" s="40"/>
      <c r="G21" s="40"/>
      <c r="H21" s="40"/>
      <c r="I21" s="40"/>
      <c r="J21" s="41" t="str">
        <f t="shared" ca="1" si="1"/>
        <v>Incomplete</v>
      </c>
      <c r="L21" s="39">
        <f t="shared" si="2"/>
        <v>14</v>
      </c>
      <c r="M21" s="42" t="str">
        <f>IF('14'!$A$8="","",'14'!$A$8)</f>
        <v/>
      </c>
      <c r="N21" s="42"/>
      <c r="O21" s="42"/>
      <c r="P21" s="42"/>
      <c r="Q21" s="42"/>
      <c r="R21" s="42"/>
      <c r="S21" s="42"/>
      <c r="T21" s="738" t="s">
        <v>226</v>
      </c>
      <c r="U21" s="73"/>
      <c r="V21" s="73"/>
      <c r="W21" s="73"/>
      <c r="X21" s="73"/>
    </row>
    <row r="22" spans="1:24">
      <c r="A22" s="39">
        <v>15</v>
      </c>
      <c r="B22" s="53">
        <f t="shared" si="0"/>
        <v>1.25</v>
      </c>
      <c r="C22" s="40">
        <v>1.25</v>
      </c>
      <c r="D22" s="40"/>
      <c r="E22" s="40"/>
      <c r="F22" s="40"/>
      <c r="G22" s="40"/>
      <c r="H22" s="40"/>
      <c r="I22" s="40"/>
      <c r="J22" s="41" t="str">
        <f t="shared" ca="1" si="1"/>
        <v>Incomplete</v>
      </c>
      <c r="L22" s="39">
        <f t="shared" si="2"/>
        <v>15</v>
      </c>
      <c r="M22" s="42" t="str">
        <f>IF('15'!$A$8="","",'15'!$A$8)</f>
        <v/>
      </c>
      <c r="N22" s="42"/>
      <c r="O22" s="42"/>
      <c r="P22" s="42"/>
      <c r="Q22" s="42"/>
      <c r="R22" s="42"/>
      <c r="S22" s="42"/>
      <c r="T22" s="738" t="s">
        <v>242</v>
      </c>
      <c r="U22" s="73"/>
      <c r="V22" s="73"/>
      <c r="W22" s="73"/>
      <c r="X22" s="73"/>
    </row>
    <row r="23" spans="1:24">
      <c r="A23" s="39">
        <v>16</v>
      </c>
      <c r="B23" s="53">
        <f t="shared" si="0"/>
        <v>2.75</v>
      </c>
      <c r="C23" s="40">
        <v>0.5</v>
      </c>
      <c r="D23" s="40">
        <v>0.5</v>
      </c>
      <c r="E23" s="40">
        <v>0.75</v>
      </c>
      <c r="F23" s="40">
        <v>1</v>
      </c>
      <c r="G23" s="40"/>
      <c r="H23" s="40"/>
      <c r="I23" s="40"/>
      <c r="J23" s="41" t="str">
        <f t="shared" ca="1" si="1"/>
        <v>Incomplete</v>
      </c>
      <c r="L23" s="39">
        <f t="shared" si="2"/>
        <v>16</v>
      </c>
      <c r="M23" s="42" t="str">
        <f>IF('16'!$A$8="","",'16'!$A$8)</f>
        <v/>
      </c>
      <c r="N23" s="42" t="str">
        <f>IF('16'!$A$12="","",'16'!$A$12)</f>
        <v/>
      </c>
      <c r="O23" s="42" t="str">
        <f>IF('16'!$A$16="","",'16'!$A$16)</f>
        <v/>
      </c>
      <c r="P23" s="42" t="str">
        <f>IF('16'!$A$20="","",'16'!$A$20)</f>
        <v/>
      </c>
      <c r="Q23" s="42"/>
      <c r="R23" s="42"/>
      <c r="S23" s="42"/>
      <c r="T23" s="738" t="s">
        <v>242</v>
      </c>
      <c r="U23" s="73"/>
      <c r="V23" s="73"/>
      <c r="W23" s="73"/>
      <c r="X23" s="73"/>
    </row>
    <row r="24" spans="1:24">
      <c r="A24" s="39">
        <v>17</v>
      </c>
      <c r="B24" s="53">
        <f t="shared" si="0"/>
        <v>2.5</v>
      </c>
      <c r="C24" s="40">
        <v>0.5</v>
      </c>
      <c r="D24" s="40">
        <v>0.5</v>
      </c>
      <c r="E24" s="40">
        <v>0.75</v>
      </c>
      <c r="F24" s="40">
        <v>0.75</v>
      </c>
      <c r="G24" s="40"/>
      <c r="H24" s="40"/>
      <c r="I24" s="40"/>
      <c r="J24" s="41" t="str">
        <f t="shared" ca="1" si="1"/>
        <v>Incomplete</v>
      </c>
      <c r="L24" s="39">
        <f t="shared" si="2"/>
        <v>17</v>
      </c>
      <c r="M24" s="42" t="str">
        <f>IF('17'!$A$8="","",'17'!$A$8)</f>
        <v/>
      </c>
      <c r="N24" s="42" t="str">
        <f>IF('17'!$A$15="","",'17'!$A$15)</f>
        <v/>
      </c>
      <c r="O24" s="42" t="str">
        <f>IF('17'!$A$19="","",'17'!$A$19)</f>
        <v/>
      </c>
      <c r="P24" s="42" t="str">
        <f>IF('17'!$A$34="","",'17'!$A$34)</f>
        <v/>
      </c>
      <c r="Q24" s="42"/>
      <c r="R24" s="42"/>
      <c r="S24" s="42"/>
      <c r="T24" s="73" t="s">
        <v>279</v>
      </c>
      <c r="U24" s="73"/>
      <c r="V24" s="73"/>
      <c r="W24" s="73"/>
      <c r="X24" s="73"/>
    </row>
    <row r="25" spans="1:24">
      <c r="A25" s="39">
        <v>18</v>
      </c>
      <c r="B25" s="53">
        <f t="shared" si="0"/>
        <v>1</v>
      </c>
      <c r="C25" s="40">
        <v>0.5</v>
      </c>
      <c r="D25" s="40">
        <v>0.5</v>
      </c>
      <c r="E25" s="40"/>
      <c r="F25" s="40"/>
      <c r="G25" s="40"/>
      <c r="H25" s="40"/>
      <c r="I25" s="40"/>
      <c r="J25" s="41" t="str">
        <f t="shared" ca="1" si="1"/>
        <v>Incomplete</v>
      </c>
      <c r="L25" s="39">
        <f t="shared" si="2"/>
        <v>18</v>
      </c>
      <c r="M25" s="42" t="str">
        <f>IF('18'!$A$8="","",'18'!$A$8)</f>
        <v/>
      </c>
      <c r="N25" s="42" t="str">
        <f>IF('18'!$A$12="","",'18'!$A$12)</f>
        <v/>
      </c>
      <c r="O25" s="42"/>
      <c r="P25" s="42"/>
      <c r="Q25" s="42"/>
      <c r="R25" s="42"/>
      <c r="S25" s="42"/>
      <c r="T25" s="748" t="s">
        <v>871</v>
      </c>
      <c r="U25" s="748"/>
      <c r="V25" s="748"/>
      <c r="W25" s="748"/>
      <c r="X25" s="748"/>
    </row>
    <row r="26" spans="1:24">
      <c r="A26" s="39">
        <v>19</v>
      </c>
      <c r="B26" s="53">
        <f t="shared" si="0"/>
        <v>0.75</v>
      </c>
      <c r="C26" s="40">
        <v>0.75</v>
      </c>
      <c r="D26" s="40"/>
      <c r="E26" s="40"/>
      <c r="F26" s="40"/>
      <c r="G26" s="40"/>
      <c r="H26" s="40"/>
      <c r="I26" s="40"/>
      <c r="J26" s="41" t="str">
        <f t="shared" ca="1" si="1"/>
        <v>Incomplete</v>
      </c>
      <c r="L26" s="39">
        <f t="shared" si="2"/>
        <v>19</v>
      </c>
      <c r="M26" s="42" t="str">
        <f>IF('19'!$A$8="","",'19'!$A$8)</f>
        <v/>
      </c>
      <c r="N26" s="42"/>
      <c r="O26" s="42"/>
      <c r="P26" s="42"/>
      <c r="Q26" s="42"/>
      <c r="R26" s="42"/>
      <c r="S26" s="42"/>
      <c r="T26" s="73" t="s">
        <v>314</v>
      </c>
      <c r="U26" s="73"/>
      <c r="V26" s="73"/>
      <c r="W26" s="73"/>
      <c r="X26" s="73"/>
    </row>
    <row r="27" spans="1:24">
      <c r="A27" s="39">
        <v>20</v>
      </c>
      <c r="B27" s="53">
        <f t="shared" si="0"/>
        <v>1.5</v>
      </c>
      <c r="C27" s="40">
        <v>0.25</v>
      </c>
      <c r="D27" s="40">
        <v>0.25</v>
      </c>
      <c r="E27" s="40">
        <v>0.25</v>
      </c>
      <c r="F27" s="40">
        <v>0.25</v>
      </c>
      <c r="G27" s="40">
        <v>0.25</v>
      </c>
      <c r="H27" s="40">
        <v>0.25</v>
      </c>
      <c r="I27" s="40"/>
      <c r="J27" s="41" t="str">
        <f t="shared" ref="J27:J32" ca="1" si="3">INDIRECT("'"&amp;A27&amp;"'!B1")</f>
        <v>Incomplete</v>
      </c>
      <c r="L27" s="39">
        <f t="shared" ref="L27:L32" si="4">A27</f>
        <v>20</v>
      </c>
      <c r="M27" s="42" t="str">
        <f>IF('20'!$A$8="","",'20'!$A$8)</f>
        <v/>
      </c>
      <c r="N27" s="42" t="str">
        <f>IF('20'!$A$12="","",'20'!$A$12)</f>
        <v/>
      </c>
      <c r="O27" s="42" t="str">
        <f>IF('20'!$A$16="","",'20'!$A$16)</f>
        <v/>
      </c>
      <c r="P27" s="42" t="str">
        <f>IF('20'!$A$20="","",'20'!$A$20)</f>
        <v/>
      </c>
      <c r="Q27" s="42" t="str">
        <f>IF('20'!$A$24="","",'20'!$A$24)</f>
        <v/>
      </c>
      <c r="R27" s="42" t="str">
        <f>IF('20'!$A$28="","",'20'!$A$28)</f>
        <v/>
      </c>
      <c r="S27" s="42"/>
      <c r="T27" s="738" t="s">
        <v>342</v>
      </c>
      <c r="U27" s="73"/>
      <c r="V27" s="73"/>
      <c r="W27" s="73"/>
      <c r="X27" s="73"/>
    </row>
    <row r="28" spans="1:24">
      <c r="A28" s="39">
        <v>21</v>
      </c>
      <c r="B28" s="53">
        <f t="shared" si="0"/>
        <v>2.25</v>
      </c>
      <c r="C28" s="40">
        <v>1</v>
      </c>
      <c r="D28" s="40">
        <v>0.25</v>
      </c>
      <c r="E28" s="40">
        <v>1</v>
      </c>
      <c r="F28" s="40"/>
      <c r="G28" s="40"/>
      <c r="H28" s="40"/>
      <c r="I28" s="40"/>
      <c r="J28" s="41" t="str">
        <f t="shared" ca="1" si="3"/>
        <v>Incomplete</v>
      </c>
      <c r="L28" s="39">
        <f t="shared" si="4"/>
        <v>21</v>
      </c>
      <c r="M28" s="42" t="str">
        <f>IF('21'!$A$8="","",'21'!$A$8)</f>
        <v/>
      </c>
      <c r="N28" s="42" t="str">
        <f>IF('21'!$A$22="","",'21'!$A$22)</f>
        <v/>
      </c>
      <c r="O28" s="42" t="str">
        <f>IF('21'!$A$26="","",'21'!$A$26)</f>
        <v/>
      </c>
      <c r="P28" s="42"/>
      <c r="Q28" s="42"/>
      <c r="R28" s="42"/>
      <c r="S28" s="42"/>
      <c r="T28" s="73" t="s">
        <v>343</v>
      </c>
      <c r="U28" s="73"/>
      <c r="V28" s="73"/>
      <c r="W28" s="73"/>
      <c r="X28" s="73"/>
    </row>
    <row r="29" spans="1:24">
      <c r="A29" s="39">
        <v>22</v>
      </c>
      <c r="B29" s="53">
        <f t="shared" si="0"/>
        <v>1.75</v>
      </c>
      <c r="C29" s="40">
        <v>0.25</v>
      </c>
      <c r="D29" s="40">
        <v>0.5</v>
      </c>
      <c r="E29" s="40">
        <v>1</v>
      </c>
      <c r="F29" s="40"/>
      <c r="G29" s="40"/>
      <c r="H29" s="40"/>
      <c r="I29" s="40"/>
      <c r="J29" s="41" t="str">
        <f t="shared" ca="1" si="3"/>
        <v>Incomplete</v>
      </c>
      <c r="L29" s="39">
        <f t="shared" si="4"/>
        <v>22</v>
      </c>
      <c r="M29" s="42" t="str">
        <f>IF('22'!$A$8="","",'22'!$A$8)</f>
        <v/>
      </c>
      <c r="N29" s="42" t="str">
        <f>IF('22'!$A$12="","",'22'!$A$12)</f>
        <v/>
      </c>
      <c r="O29" s="42" t="str">
        <f>IF('22'!$A$16="","",'22'!$A$16)</f>
        <v/>
      </c>
      <c r="P29" s="42"/>
      <c r="Q29" s="42"/>
      <c r="R29" s="42"/>
      <c r="S29" s="42"/>
      <c r="T29" s="738" t="s">
        <v>346</v>
      </c>
      <c r="U29" s="73"/>
      <c r="V29" s="73"/>
      <c r="W29" s="73"/>
      <c r="X29" s="73"/>
    </row>
    <row r="30" spans="1:24">
      <c r="A30" s="43">
        <v>23</v>
      </c>
      <c r="B30" s="53">
        <f t="shared" si="0"/>
        <v>3</v>
      </c>
      <c r="C30" s="40">
        <v>0.5</v>
      </c>
      <c r="D30" s="40">
        <v>1</v>
      </c>
      <c r="E30" s="40">
        <v>1.5</v>
      </c>
      <c r="F30" s="40"/>
      <c r="G30" s="40"/>
      <c r="H30" s="40"/>
      <c r="I30" s="40"/>
      <c r="J30" s="41" t="str">
        <f t="shared" ca="1" si="3"/>
        <v>Incomplete</v>
      </c>
      <c r="L30" s="39">
        <f t="shared" si="4"/>
        <v>23</v>
      </c>
      <c r="M30" s="42" t="str">
        <f>IF('23'!$A$8="","",'23'!$A$8)</f>
        <v/>
      </c>
      <c r="N30" s="42" t="str">
        <f>IF('23'!$A$12="","",'23'!$A$12)</f>
        <v/>
      </c>
      <c r="O30" s="42" t="str">
        <f>IF('23'!$A$16="","",'23'!$A$16)</f>
        <v/>
      </c>
      <c r="P30" s="42"/>
      <c r="Q30" s="42"/>
      <c r="R30" s="42"/>
      <c r="S30" s="42"/>
      <c r="T30" s="73" t="s">
        <v>344</v>
      </c>
      <c r="U30" s="73"/>
      <c r="V30" s="73"/>
      <c r="W30" s="73"/>
      <c r="X30" s="73"/>
    </row>
    <row r="31" spans="1:24">
      <c r="A31" s="43">
        <v>24</v>
      </c>
      <c r="B31" s="53">
        <f t="shared" si="0"/>
        <v>4.5</v>
      </c>
      <c r="C31" s="40">
        <v>1</v>
      </c>
      <c r="D31" s="40">
        <v>1</v>
      </c>
      <c r="E31" s="40">
        <v>2.5</v>
      </c>
      <c r="F31" s="40"/>
      <c r="G31" s="40"/>
      <c r="H31" s="40"/>
      <c r="I31" s="40"/>
      <c r="J31" s="41" t="str">
        <f t="shared" ca="1" si="3"/>
        <v>Incomplete</v>
      </c>
      <c r="L31" s="39">
        <f t="shared" si="4"/>
        <v>24</v>
      </c>
      <c r="M31" s="42" t="str">
        <f>IF('24'!$A$8="","",'24'!$A$8)</f>
        <v/>
      </c>
      <c r="N31" s="42" t="str">
        <f>IF('24'!$A$12="","",'24'!$A$12)</f>
        <v/>
      </c>
      <c r="O31" s="42" t="str">
        <f>IF('24'!$A$16="","",'24'!$A$16)</f>
        <v/>
      </c>
      <c r="P31" s="42"/>
      <c r="Q31" s="42"/>
      <c r="R31" s="42"/>
      <c r="S31" s="42"/>
      <c r="T31" s="73" t="s">
        <v>345</v>
      </c>
      <c r="U31" s="73"/>
      <c r="V31" s="73"/>
      <c r="W31" s="73"/>
      <c r="X31" s="73"/>
    </row>
    <row r="32" spans="1:24">
      <c r="A32" s="39">
        <v>25</v>
      </c>
      <c r="B32" s="55">
        <f t="shared" si="0"/>
        <v>1.75</v>
      </c>
      <c r="C32" s="40">
        <v>0.25</v>
      </c>
      <c r="D32" s="40">
        <v>1.5</v>
      </c>
      <c r="E32" s="40"/>
      <c r="F32" s="40"/>
      <c r="G32" s="40"/>
      <c r="H32" s="40"/>
      <c r="I32" s="40"/>
      <c r="J32" s="41" t="str">
        <f t="shared" ca="1" si="3"/>
        <v>Incomplete</v>
      </c>
      <c r="L32" s="39">
        <f t="shared" si="4"/>
        <v>25</v>
      </c>
      <c r="M32" s="42" t="str">
        <f>IF('25'!$A$8="","",'25'!$A$8)</f>
        <v/>
      </c>
      <c r="N32" s="42" t="str">
        <f>IF('25'!$A$15="","",'25'!$A$15)</f>
        <v/>
      </c>
      <c r="O32" s="42"/>
      <c r="P32" s="42"/>
      <c r="Q32" s="42"/>
      <c r="R32" s="42"/>
      <c r="S32" s="42"/>
      <c r="T32" s="73" t="s">
        <v>347</v>
      </c>
      <c r="U32" s="73"/>
      <c r="V32" s="73"/>
      <c r="W32" s="73"/>
      <c r="X32" s="73"/>
    </row>
    <row r="33" spans="1:24">
      <c r="A33" s="56">
        <v>26</v>
      </c>
      <c r="B33" s="57">
        <f>SUM(C33:I33)</f>
        <v>3</v>
      </c>
      <c r="C33" s="58">
        <v>1.25</v>
      </c>
      <c r="D33" s="58">
        <v>1.75</v>
      </c>
      <c r="E33" s="58"/>
      <c r="F33" s="58"/>
      <c r="G33" s="58"/>
      <c r="H33" s="58"/>
      <c r="I33" s="40"/>
      <c r="J33" s="41" t="str">
        <f ca="1">INDIRECT("'"&amp;A33&amp;"'!B1")</f>
        <v>Incomplete</v>
      </c>
      <c r="L33" s="56">
        <v>26</v>
      </c>
      <c r="M33" s="42" t="str">
        <f>IF('26'!$A$8="","",'26'!$A$8)</f>
        <v/>
      </c>
      <c r="N33" s="42" t="str">
        <f>IF('26'!$A$12="","",'26'!$A$12)</f>
        <v/>
      </c>
      <c r="O33" s="42" t="str">
        <f>IF('26'!$A$19="","",'26'!$A$19)</f>
        <v/>
      </c>
      <c r="P33" s="42"/>
      <c r="Q33" s="42"/>
      <c r="R33" s="42"/>
      <c r="S33" s="42"/>
      <c r="T33" s="73" t="s">
        <v>348</v>
      </c>
      <c r="U33" s="73"/>
      <c r="V33" s="73"/>
      <c r="W33" s="73"/>
      <c r="X33" s="73"/>
    </row>
    <row r="34" spans="1:24">
      <c r="A34" s="56">
        <v>27</v>
      </c>
      <c r="B34" s="57">
        <f>SUM(C34:I34)</f>
        <v>1.75</v>
      </c>
      <c r="C34" s="58">
        <v>0.25</v>
      </c>
      <c r="D34" s="58">
        <v>0.25</v>
      </c>
      <c r="E34" s="58">
        <v>0.75</v>
      </c>
      <c r="F34" s="58">
        <v>0.5</v>
      </c>
      <c r="G34" s="58"/>
      <c r="H34" s="58"/>
      <c r="I34" s="40"/>
      <c r="J34" s="41" t="str">
        <f ca="1">INDIRECT("'"&amp;A34&amp;"'!B1")</f>
        <v>Incomplete</v>
      </c>
      <c r="L34" s="56">
        <v>27</v>
      </c>
      <c r="M34" s="42" t="str">
        <f>IF('27'!$A$8="","",'27'!$A$8)</f>
        <v/>
      </c>
      <c r="N34" s="42" t="str">
        <f>IF('27'!$A$12="","",'27'!$A$12)</f>
        <v/>
      </c>
      <c r="O34" s="42" t="str">
        <f>IF('27'!$A$16="","",'27'!$A$16)</f>
        <v/>
      </c>
      <c r="P34" s="42" t="str">
        <f>IF('27'!$A$25="","",'27'!$A$25)</f>
        <v/>
      </c>
      <c r="Q34" s="42"/>
      <c r="R34" s="42"/>
      <c r="S34" s="42"/>
      <c r="T34" s="73" t="s">
        <v>349</v>
      </c>
      <c r="U34" s="73"/>
      <c r="V34" s="73"/>
      <c r="W34" s="73"/>
      <c r="X34" s="73"/>
    </row>
    <row r="35" spans="1:24">
      <c r="A35" s="56">
        <v>28</v>
      </c>
      <c r="B35" s="57">
        <f>SUM(C35:I35)</f>
        <v>3</v>
      </c>
      <c r="C35" s="58">
        <v>0.5</v>
      </c>
      <c r="D35" s="58">
        <v>0.5</v>
      </c>
      <c r="E35" s="58">
        <v>0.5</v>
      </c>
      <c r="F35" s="58">
        <v>1.5</v>
      </c>
      <c r="G35" s="58"/>
      <c r="H35" s="58"/>
      <c r="I35" s="40"/>
      <c r="J35" s="41" t="str">
        <f ca="1">INDIRECT("'"&amp;A35&amp;"'!B1")</f>
        <v>Incomplete</v>
      </c>
      <c r="L35" s="56">
        <v>28</v>
      </c>
      <c r="M35" s="42" t="str">
        <f>IF('28'!$A$8="","",'28'!$A$8)</f>
        <v/>
      </c>
      <c r="N35" s="42" t="str">
        <f>IF('28'!$A$23="","",'28'!$A$23)</f>
        <v/>
      </c>
      <c r="O35" s="42" t="str">
        <f>IF('28'!$A$27="","",'28'!$A$27)</f>
        <v/>
      </c>
      <c r="P35" s="42" t="str">
        <f>IF('28'!$A$39="","",'28'!$A$39)</f>
        <v/>
      </c>
      <c r="Q35" s="42"/>
      <c r="R35" s="42"/>
      <c r="S35" s="42"/>
      <c r="T35" s="73" t="s">
        <v>350</v>
      </c>
      <c r="U35" s="73"/>
      <c r="V35" s="73"/>
      <c r="W35" s="73"/>
      <c r="X35" s="73"/>
    </row>
    <row r="36" spans="1:24">
      <c r="A36" s="56">
        <v>29</v>
      </c>
      <c r="B36" s="57">
        <f>SUM(C36:I36)</f>
        <v>2</v>
      </c>
      <c r="C36" s="58">
        <v>2</v>
      </c>
      <c r="D36" s="58"/>
      <c r="E36" s="58"/>
      <c r="F36" s="58"/>
      <c r="G36" s="58"/>
      <c r="H36" s="58"/>
      <c r="I36" s="40"/>
      <c r="J36" s="41" t="str">
        <f ca="1">INDIRECT("'"&amp;A36&amp;"'!B1")</f>
        <v>Incomplete</v>
      </c>
      <c r="L36" s="56">
        <v>29</v>
      </c>
      <c r="M36" s="42" t="str">
        <f>IF('29'!$A$8="","",'29'!$A$8)</f>
        <v/>
      </c>
      <c r="N36" s="42"/>
      <c r="O36" s="42"/>
      <c r="P36" s="42"/>
      <c r="Q36" s="42"/>
      <c r="R36" s="42"/>
      <c r="S36" s="42"/>
      <c r="T36" s="73" t="s">
        <v>351</v>
      </c>
      <c r="U36" s="73"/>
      <c r="V36" s="73"/>
      <c r="W36" s="73"/>
      <c r="X36" s="73"/>
    </row>
    <row r="37" spans="1:24">
      <c r="A37" s="56">
        <v>30</v>
      </c>
      <c r="B37" s="60">
        <f>SUM(C37:I37)</f>
        <v>2.5</v>
      </c>
      <c r="C37" s="58">
        <v>0.75</v>
      </c>
      <c r="D37" s="58">
        <v>1.75</v>
      </c>
      <c r="E37" s="58"/>
      <c r="F37" s="58"/>
      <c r="G37" s="58"/>
      <c r="H37" s="58"/>
      <c r="I37" s="40"/>
      <c r="J37" s="41" t="str">
        <f ca="1">INDIRECT("'"&amp;A37&amp;"'!B1")</f>
        <v>Incomplete</v>
      </c>
      <c r="L37" s="56">
        <v>30</v>
      </c>
      <c r="M37" s="42" t="str">
        <f>IF('30'!$A$8="","",'30'!$A$8)</f>
        <v/>
      </c>
      <c r="N37" s="42" t="str">
        <f>IF('30'!$A$12="","",'30'!$A$12)</f>
        <v/>
      </c>
      <c r="O37" s="42"/>
      <c r="P37" s="42"/>
      <c r="Q37" s="42"/>
      <c r="R37" s="42"/>
      <c r="S37" s="42"/>
      <c r="T37" s="73" t="s">
        <v>352</v>
      </c>
      <c r="U37" s="73"/>
      <c r="V37" s="73"/>
      <c r="W37" s="73"/>
      <c r="X37" s="73"/>
    </row>
  </sheetData>
  <mergeCells count="1">
    <mergeCell ref="B6:B7"/>
  </mergeCells>
  <conditionalFormatting sqref="J8:J37">
    <cfRule type="cellIs" dxfId="101" priority="217" operator="equal">
      <formula>"Finished"</formula>
    </cfRule>
    <cfRule type="cellIs" dxfId="100" priority="218" operator="equal">
      <formula>"Flag for Review"</formula>
    </cfRule>
    <cfRule type="cellIs" dxfId="99" priority="219" operator="equal">
      <formula>"Incomplete"</formula>
    </cfRule>
  </conditionalFormatting>
  <conditionalFormatting sqref="P2">
    <cfRule type="expression" dxfId="98" priority="56">
      <formula>LEN(P2)=0</formula>
    </cfRule>
    <cfRule type="cellIs" dxfId="97" priority="214" operator="greaterThanOrEqual">
      <formula>0.75</formula>
    </cfRule>
    <cfRule type="cellIs" dxfId="96" priority="215" operator="greaterThanOrEqual">
      <formula>0.65</formula>
    </cfRule>
    <cfRule type="cellIs" dxfId="95" priority="216" operator="greaterThanOrEqual">
      <formula>0</formula>
    </cfRule>
  </conditionalFormatting>
  <conditionalFormatting sqref="C8:I32 I32:I37 C10:H37">
    <cfRule type="containsBlanks" dxfId="94" priority="220">
      <formula>LEN(TRIM(C8))=0</formula>
    </cfRule>
  </conditionalFormatting>
  <conditionalFormatting sqref="M8:S37">
    <cfRule type="expression" dxfId="93" priority="29">
      <formula>C8=""</formula>
    </cfRule>
    <cfRule type="expression" dxfId="92" priority="30">
      <formula>M8/C8&gt;=0.75</formula>
    </cfRule>
    <cfRule type="expression" dxfId="91" priority="31">
      <formula>M8/C8&gt;=0.65</formula>
    </cfRule>
    <cfRule type="expression" dxfId="90" priority="32">
      <formula>M8/C8&gt;=0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L32" location="'25'!A1" display="'25'!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A33" location="'26'!A1" display="'26'!A1"/>
    <hyperlink ref="A34" location="'27'!A1" display="'27'!A1"/>
    <hyperlink ref="A35" location="'28'!A1" display="'28'!A1"/>
    <hyperlink ref="A36" location="'29'!A1" display="'29'!A1"/>
    <hyperlink ref="A37" location="'30'!A1" display="'30'!A1"/>
    <hyperlink ref="L33" location="'26'!A1" display="'26'!A1"/>
    <hyperlink ref="L34" location="'27'!A1" display="'27'!A1"/>
    <hyperlink ref="L35" location="'28'!A1" display="'28'!A1"/>
    <hyperlink ref="L36" location="'29'!A1" display="'29'!A1"/>
    <hyperlink ref="L37" location="'30'!A1" display="'30'!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1</v>
      </c>
      <c r="B1" s="27" t="s">
        <v>12</v>
      </c>
      <c r="C1" s="20"/>
      <c r="D1" s="20"/>
      <c r="E1" s="20"/>
      <c r="F1" s="20"/>
      <c r="G1" s="20"/>
      <c r="H1" s="886" t="s">
        <v>24</v>
      </c>
      <c r="I1" s="887"/>
      <c r="K1" s="1" t="s">
        <v>33</v>
      </c>
      <c r="L1" s="52" t="str">
        <f>VLOOKUP(A1,'Point Grid'!$L$8:$T$54,9,FALSE)</f>
        <v>General Pricing</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206</v>
      </c>
      <c r="L3" t="s">
        <v>308</v>
      </c>
      <c r="M3"/>
      <c r="N3"/>
      <c r="O3"/>
      <c r="P3"/>
      <c r="Q3"/>
      <c r="R3"/>
      <c r="S3"/>
      <c r="T3"/>
      <c r="U3"/>
    </row>
    <row r="4" spans="1:21">
      <c r="A4" s="9">
        <f>INDEX('Point Grid'!B:B,MATCH('1'!A1,'Point Grid'!A:A,0))</f>
        <v>1</v>
      </c>
      <c r="B4" s="17" t="s">
        <v>39</v>
      </c>
      <c r="C4" s="17"/>
      <c r="D4" s="17"/>
      <c r="E4" s="17"/>
      <c r="F4" s="17"/>
      <c r="G4" s="17"/>
      <c r="H4" s="17"/>
      <c r="I4" s="18"/>
      <c r="J4" s="31"/>
      <c r="K4" s="48"/>
      <c r="L4"/>
      <c r="M4"/>
      <c r="N4"/>
      <c r="O4"/>
      <c r="P4"/>
      <c r="Q4"/>
      <c r="R4"/>
      <c r="S4"/>
      <c r="T4"/>
      <c r="U4"/>
    </row>
    <row r="5" spans="1:21">
      <c r="A5" s="16"/>
      <c r="B5" s="17"/>
      <c r="C5" s="17"/>
      <c r="D5" s="17"/>
      <c r="E5" s="17"/>
      <c r="F5" s="17"/>
      <c r="G5" s="17"/>
      <c r="H5" s="17"/>
      <c r="I5" s="18"/>
      <c r="J5" s="31"/>
      <c r="K5" s="48"/>
      <c r="L5"/>
      <c r="M5"/>
      <c r="N5"/>
      <c r="O5"/>
      <c r="P5"/>
      <c r="Q5"/>
      <c r="R5"/>
      <c r="S5"/>
      <c r="T5"/>
      <c r="U5"/>
    </row>
    <row r="6" spans="1:21">
      <c r="A6" s="25" t="s">
        <v>2</v>
      </c>
      <c r="B6" s="17" t="s">
        <v>663</v>
      </c>
      <c r="C6" s="17"/>
      <c r="D6" s="17"/>
      <c r="E6" s="17"/>
      <c r="F6" s="17"/>
      <c r="G6" s="17"/>
      <c r="H6" s="17"/>
      <c r="I6" s="18"/>
      <c r="J6" s="31"/>
      <c r="K6" s="48"/>
      <c r="L6" s="1"/>
      <c r="M6"/>
      <c r="N6"/>
      <c r="O6"/>
      <c r="P6"/>
      <c r="Q6"/>
      <c r="R6"/>
      <c r="S6"/>
      <c r="T6"/>
      <c r="U6"/>
    </row>
    <row r="7" spans="1:21" ht="15.75" thickBot="1">
      <c r="A7" s="9">
        <f>INDEX('Point Grid'!$C$8:$I$54,MATCH($A$1,'Point Grid'!$A$8:$A$54,0),MATCH(A6,'Point Grid'!$C$7:$I$7,0))</f>
        <v>1</v>
      </c>
      <c r="B7" s="17" t="s">
        <v>664</v>
      </c>
      <c r="C7" s="17"/>
      <c r="D7" s="17"/>
      <c r="E7" s="17"/>
      <c r="F7" s="17"/>
      <c r="G7" s="17"/>
      <c r="H7" s="17"/>
      <c r="I7" s="18"/>
      <c r="J7" s="31"/>
      <c r="K7" s="48"/>
      <c r="L7"/>
      <c r="M7"/>
      <c r="N7"/>
      <c r="O7"/>
      <c r="P7"/>
      <c r="Q7"/>
      <c r="R7"/>
      <c r="S7"/>
      <c r="T7"/>
      <c r="U7"/>
    </row>
    <row r="8" spans="1:21" ht="15.75" thickBot="1">
      <c r="A8" s="5"/>
      <c r="B8" s="35"/>
      <c r="C8" s="28"/>
      <c r="D8" s="28"/>
      <c r="E8" s="28"/>
      <c r="F8" s="28"/>
      <c r="G8" s="28"/>
      <c r="H8" s="28"/>
      <c r="I8" s="18"/>
      <c r="J8" s="31"/>
      <c r="K8"/>
      <c r="L8"/>
      <c r="M8"/>
      <c r="N8"/>
      <c r="O8"/>
      <c r="P8"/>
      <c r="Q8"/>
      <c r="R8"/>
      <c r="S8"/>
      <c r="T8"/>
      <c r="U8"/>
    </row>
    <row r="9" spans="1:21">
      <c r="A9" s="25"/>
      <c r="B9" s="35"/>
      <c r="C9" s="17"/>
      <c r="D9" s="17"/>
      <c r="E9" s="17"/>
      <c r="F9" s="17"/>
      <c r="G9" s="17"/>
      <c r="H9" s="17"/>
      <c r="I9" s="18"/>
      <c r="J9" s="31"/>
      <c r="K9" s="48"/>
      <c r="L9"/>
      <c r="M9"/>
      <c r="N9"/>
      <c r="O9"/>
      <c r="P9"/>
      <c r="Q9"/>
      <c r="R9"/>
      <c r="S9"/>
    </row>
    <row r="10" spans="1:21">
      <c r="A10" s="25"/>
      <c r="B10" s="35"/>
      <c r="C10" s="17"/>
      <c r="D10" s="17"/>
      <c r="E10" s="17"/>
      <c r="F10" s="17"/>
      <c r="G10" s="17"/>
      <c r="H10" s="17"/>
      <c r="I10" s="18"/>
      <c r="J10" s="31"/>
      <c r="K10"/>
      <c r="L10" s="1"/>
      <c r="M10"/>
      <c r="N10"/>
      <c r="O10"/>
      <c r="P10"/>
      <c r="Q10"/>
      <c r="R10"/>
      <c r="S10"/>
      <c r="T10"/>
      <c r="U10"/>
    </row>
    <row r="11" spans="1:21">
      <c r="A11" s="25"/>
      <c r="B11" s="34" t="s">
        <v>41</v>
      </c>
      <c r="C11" s="17" t="s">
        <v>306</v>
      </c>
      <c r="D11" s="17"/>
      <c r="E11" s="17"/>
      <c r="F11" s="17"/>
      <c r="G11" s="17"/>
      <c r="H11" s="17"/>
      <c r="I11" s="18"/>
      <c r="J11" s="31"/>
      <c r="K11"/>
      <c r="L11"/>
      <c r="M11"/>
      <c r="N11"/>
      <c r="O11"/>
      <c r="P11"/>
      <c r="Q11"/>
      <c r="R11"/>
      <c r="S11"/>
      <c r="T11"/>
      <c r="U11"/>
    </row>
    <row r="12" spans="1:21">
      <c r="A12" s="25"/>
      <c r="B12" s="34"/>
      <c r="C12" s="17"/>
      <c r="D12" s="17"/>
      <c r="E12" s="17"/>
      <c r="F12" s="17"/>
      <c r="G12" s="17"/>
      <c r="H12" s="17"/>
      <c r="I12" s="18"/>
      <c r="J12" s="31"/>
      <c r="K12"/>
      <c r="L12"/>
      <c r="M12"/>
      <c r="N12"/>
      <c r="O12"/>
      <c r="P12"/>
      <c r="Q12"/>
      <c r="R12"/>
      <c r="S12"/>
      <c r="T12"/>
      <c r="U12"/>
    </row>
    <row r="13" spans="1:21">
      <c r="A13" s="25"/>
      <c r="B13" s="34"/>
      <c r="C13" s="17"/>
      <c r="D13" s="17"/>
      <c r="E13" s="17"/>
      <c r="F13" s="17"/>
      <c r="G13" s="17"/>
      <c r="H13" s="17"/>
      <c r="I13" s="18"/>
      <c r="J13" s="31"/>
      <c r="K13" s="48"/>
      <c r="L13"/>
      <c r="M13"/>
      <c r="N13"/>
      <c r="O13"/>
      <c r="P13"/>
      <c r="Q13"/>
      <c r="R13"/>
      <c r="S13"/>
      <c r="T13"/>
      <c r="U13"/>
    </row>
    <row r="14" spans="1:21">
      <c r="A14" s="25"/>
      <c r="B14" s="34" t="s">
        <v>40</v>
      </c>
      <c r="C14" s="17" t="s">
        <v>307</v>
      </c>
      <c r="D14" s="17"/>
      <c r="E14" s="17"/>
      <c r="F14" s="17"/>
      <c r="G14" s="17"/>
      <c r="H14" s="17"/>
      <c r="I14" s="18"/>
      <c r="J14" s="31"/>
      <c r="K14"/>
      <c r="L14"/>
      <c r="M14"/>
      <c r="N14"/>
      <c r="O14"/>
      <c r="P14"/>
      <c r="Q14"/>
      <c r="R14"/>
      <c r="S14"/>
      <c r="T14"/>
      <c r="U14"/>
    </row>
    <row r="15" spans="1:21">
      <c r="A15" s="25"/>
      <c r="B15" s="34"/>
      <c r="C15" s="17"/>
      <c r="D15" s="17"/>
      <c r="E15" s="17"/>
      <c r="F15" s="17"/>
      <c r="G15" s="17"/>
      <c r="H15" s="17"/>
      <c r="I15" s="18"/>
      <c r="J15" s="31"/>
      <c r="K15"/>
      <c r="L15"/>
      <c r="M15"/>
      <c r="N15"/>
      <c r="O15"/>
      <c r="P15"/>
      <c r="Q15"/>
      <c r="R15"/>
      <c r="S15"/>
      <c r="T15"/>
      <c r="U15"/>
    </row>
    <row r="16" spans="1:21">
      <c r="A16" s="25"/>
      <c r="B16" s="34"/>
      <c r="C16" s="17"/>
      <c r="D16" s="17"/>
      <c r="E16" s="17"/>
      <c r="F16" s="17"/>
      <c r="G16" s="17"/>
      <c r="H16" s="17"/>
      <c r="I16" s="18"/>
      <c r="J16" s="31"/>
      <c r="K16" s="48"/>
      <c r="L16" s="1"/>
      <c r="M16"/>
      <c r="N16"/>
      <c r="O16"/>
      <c r="P16"/>
      <c r="Q16"/>
      <c r="R16"/>
      <c r="S16"/>
      <c r="T16"/>
      <c r="U16"/>
    </row>
    <row r="17" spans="1:21">
      <c r="A17" s="25"/>
      <c r="B17" s="34" t="s">
        <v>42</v>
      </c>
      <c r="C17" s="17" t="s">
        <v>308</v>
      </c>
      <c r="D17" s="17"/>
      <c r="E17" s="17"/>
      <c r="F17" s="17"/>
      <c r="G17" s="17"/>
      <c r="H17" s="17"/>
      <c r="I17" s="18"/>
      <c r="J17" s="31"/>
      <c r="K17"/>
      <c r="L17"/>
      <c r="M17"/>
      <c r="N17"/>
      <c r="O17"/>
      <c r="P17"/>
      <c r="Q17"/>
      <c r="R17"/>
      <c r="S17"/>
      <c r="T17"/>
      <c r="U17"/>
    </row>
    <row r="18" spans="1:21" ht="15" customHeight="1">
      <c r="A18" s="25"/>
      <c r="B18" s="34"/>
      <c r="C18" s="17"/>
      <c r="D18" s="17"/>
      <c r="E18" s="17"/>
      <c r="F18" s="17"/>
      <c r="G18" s="17"/>
      <c r="H18" s="17"/>
      <c r="I18" s="18"/>
      <c r="J18" s="31"/>
      <c r="K18"/>
      <c r="L18"/>
      <c r="M18"/>
      <c r="N18"/>
      <c r="O18"/>
      <c r="P18"/>
      <c r="Q18"/>
      <c r="R18"/>
      <c r="S18"/>
      <c r="T18"/>
      <c r="U18"/>
    </row>
    <row r="19" spans="1:21" ht="15" customHeight="1">
      <c r="A19" s="25"/>
      <c r="B19" s="34"/>
      <c r="C19" s="17"/>
      <c r="D19" s="17"/>
      <c r="E19" s="17"/>
      <c r="F19" s="17"/>
      <c r="G19" s="17"/>
      <c r="H19" s="17"/>
      <c r="I19" s="18"/>
      <c r="J19" s="31"/>
      <c r="K19"/>
      <c r="L19"/>
      <c r="M19"/>
      <c r="N19"/>
      <c r="O19"/>
      <c r="P19"/>
      <c r="Q19"/>
      <c r="R19"/>
      <c r="S19"/>
      <c r="T19"/>
      <c r="U19"/>
    </row>
    <row r="20" spans="1:21" ht="15" customHeight="1">
      <c r="A20" s="25"/>
      <c r="B20" s="34" t="s">
        <v>43</v>
      </c>
      <c r="C20" s="17" t="s">
        <v>309</v>
      </c>
      <c r="D20" s="17"/>
      <c r="E20" s="17"/>
      <c r="F20" s="17"/>
      <c r="G20" s="17"/>
      <c r="H20" s="17"/>
      <c r="I20" s="18"/>
      <c r="J20" s="31"/>
      <c r="K20"/>
      <c r="L20"/>
      <c r="M20"/>
      <c r="N20"/>
      <c r="O20"/>
      <c r="P20"/>
      <c r="Q20"/>
      <c r="R20"/>
      <c r="S20"/>
      <c r="T20"/>
      <c r="U20"/>
    </row>
    <row r="21" spans="1:21" ht="15" customHeight="1">
      <c r="A21" s="25"/>
      <c r="B21" s="34"/>
      <c r="C21" s="17"/>
      <c r="D21" s="17"/>
      <c r="E21" s="17"/>
      <c r="F21" s="17"/>
      <c r="G21" s="17"/>
      <c r="H21" s="17"/>
      <c r="I21" s="18"/>
      <c r="J21" s="31"/>
      <c r="K21"/>
      <c r="L21"/>
      <c r="M21"/>
      <c r="N21"/>
      <c r="O21"/>
      <c r="P21"/>
      <c r="Q21"/>
      <c r="R21"/>
      <c r="S21"/>
      <c r="T21"/>
      <c r="U21"/>
    </row>
    <row r="22" spans="1:21" ht="15" customHeight="1">
      <c r="A22" s="25"/>
      <c r="B22" s="34"/>
      <c r="C22" s="17"/>
      <c r="D22" s="17"/>
      <c r="E22" s="17"/>
      <c r="F22" s="17"/>
      <c r="G22" s="17"/>
      <c r="H22" s="17"/>
      <c r="I22" s="18"/>
      <c r="J22" s="31"/>
      <c r="K22"/>
      <c r="L22"/>
      <c r="M22"/>
      <c r="N22"/>
      <c r="O22"/>
      <c r="P22"/>
      <c r="Q22"/>
      <c r="R22"/>
      <c r="S22"/>
      <c r="T22"/>
      <c r="U22"/>
    </row>
    <row r="23" spans="1:21" ht="15" customHeight="1">
      <c r="A23" s="25"/>
      <c r="B23" s="34"/>
      <c r="C23" s="17"/>
      <c r="D23" s="17"/>
      <c r="E23" s="17"/>
      <c r="F23" s="17"/>
      <c r="G23" s="17"/>
      <c r="H23" s="17"/>
      <c r="I23" s="18"/>
      <c r="J23" s="31"/>
      <c r="K23"/>
      <c r="L23"/>
      <c r="M23"/>
      <c r="N23"/>
      <c r="O23"/>
      <c r="P23"/>
      <c r="Q23"/>
      <c r="R23"/>
      <c r="S23"/>
      <c r="T23"/>
      <c r="U23"/>
    </row>
    <row r="24" spans="1:21" ht="15" customHeight="1">
      <c r="A24" s="25"/>
      <c r="B24" s="34"/>
      <c r="C24" s="17"/>
      <c r="D24" s="17"/>
      <c r="E24" s="17"/>
      <c r="F24" s="17"/>
      <c r="G24" s="17"/>
      <c r="H24" s="17"/>
      <c r="I24" s="18"/>
      <c r="J24" s="31"/>
      <c r="K24"/>
      <c r="L24"/>
      <c r="M24"/>
      <c r="N24"/>
      <c r="O24"/>
      <c r="P24"/>
      <c r="Q24"/>
      <c r="R24"/>
      <c r="S24"/>
      <c r="T24"/>
      <c r="U24"/>
    </row>
    <row r="25" spans="1:21" ht="15" customHeight="1">
      <c r="A25" s="25"/>
      <c r="B25" s="34"/>
      <c r="C25" s="17"/>
      <c r="D25" s="17"/>
      <c r="E25" s="17"/>
      <c r="F25" s="17"/>
      <c r="G25" s="17"/>
      <c r="H25" s="17"/>
      <c r="I25" s="18"/>
      <c r="J25" s="31"/>
      <c r="K25"/>
      <c r="L25"/>
      <c r="M25"/>
      <c r="N25"/>
      <c r="O25"/>
      <c r="P25"/>
      <c r="Q25"/>
      <c r="R25"/>
      <c r="S25"/>
      <c r="T25"/>
      <c r="U25"/>
    </row>
    <row r="26" spans="1:21" ht="15" customHeight="1">
      <c r="A26" s="25"/>
      <c r="B26" s="34"/>
      <c r="C26" s="17"/>
      <c r="D26" s="17"/>
      <c r="E26" s="17"/>
      <c r="F26" s="17"/>
      <c r="G26" s="17"/>
      <c r="H26" s="17"/>
      <c r="I26" s="18"/>
      <c r="J26" s="31"/>
      <c r="K26"/>
      <c r="L26"/>
      <c r="M26"/>
      <c r="N26"/>
      <c r="O26"/>
      <c r="P26"/>
      <c r="Q26"/>
      <c r="R26"/>
      <c r="S26"/>
      <c r="T26"/>
      <c r="U26"/>
    </row>
    <row r="27" spans="1:21" ht="15" customHeight="1">
      <c r="A27" s="25"/>
      <c r="B27" s="17"/>
      <c r="C27" s="17"/>
      <c r="D27" s="17"/>
      <c r="E27" s="17"/>
      <c r="F27" s="17"/>
      <c r="G27" s="17"/>
      <c r="H27" s="17"/>
      <c r="I27" s="18"/>
      <c r="J27" s="31"/>
      <c r="K27"/>
      <c r="L27"/>
      <c r="M27"/>
      <c r="N27"/>
      <c r="O27"/>
      <c r="P27"/>
      <c r="Q27"/>
      <c r="R27"/>
      <c r="S27"/>
      <c r="T27"/>
      <c r="U27"/>
    </row>
    <row r="28" spans="1:21" ht="15" customHeight="1">
      <c r="A28" s="25"/>
      <c r="B28" s="17"/>
      <c r="C28" s="17"/>
      <c r="D28" s="17"/>
      <c r="E28" s="17"/>
      <c r="F28" s="17"/>
      <c r="G28" s="17"/>
      <c r="H28" s="17"/>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89" priority="1" operator="equal">
      <formula>"Incomplete"</formula>
    </cfRule>
    <cfRule type="cellIs" dxfId="88" priority="2" operator="equal">
      <formula>"Flag for Review"</formula>
    </cfRule>
    <cfRule type="cellIs" dxfId="8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2</v>
      </c>
      <c r="B1" s="27" t="s">
        <v>12</v>
      </c>
      <c r="C1" s="20"/>
      <c r="D1" s="20"/>
      <c r="E1" s="20"/>
      <c r="F1" s="20"/>
      <c r="G1" s="20"/>
      <c r="H1" s="886" t="s">
        <v>24</v>
      </c>
      <c r="I1" s="887"/>
      <c r="K1" s="1" t="s">
        <v>33</v>
      </c>
      <c r="L1" s="52" t="str">
        <f>VLOOKUP(A1,'Point Grid'!$L$8:$T$54,9,FALSE)</f>
        <v>General Pricing</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204</v>
      </c>
      <c r="L3" t="s">
        <v>669</v>
      </c>
      <c r="M3"/>
      <c r="N3"/>
      <c r="O3"/>
      <c r="P3"/>
      <c r="Q3"/>
      <c r="R3"/>
      <c r="S3"/>
      <c r="T3"/>
      <c r="U3"/>
    </row>
    <row r="4" spans="1:21">
      <c r="A4" s="9">
        <f>INDEX('Point Grid'!B:B,MATCH(A1,'Point Grid'!A:A,0))</f>
        <v>1</v>
      </c>
      <c r="B4" s="17" t="s">
        <v>39</v>
      </c>
      <c r="C4" s="17"/>
      <c r="D4" s="17"/>
      <c r="E4" s="17"/>
      <c r="F4" s="17"/>
      <c r="G4" s="17"/>
      <c r="H4" s="17"/>
      <c r="I4" s="18"/>
      <c r="J4" s="31"/>
      <c r="K4" s="48"/>
      <c r="L4" t="s">
        <v>670</v>
      </c>
      <c r="M4"/>
      <c r="N4"/>
      <c r="O4"/>
      <c r="P4"/>
      <c r="Q4"/>
      <c r="R4"/>
      <c r="S4"/>
      <c r="T4"/>
      <c r="U4"/>
    </row>
    <row r="5" spans="1:21">
      <c r="A5" s="16"/>
      <c r="B5" s="17"/>
      <c r="C5" s="17"/>
      <c r="D5" s="17"/>
      <c r="E5" s="17"/>
      <c r="F5" s="17"/>
      <c r="G5" s="17"/>
      <c r="H5" s="17"/>
      <c r="I5" s="18"/>
      <c r="J5" s="31"/>
      <c r="K5" s="48"/>
      <c r="L5"/>
      <c r="M5"/>
      <c r="N5"/>
      <c r="O5"/>
      <c r="P5"/>
      <c r="Q5"/>
      <c r="R5"/>
      <c r="S5"/>
      <c r="T5"/>
      <c r="U5"/>
    </row>
    <row r="6" spans="1:21">
      <c r="A6" s="25" t="s">
        <v>2</v>
      </c>
      <c r="B6" s="17" t="s">
        <v>665</v>
      </c>
      <c r="C6" s="17"/>
      <c r="D6" s="17"/>
      <c r="E6" s="17"/>
      <c r="F6" s="17"/>
      <c r="G6" s="17"/>
      <c r="H6" s="17"/>
      <c r="I6" s="18"/>
      <c r="J6" s="31"/>
      <c r="K6" s="48"/>
      <c r="L6" s="1"/>
      <c r="M6"/>
      <c r="N6"/>
      <c r="O6"/>
      <c r="P6"/>
      <c r="Q6"/>
      <c r="R6"/>
      <c r="S6"/>
      <c r="T6"/>
      <c r="U6"/>
    </row>
    <row r="7" spans="1:21" ht="15.75" thickBot="1">
      <c r="A7" s="9">
        <f>INDEX('Point Grid'!$C$8:$I$54,MATCH($A$1,'Point Grid'!$A$8:$A$54,0),MATCH(A6,'Point Grid'!$C$7:$I$7,0))</f>
        <v>1</v>
      </c>
      <c r="B7" s="17"/>
      <c r="C7" s="17"/>
      <c r="D7" s="17"/>
      <c r="E7" s="17"/>
      <c r="F7" s="17"/>
      <c r="G7" s="17"/>
      <c r="H7" s="17"/>
      <c r="I7" s="18"/>
      <c r="J7" s="31"/>
      <c r="K7" s="48"/>
      <c r="L7"/>
      <c r="M7"/>
      <c r="N7"/>
      <c r="O7"/>
      <c r="P7"/>
      <c r="Q7"/>
      <c r="R7"/>
      <c r="S7"/>
      <c r="T7"/>
      <c r="U7"/>
    </row>
    <row r="8" spans="1:21" ht="15.75" thickBot="1">
      <c r="A8" s="5"/>
      <c r="B8" s="35"/>
      <c r="C8" s="28"/>
      <c r="D8" s="28"/>
      <c r="E8" s="28"/>
      <c r="F8" s="28"/>
      <c r="G8" s="28"/>
      <c r="H8" s="28"/>
      <c r="I8" s="18"/>
      <c r="J8" s="31"/>
      <c r="K8"/>
      <c r="L8"/>
      <c r="M8"/>
      <c r="N8"/>
      <c r="O8"/>
      <c r="P8"/>
      <c r="Q8"/>
      <c r="R8"/>
      <c r="S8"/>
      <c r="T8"/>
      <c r="U8"/>
    </row>
    <row r="9" spans="1:21">
      <c r="A9" s="25"/>
      <c r="B9" s="35"/>
      <c r="C9" s="17"/>
      <c r="D9" s="17"/>
      <c r="E9" s="17"/>
      <c r="F9" s="17"/>
      <c r="G9" s="17"/>
      <c r="H9" s="17"/>
      <c r="I9" s="18"/>
      <c r="J9" s="31"/>
      <c r="K9" s="48"/>
      <c r="L9"/>
      <c r="M9"/>
      <c r="N9"/>
      <c r="O9"/>
      <c r="P9"/>
      <c r="Q9"/>
      <c r="R9"/>
      <c r="S9"/>
    </row>
    <row r="10" spans="1:21">
      <c r="A10" s="25"/>
      <c r="B10" s="35"/>
      <c r="C10" s="17"/>
      <c r="D10" s="17"/>
      <c r="E10" s="17"/>
      <c r="F10" s="17"/>
      <c r="G10" s="17"/>
      <c r="H10" s="17"/>
      <c r="I10" s="18"/>
      <c r="J10" s="31"/>
      <c r="K10"/>
      <c r="L10" s="1"/>
      <c r="M10"/>
      <c r="N10"/>
      <c r="O10"/>
      <c r="P10"/>
      <c r="Q10"/>
      <c r="R10"/>
      <c r="S10"/>
      <c r="T10"/>
      <c r="U10"/>
    </row>
    <row r="11" spans="1:21">
      <c r="A11" s="25"/>
      <c r="B11" s="34" t="s">
        <v>41</v>
      </c>
      <c r="C11" s="17" t="s">
        <v>669</v>
      </c>
      <c r="D11" s="17"/>
      <c r="E11" s="17"/>
      <c r="F11" s="17"/>
      <c r="G11" s="17"/>
      <c r="H11" s="17"/>
      <c r="I11" s="18"/>
      <c r="J11" s="31"/>
      <c r="K11"/>
      <c r="L11"/>
      <c r="M11"/>
      <c r="N11"/>
      <c r="O11"/>
      <c r="P11"/>
      <c r="Q11"/>
      <c r="R11"/>
      <c r="S11"/>
      <c r="T11"/>
      <c r="U11"/>
    </row>
    <row r="12" spans="1:21">
      <c r="A12" s="25"/>
      <c r="B12" s="34"/>
      <c r="C12" s="17" t="s">
        <v>670</v>
      </c>
      <c r="D12" s="17"/>
      <c r="E12" s="17"/>
      <c r="F12" s="17"/>
      <c r="G12" s="17"/>
      <c r="H12" s="17"/>
      <c r="I12" s="18"/>
      <c r="J12" s="31"/>
      <c r="K12"/>
      <c r="L12"/>
      <c r="M12"/>
      <c r="N12"/>
      <c r="O12"/>
      <c r="P12"/>
      <c r="Q12"/>
      <c r="R12"/>
      <c r="S12"/>
      <c r="T12"/>
      <c r="U12"/>
    </row>
    <row r="13" spans="1:21">
      <c r="A13" s="25"/>
      <c r="B13" s="34"/>
      <c r="C13" s="17"/>
      <c r="D13" s="17"/>
      <c r="E13" s="17"/>
      <c r="F13" s="17"/>
      <c r="G13" s="17"/>
      <c r="H13" s="17"/>
      <c r="I13" s="18"/>
      <c r="J13" s="31"/>
      <c r="K13" s="48"/>
      <c r="L13"/>
      <c r="M13"/>
      <c r="N13"/>
      <c r="O13"/>
      <c r="P13"/>
      <c r="Q13"/>
      <c r="R13"/>
      <c r="S13"/>
      <c r="T13"/>
      <c r="U13"/>
    </row>
    <row r="14" spans="1:21">
      <c r="A14" s="25"/>
      <c r="B14" s="34" t="s">
        <v>40</v>
      </c>
      <c r="C14" s="17" t="s">
        <v>666</v>
      </c>
      <c r="D14" s="17"/>
      <c r="E14" s="17"/>
      <c r="F14" s="17"/>
      <c r="G14" s="17"/>
      <c r="H14" s="17"/>
      <c r="I14" s="18"/>
      <c r="J14" s="31"/>
      <c r="K14"/>
      <c r="L14"/>
      <c r="M14"/>
      <c r="N14"/>
      <c r="O14"/>
      <c r="P14"/>
      <c r="Q14"/>
      <c r="R14"/>
      <c r="S14"/>
      <c r="T14"/>
      <c r="U14"/>
    </row>
    <row r="15" spans="1:21">
      <c r="A15" s="25"/>
      <c r="B15" s="34"/>
      <c r="C15" s="17"/>
      <c r="D15" s="17"/>
      <c r="E15" s="17"/>
      <c r="F15" s="17"/>
      <c r="G15" s="17"/>
      <c r="H15" s="17"/>
      <c r="I15" s="18"/>
      <c r="J15" s="31"/>
      <c r="K15"/>
      <c r="L15"/>
      <c r="M15"/>
      <c r="N15"/>
      <c r="O15"/>
      <c r="P15"/>
      <c r="Q15"/>
      <c r="R15"/>
      <c r="S15"/>
      <c r="T15"/>
      <c r="U15"/>
    </row>
    <row r="16" spans="1:21">
      <c r="A16" s="25"/>
      <c r="B16" s="34"/>
      <c r="C16" s="17"/>
      <c r="D16" s="17"/>
      <c r="E16" s="17"/>
      <c r="F16" s="17"/>
      <c r="G16" s="17"/>
      <c r="H16" s="17"/>
      <c r="I16" s="18"/>
      <c r="J16" s="31"/>
      <c r="K16" s="48"/>
      <c r="L16" s="1"/>
      <c r="M16"/>
      <c r="N16"/>
      <c r="O16"/>
      <c r="P16"/>
      <c r="Q16"/>
      <c r="R16"/>
      <c r="S16"/>
      <c r="T16"/>
      <c r="U16"/>
    </row>
    <row r="17" spans="1:21">
      <c r="A17" s="25"/>
      <c r="B17" s="34" t="s">
        <v>42</v>
      </c>
      <c r="C17" s="17" t="s">
        <v>667</v>
      </c>
      <c r="D17" s="17"/>
      <c r="E17" s="17"/>
      <c r="F17" s="17"/>
      <c r="G17" s="17"/>
      <c r="H17" s="17"/>
      <c r="I17" s="18"/>
      <c r="J17" s="31"/>
      <c r="K17"/>
      <c r="L17"/>
      <c r="M17"/>
      <c r="N17"/>
      <c r="O17"/>
      <c r="P17"/>
      <c r="Q17"/>
      <c r="R17"/>
      <c r="S17"/>
      <c r="T17"/>
      <c r="U17"/>
    </row>
    <row r="18" spans="1:21" ht="15" customHeight="1">
      <c r="A18" s="25"/>
      <c r="B18" s="34"/>
      <c r="C18" s="17"/>
      <c r="D18" s="17"/>
      <c r="E18" s="17"/>
      <c r="F18" s="17"/>
      <c r="G18" s="17"/>
      <c r="H18" s="17"/>
      <c r="I18" s="18"/>
      <c r="J18" s="31"/>
      <c r="K18"/>
      <c r="L18"/>
      <c r="M18"/>
      <c r="N18"/>
      <c r="O18"/>
      <c r="P18"/>
      <c r="Q18"/>
      <c r="R18"/>
      <c r="S18"/>
      <c r="T18"/>
      <c r="U18"/>
    </row>
    <row r="19" spans="1:21" ht="15" customHeight="1">
      <c r="A19" s="25"/>
      <c r="B19" s="34"/>
      <c r="C19" s="17"/>
      <c r="D19" s="17"/>
      <c r="E19" s="17"/>
      <c r="F19" s="17"/>
      <c r="G19" s="17"/>
      <c r="H19" s="17"/>
      <c r="I19" s="18"/>
      <c r="J19" s="31"/>
      <c r="K19"/>
      <c r="L19"/>
      <c r="M19"/>
      <c r="N19"/>
      <c r="O19"/>
      <c r="P19"/>
      <c r="Q19"/>
      <c r="R19"/>
      <c r="S19"/>
      <c r="T19"/>
      <c r="U19"/>
    </row>
    <row r="20" spans="1:21" ht="15" customHeight="1">
      <c r="A20" s="25"/>
      <c r="B20" s="34" t="s">
        <v>43</v>
      </c>
      <c r="C20" s="17" t="s">
        <v>668</v>
      </c>
      <c r="D20" s="17"/>
      <c r="E20" s="17"/>
      <c r="F20" s="17"/>
      <c r="G20" s="17"/>
      <c r="H20" s="17"/>
      <c r="I20" s="18"/>
      <c r="J20" s="31"/>
      <c r="K20"/>
      <c r="L20"/>
      <c r="M20"/>
      <c r="N20"/>
      <c r="O20"/>
      <c r="P20"/>
      <c r="Q20"/>
      <c r="R20"/>
      <c r="S20"/>
      <c r="T20"/>
      <c r="U20"/>
    </row>
    <row r="21" spans="1:21" ht="15" customHeight="1">
      <c r="A21" s="25"/>
      <c r="B21" s="34"/>
      <c r="C21" s="17"/>
      <c r="D21" s="17"/>
      <c r="E21" s="17"/>
      <c r="F21" s="17"/>
      <c r="G21" s="17"/>
      <c r="H21" s="17"/>
      <c r="I21" s="18"/>
      <c r="J21" s="31"/>
      <c r="K21"/>
      <c r="L21"/>
      <c r="M21"/>
      <c r="N21"/>
      <c r="O21"/>
      <c r="P21"/>
      <c r="Q21"/>
      <c r="R21"/>
      <c r="S21"/>
      <c r="T21"/>
      <c r="U21"/>
    </row>
    <row r="22" spans="1:21" ht="15" customHeight="1">
      <c r="A22" s="25"/>
      <c r="B22" s="34"/>
      <c r="C22" s="17"/>
      <c r="D22" s="17"/>
      <c r="E22" s="17"/>
      <c r="F22" s="17"/>
      <c r="G22" s="17"/>
      <c r="H22" s="17"/>
      <c r="I22" s="18"/>
      <c r="J22" s="31"/>
      <c r="K22"/>
      <c r="L22"/>
      <c r="M22"/>
      <c r="N22"/>
      <c r="O22"/>
      <c r="P22"/>
      <c r="Q22"/>
      <c r="R22"/>
      <c r="S22"/>
      <c r="T22"/>
      <c r="U22"/>
    </row>
    <row r="23" spans="1:21" ht="15" customHeight="1">
      <c r="A23" s="25"/>
      <c r="B23" s="34"/>
      <c r="C23" s="17"/>
      <c r="D23" s="17"/>
      <c r="E23" s="17"/>
      <c r="F23" s="17"/>
      <c r="G23" s="17"/>
      <c r="H23" s="17"/>
      <c r="I23" s="18"/>
      <c r="J23" s="31"/>
      <c r="K23"/>
      <c r="L23"/>
      <c r="M23"/>
      <c r="N23"/>
      <c r="O23"/>
      <c r="P23"/>
      <c r="Q23"/>
      <c r="R23"/>
      <c r="S23"/>
      <c r="T23"/>
      <c r="U23"/>
    </row>
    <row r="24" spans="1:21" ht="15" customHeight="1">
      <c r="A24" s="25"/>
      <c r="B24" s="34"/>
      <c r="C24" s="17"/>
      <c r="D24" s="17"/>
      <c r="E24" s="17"/>
      <c r="F24" s="17"/>
      <c r="G24" s="17"/>
      <c r="H24" s="17"/>
      <c r="I24" s="18"/>
      <c r="J24" s="31"/>
      <c r="K24"/>
      <c r="L24"/>
      <c r="M24"/>
      <c r="N24"/>
      <c r="O24"/>
      <c r="P24"/>
      <c r="Q24"/>
      <c r="R24"/>
      <c r="S24"/>
      <c r="T24"/>
      <c r="U24"/>
    </row>
    <row r="25" spans="1:21" ht="15" customHeight="1">
      <c r="A25" s="25"/>
      <c r="B25" s="34"/>
      <c r="C25" s="17"/>
      <c r="D25" s="17"/>
      <c r="E25" s="17"/>
      <c r="F25" s="17"/>
      <c r="G25" s="17"/>
      <c r="H25" s="17"/>
      <c r="I25" s="18"/>
      <c r="J25" s="31"/>
      <c r="K25"/>
      <c r="L25"/>
      <c r="M25"/>
      <c r="N25"/>
      <c r="O25"/>
      <c r="P25"/>
      <c r="Q25"/>
      <c r="R25"/>
      <c r="S25"/>
      <c r="T25"/>
      <c r="U25"/>
    </row>
    <row r="26" spans="1:21" ht="15" customHeight="1">
      <c r="A26" s="25"/>
      <c r="B26" s="34"/>
      <c r="C26" s="17"/>
      <c r="D26" s="17"/>
      <c r="E26" s="17"/>
      <c r="F26" s="17"/>
      <c r="G26" s="17"/>
      <c r="H26" s="17"/>
      <c r="I26" s="18"/>
      <c r="J26" s="31"/>
      <c r="K26"/>
      <c r="L26"/>
      <c r="M26"/>
      <c r="N26"/>
      <c r="O26"/>
      <c r="P26"/>
      <c r="Q26"/>
      <c r="R26"/>
      <c r="S26"/>
      <c r="T26"/>
      <c r="U26"/>
    </row>
    <row r="27" spans="1:21" ht="15" customHeight="1">
      <c r="A27" s="25"/>
      <c r="B27" s="17"/>
      <c r="C27" s="17"/>
      <c r="D27" s="17"/>
      <c r="E27" s="17"/>
      <c r="F27" s="17"/>
      <c r="G27" s="17"/>
      <c r="H27" s="17"/>
      <c r="I27" s="18"/>
      <c r="J27" s="31"/>
      <c r="K27"/>
      <c r="L27"/>
      <c r="M27"/>
      <c r="N27"/>
      <c r="O27"/>
      <c r="P27"/>
      <c r="Q27"/>
      <c r="R27"/>
      <c r="S27"/>
      <c r="T27"/>
      <c r="U27"/>
    </row>
    <row r="28" spans="1:21" ht="15" customHeight="1">
      <c r="A28" s="25"/>
      <c r="B28" s="17"/>
      <c r="C28" s="17"/>
      <c r="D28" s="17"/>
      <c r="E28" s="17"/>
      <c r="F28" s="17"/>
      <c r="G28" s="17"/>
      <c r="H28" s="17"/>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86" priority="1" operator="equal">
      <formula>"Incomplete"</formula>
    </cfRule>
    <cfRule type="cellIs" dxfId="85" priority="2" operator="equal">
      <formula>"Flag for Review"</formula>
    </cfRule>
    <cfRule type="cellIs" dxfId="8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3</v>
      </c>
      <c r="B1" s="27" t="s">
        <v>12</v>
      </c>
      <c r="C1" s="20"/>
      <c r="D1" s="20"/>
      <c r="E1" s="20"/>
      <c r="F1" s="20"/>
      <c r="G1" s="20"/>
      <c r="H1" s="886" t="s">
        <v>24</v>
      </c>
      <c r="I1" s="887"/>
      <c r="K1" s="1" t="s">
        <v>33</v>
      </c>
      <c r="L1" s="52" t="str">
        <f>VLOOKUP(A1,'Point Grid'!$L$8:$T$54,9,FALSE)</f>
        <v>General Reserving</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206</v>
      </c>
      <c r="L3" t="s">
        <v>675</v>
      </c>
      <c r="M3"/>
      <c r="N3"/>
      <c r="O3"/>
      <c r="P3"/>
      <c r="Q3"/>
      <c r="R3"/>
      <c r="S3"/>
      <c r="T3"/>
      <c r="U3"/>
    </row>
    <row r="4" spans="1:21">
      <c r="A4" s="9">
        <f>INDEX('Point Grid'!B:B,MATCH(A1,'Point Grid'!A:A,0))</f>
        <v>1</v>
      </c>
      <c r="B4" s="17" t="s">
        <v>39</v>
      </c>
      <c r="C4" s="17"/>
      <c r="D4" s="17"/>
      <c r="E4" s="17"/>
      <c r="F4" s="17"/>
      <c r="G4" s="17"/>
      <c r="H4" s="17"/>
      <c r="I4" s="18"/>
      <c r="J4" s="31"/>
      <c r="K4" s="48"/>
      <c r="L4"/>
      <c r="M4"/>
      <c r="N4"/>
      <c r="O4"/>
      <c r="P4"/>
      <c r="Q4"/>
      <c r="R4"/>
      <c r="S4"/>
      <c r="T4"/>
      <c r="U4"/>
    </row>
    <row r="5" spans="1:21">
      <c r="A5" s="16"/>
      <c r="B5" s="17"/>
      <c r="C5" s="17"/>
      <c r="D5" s="17"/>
      <c r="E5" s="17"/>
      <c r="F5" s="17"/>
      <c r="G5" s="17"/>
      <c r="H5" s="17"/>
      <c r="I5" s="18"/>
      <c r="J5" s="31"/>
      <c r="K5" s="48"/>
      <c r="L5"/>
      <c r="M5"/>
      <c r="N5"/>
      <c r="O5"/>
      <c r="P5"/>
      <c r="Q5"/>
      <c r="R5"/>
      <c r="S5"/>
      <c r="T5"/>
      <c r="U5"/>
    </row>
    <row r="6" spans="1:21">
      <c r="A6" s="25" t="s">
        <v>2</v>
      </c>
      <c r="B6" s="17" t="s">
        <v>672</v>
      </c>
      <c r="C6" s="17"/>
      <c r="D6" s="17"/>
      <c r="E6" s="17"/>
      <c r="F6" s="17"/>
      <c r="G6" s="17"/>
      <c r="H6" s="17"/>
      <c r="I6" s="18"/>
      <c r="J6" s="31"/>
      <c r="K6" s="48"/>
      <c r="L6" s="1"/>
      <c r="M6"/>
      <c r="N6"/>
      <c r="O6"/>
      <c r="P6"/>
      <c r="Q6"/>
      <c r="R6"/>
      <c r="S6"/>
      <c r="T6"/>
      <c r="U6"/>
    </row>
    <row r="7" spans="1:21" ht="15.75" thickBot="1">
      <c r="A7" s="9">
        <f>INDEX('Point Grid'!$C$8:$I$54,MATCH($A$1,'Point Grid'!$A$8:$A$54,0),MATCH(A6,'Point Grid'!$C$7:$I$7,0))</f>
        <v>1</v>
      </c>
      <c r="B7" s="17"/>
      <c r="C7" s="17"/>
      <c r="D7" s="17"/>
      <c r="E7" s="17"/>
      <c r="F7" s="17"/>
      <c r="G7" s="17"/>
      <c r="H7" s="17"/>
      <c r="I7" s="18"/>
      <c r="J7" s="31"/>
      <c r="K7" s="48"/>
      <c r="L7"/>
      <c r="M7"/>
      <c r="N7"/>
      <c r="O7"/>
      <c r="P7"/>
      <c r="Q7"/>
      <c r="R7"/>
      <c r="S7"/>
      <c r="T7"/>
      <c r="U7"/>
    </row>
    <row r="8" spans="1:21" ht="15.75" thickBot="1">
      <c r="A8" s="5"/>
      <c r="B8" s="35"/>
      <c r="C8" s="28"/>
      <c r="D8" s="28"/>
      <c r="E8" s="28"/>
      <c r="F8" s="28"/>
      <c r="G8" s="28"/>
      <c r="H8" s="28"/>
      <c r="I8" s="18"/>
      <c r="J8" s="31"/>
      <c r="K8"/>
      <c r="L8"/>
      <c r="M8"/>
      <c r="N8"/>
      <c r="O8"/>
      <c r="P8"/>
      <c r="Q8"/>
      <c r="R8"/>
      <c r="S8"/>
      <c r="T8"/>
      <c r="U8"/>
    </row>
    <row r="9" spans="1:21">
      <c r="A9" s="25"/>
      <c r="B9" s="35"/>
      <c r="C9" s="17"/>
      <c r="D9" s="17"/>
      <c r="E9" s="17"/>
      <c r="F9" s="17"/>
      <c r="G9" s="17"/>
      <c r="H9" s="17"/>
      <c r="I9" s="18"/>
      <c r="J9" s="31"/>
      <c r="K9" s="48"/>
      <c r="L9"/>
      <c r="M9"/>
      <c r="N9"/>
      <c r="O9"/>
      <c r="P9"/>
      <c r="Q9"/>
      <c r="R9"/>
      <c r="S9"/>
    </row>
    <row r="10" spans="1:21">
      <c r="A10" s="25"/>
      <c r="B10" s="35"/>
      <c r="C10" s="17"/>
      <c r="D10" s="17"/>
      <c r="E10" s="17"/>
      <c r="F10" s="17"/>
      <c r="G10" s="17"/>
      <c r="H10" s="17"/>
      <c r="I10" s="18"/>
      <c r="J10" s="31"/>
      <c r="K10"/>
      <c r="L10" s="1"/>
      <c r="M10"/>
      <c r="N10"/>
      <c r="O10"/>
      <c r="P10"/>
      <c r="Q10"/>
      <c r="R10"/>
      <c r="S10"/>
      <c r="T10"/>
      <c r="U10"/>
    </row>
    <row r="11" spans="1:21">
      <c r="A11" s="25"/>
      <c r="B11" s="34" t="s">
        <v>41</v>
      </c>
      <c r="C11" s="17" t="s">
        <v>673</v>
      </c>
      <c r="D11" s="17"/>
      <c r="E11" s="17"/>
      <c r="F11" s="17"/>
      <c r="G11" s="17"/>
      <c r="H11" s="17"/>
      <c r="I11" s="18"/>
      <c r="J11" s="31"/>
      <c r="K11"/>
      <c r="L11"/>
      <c r="M11"/>
      <c r="N11"/>
      <c r="O11"/>
      <c r="P11"/>
      <c r="Q11"/>
      <c r="R11"/>
      <c r="S11"/>
      <c r="T11"/>
      <c r="U11"/>
    </row>
    <row r="12" spans="1:21">
      <c r="A12" s="25"/>
      <c r="B12" s="34"/>
      <c r="C12" s="17"/>
      <c r="D12" s="17"/>
      <c r="E12" s="17"/>
      <c r="F12" s="17"/>
      <c r="G12" s="17"/>
      <c r="H12" s="17"/>
      <c r="I12" s="18"/>
      <c r="J12" s="31"/>
      <c r="K12"/>
      <c r="L12"/>
      <c r="M12"/>
      <c r="N12"/>
      <c r="O12"/>
      <c r="P12"/>
      <c r="Q12"/>
      <c r="R12"/>
      <c r="S12"/>
      <c r="T12"/>
      <c r="U12"/>
    </row>
    <row r="13" spans="1:21">
      <c r="A13" s="25"/>
      <c r="B13" s="34"/>
      <c r="C13" s="17"/>
      <c r="D13" s="17"/>
      <c r="E13" s="17"/>
      <c r="F13" s="17"/>
      <c r="G13" s="17"/>
      <c r="H13" s="17"/>
      <c r="I13" s="18"/>
      <c r="J13" s="31"/>
      <c r="K13" s="48"/>
      <c r="L13"/>
      <c r="M13"/>
      <c r="N13"/>
      <c r="O13"/>
      <c r="P13"/>
      <c r="Q13"/>
      <c r="R13"/>
      <c r="S13"/>
      <c r="T13"/>
      <c r="U13"/>
    </row>
    <row r="14" spans="1:21">
      <c r="A14" s="25"/>
      <c r="B14" s="34" t="s">
        <v>40</v>
      </c>
      <c r="C14" s="17" t="s">
        <v>674</v>
      </c>
      <c r="D14" s="17"/>
      <c r="E14" s="17"/>
      <c r="F14" s="17"/>
      <c r="G14" s="17"/>
      <c r="H14" s="17"/>
      <c r="I14" s="18"/>
      <c r="J14" s="31"/>
      <c r="K14"/>
      <c r="L14"/>
      <c r="M14"/>
      <c r="N14"/>
      <c r="O14"/>
      <c r="P14"/>
      <c r="Q14"/>
      <c r="R14"/>
      <c r="S14"/>
      <c r="T14"/>
      <c r="U14"/>
    </row>
    <row r="15" spans="1:21">
      <c r="A15" s="25"/>
      <c r="B15" s="34"/>
      <c r="C15" s="17"/>
      <c r="D15" s="17"/>
      <c r="E15" s="17"/>
      <c r="F15" s="17"/>
      <c r="G15" s="17"/>
      <c r="H15" s="17"/>
      <c r="I15" s="18"/>
      <c r="J15" s="31"/>
      <c r="K15"/>
      <c r="L15"/>
      <c r="M15"/>
      <c r="N15"/>
      <c r="O15"/>
      <c r="P15"/>
      <c r="Q15"/>
      <c r="R15"/>
      <c r="S15"/>
      <c r="T15"/>
      <c r="U15"/>
    </row>
    <row r="16" spans="1:21">
      <c r="A16" s="25"/>
      <c r="B16" s="34"/>
      <c r="C16" s="17"/>
      <c r="D16" s="17"/>
      <c r="E16" s="17"/>
      <c r="F16" s="17"/>
      <c r="G16" s="17"/>
      <c r="H16" s="17"/>
      <c r="I16" s="18"/>
      <c r="J16" s="31"/>
      <c r="K16" s="48"/>
      <c r="L16" s="1"/>
      <c r="M16"/>
      <c r="N16"/>
      <c r="O16"/>
      <c r="P16"/>
      <c r="Q16"/>
      <c r="R16"/>
      <c r="S16"/>
      <c r="T16"/>
      <c r="U16"/>
    </row>
    <row r="17" spans="1:21">
      <c r="A17" s="25"/>
      <c r="B17" s="34" t="s">
        <v>42</v>
      </c>
      <c r="C17" s="17" t="s">
        <v>675</v>
      </c>
      <c r="D17" s="17"/>
      <c r="E17" s="17"/>
      <c r="F17" s="17"/>
      <c r="G17" s="17"/>
      <c r="H17" s="17"/>
      <c r="I17" s="18"/>
      <c r="J17" s="31"/>
      <c r="K17"/>
      <c r="L17"/>
      <c r="M17"/>
      <c r="N17"/>
      <c r="O17"/>
      <c r="P17"/>
      <c r="Q17"/>
      <c r="R17"/>
      <c r="S17"/>
      <c r="T17"/>
      <c r="U17"/>
    </row>
    <row r="18" spans="1:21" ht="15" customHeight="1">
      <c r="A18" s="25"/>
      <c r="B18" s="34"/>
      <c r="C18" s="17"/>
      <c r="D18" s="17"/>
      <c r="E18" s="17"/>
      <c r="F18" s="17"/>
      <c r="G18" s="17"/>
      <c r="H18" s="17"/>
      <c r="I18" s="18"/>
      <c r="J18" s="31"/>
      <c r="K18"/>
      <c r="L18"/>
      <c r="M18"/>
      <c r="N18"/>
      <c r="O18"/>
      <c r="P18"/>
      <c r="Q18"/>
      <c r="R18"/>
      <c r="S18"/>
      <c r="T18"/>
      <c r="U18"/>
    </row>
    <row r="19" spans="1:21" ht="15" customHeight="1">
      <c r="A19" s="25"/>
      <c r="B19" s="34"/>
      <c r="C19" s="17"/>
      <c r="D19" s="17"/>
      <c r="E19" s="17"/>
      <c r="F19" s="17"/>
      <c r="G19" s="17"/>
      <c r="H19" s="17"/>
      <c r="I19" s="18"/>
      <c r="J19" s="31"/>
      <c r="K19"/>
      <c r="L19"/>
      <c r="M19"/>
      <c r="N19"/>
      <c r="O19"/>
      <c r="P19"/>
      <c r="Q19"/>
      <c r="R19"/>
      <c r="S19"/>
      <c r="T19"/>
      <c r="U19"/>
    </row>
    <row r="20" spans="1:21" ht="15" customHeight="1">
      <c r="A20" s="25"/>
      <c r="B20" s="34" t="s">
        <v>43</v>
      </c>
      <c r="C20" s="17" t="s">
        <v>676</v>
      </c>
      <c r="D20" s="17"/>
      <c r="E20" s="17"/>
      <c r="F20" s="17"/>
      <c r="G20" s="17"/>
      <c r="H20" s="17"/>
      <c r="I20" s="18"/>
      <c r="J20" s="31"/>
      <c r="K20"/>
      <c r="L20"/>
      <c r="M20"/>
      <c r="N20"/>
      <c r="O20"/>
      <c r="P20"/>
      <c r="Q20"/>
      <c r="R20"/>
      <c r="S20"/>
      <c r="T20"/>
      <c r="U20"/>
    </row>
    <row r="21" spans="1:21" ht="15" customHeight="1">
      <c r="A21" s="25"/>
      <c r="B21" s="34"/>
      <c r="C21" s="17"/>
      <c r="D21" s="17"/>
      <c r="E21" s="17"/>
      <c r="F21" s="17"/>
      <c r="G21" s="17"/>
      <c r="H21" s="17"/>
      <c r="I21" s="18"/>
      <c r="J21" s="31"/>
      <c r="K21"/>
      <c r="L21"/>
      <c r="M21"/>
      <c r="N21"/>
      <c r="O21"/>
      <c r="P21"/>
      <c r="Q21"/>
      <c r="R21"/>
      <c r="S21"/>
      <c r="T21"/>
      <c r="U21"/>
    </row>
    <row r="22" spans="1:21" ht="15" customHeight="1">
      <c r="A22" s="25"/>
      <c r="B22" s="34"/>
      <c r="C22" s="17"/>
      <c r="D22" s="17"/>
      <c r="E22" s="17"/>
      <c r="F22" s="17"/>
      <c r="G22" s="17"/>
      <c r="H22" s="17"/>
      <c r="I22" s="18"/>
      <c r="J22" s="31"/>
      <c r="K22"/>
      <c r="L22"/>
      <c r="M22"/>
      <c r="N22"/>
      <c r="O22"/>
      <c r="P22"/>
      <c r="Q22"/>
      <c r="R22"/>
      <c r="S22"/>
      <c r="T22"/>
      <c r="U22"/>
    </row>
    <row r="23" spans="1:21" ht="15" customHeight="1">
      <c r="A23" s="25"/>
      <c r="B23" s="34"/>
      <c r="C23" s="17"/>
      <c r="D23" s="17"/>
      <c r="E23" s="17"/>
      <c r="F23" s="17"/>
      <c r="G23" s="17"/>
      <c r="H23" s="17"/>
      <c r="I23" s="18"/>
      <c r="J23" s="31"/>
      <c r="K23"/>
      <c r="L23"/>
      <c r="M23"/>
      <c r="N23"/>
      <c r="O23"/>
      <c r="P23"/>
      <c r="Q23"/>
      <c r="R23"/>
      <c r="S23"/>
      <c r="T23"/>
      <c r="U23"/>
    </row>
    <row r="24" spans="1:21" ht="15" customHeight="1">
      <c r="A24" s="25"/>
      <c r="B24" s="34"/>
      <c r="C24" s="17"/>
      <c r="D24" s="17"/>
      <c r="E24" s="17"/>
      <c r="F24" s="17"/>
      <c r="G24" s="17"/>
      <c r="H24" s="17"/>
      <c r="I24" s="18"/>
      <c r="J24" s="31"/>
      <c r="K24"/>
      <c r="L24"/>
      <c r="M24"/>
      <c r="N24"/>
      <c r="O24"/>
      <c r="P24"/>
      <c r="Q24"/>
      <c r="R24"/>
      <c r="S24"/>
      <c r="T24"/>
      <c r="U24"/>
    </row>
    <row r="25" spans="1:21" ht="15" customHeight="1">
      <c r="A25" s="25"/>
      <c r="B25" s="34"/>
      <c r="C25" s="17"/>
      <c r="D25" s="17"/>
      <c r="E25" s="17"/>
      <c r="F25" s="17"/>
      <c r="G25" s="17"/>
      <c r="H25" s="17"/>
      <c r="I25" s="18"/>
      <c r="J25" s="31"/>
      <c r="K25"/>
      <c r="L25"/>
      <c r="M25"/>
      <c r="N25"/>
      <c r="O25"/>
      <c r="P25"/>
      <c r="Q25"/>
      <c r="R25"/>
      <c r="S25"/>
      <c r="T25"/>
      <c r="U25"/>
    </row>
    <row r="26" spans="1:21" ht="15" customHeight="1">
      <c r="A26" s="25"/>
      <c r="B26" s="34"/>
      <c r="C26" s="17"/>
      <c r="D26" s="17"/>
      <c r="E26" s="17"/>
      <c r="F26" s="17"/>
      <c r="G26" s="17"/>
      <c r="H26" s="17"/>
      <c r="I26" s="18"/>
      <c r="J26" s="31"/>
      <c r="K26"/>
      <c r="L26"/>
      <c r="M26"/>
      <c r="N26"/>
      <c r="O26"/>
      <c r="P26"/>
      <c r="Q26"/>
      <c r="R26"/>
      <c r="S26"/>
      <c r="T26"/>
      <c r="U26"/>
    </row>
    <row r="27" spans="1:21" ht="15" customHeight="1">
      <c r="A27" s="25"/>
      <c r="B27" s="17"/>
      <c r="C27" s="17"/>
      <c r="D27" s="17"/>
      <c r="E27" s="17"/>
      <c r="F27" s="17"/>
      <c r="G27" s="17"/>
      <c r="H27" s="17"/>
      <c r="I27" s="18"/>
      <c r="J27" s="31"/>
      <c r="K27"/>
      <c r="L27"/>
      <c r="M27"/>
      <c r="N27"/>
      <c r="O27"/>
      <c r="P27"/>
      <c r="Q27"/>
      <c r="R27"/>
      <c r="S27"/>
      <c r="T27"/>
      <c r="U27"/>
    </row>
    <row r="28" spans="1:21" ht="15" customHeight="1">
      <c r="A28" s="25"/>
      <c r="B28" s="17"/>
      <c r="C28" s="17"/>
      <c r="D28" s="17"/>
      <c r="E28" s="17"/>
      <c r="F28" s="17"/>
      <c r="G28" s="17"/>
      <c r="H28" s="17"/>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83" priority="1" operator="equal">
      <formula>"Incomplete"</formula>
    </cfRule>
    <cfRule type="cellIs" dxfId="82" priority="2" operator="equal">
      <formula>"Flag for Review"</formula>
    </cfRule>
    <cfRule type="cellIs" dxfId="8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4</v>
      </c>
      <c r="B1" s="27" t="s">
        <v>12</v>
      </c>
      <c r="C1" s="20"/>
      <c r="D1" s="20"/>
      <c r="E1" s="20"/>
      <c r="F1" s="20"/>
      <c r="G1" s="20"/>
      <c r="H1" s="886" t="s">
        <v>24</v>
      </c>
      <c r="I1" s="887"/>
      <c r="K1" s="1" t="s">
        <v>33</v>
      </c>
      <c r="L1" s="52" t="str">
        <f>VLOOKUP(A1,'Point Grid'!$L$8:$T$54,9,FALSE)</f>
        <v>General Reserving</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206</v>
      </c>
      <c r="L3" t="s">
        <v>680</v>
      </c>
      <c r="M3"/>
      <c r="N3"/>
      <c r="O3"/>
      <c r="P3"/>
      <c r="Q3"/>
      <c r="R3"/>
      <c r="S3"/>
      <c r="T3"/>
      <c r="U3"/>
    </row>
    <row r="4" spans="1:21">
      <c r="A4" s="9">
        <f>INDEX('Point Grid'!B:B,MATCH(A1,'Point Grid'!A:A,0))</f>
        <v>1</v>
      </c>
      <c r="B4" s="17" t="s">
        <v>39</v>
      </c>
      <c r="C4" s="17"/>
      <c r="D4" s="17"/>
      <c r="E4" s="17"/>
      <c r="F4" s="17"/>
      <c r="G4" s="17"/>
      <c r="H4" s="17"/>
      <c r="I4" s="18"/>
      <c r="J4" s="31"/>
      <c r="K4" s="48"/>
      <c r="L4"/>
      <c r="M4"/>
      <c r="N4"/>
      <c r="O4"/>
      <c r="P4"/>
      <c r="Q4"/>
      <c r="R4"/>
      <c r="S4"/>
      <c r="T4"/>
      <c r="U4"/>
    </row>
    <row r="5" spans="1:21">
      <c r="A5" s="16"/>
      <c r="B5" s="17"/>
      <c r="C5" s="17"/>
      <c r="D5" s="17"/>
      <c r="E5" s="17"/>
      <c r="F5" s="17"/>
      <c r="G5" s="17"/>
      <c r="H5" s="17"/>
      <c r="I5" s="18"/>
      <c r="J5" s="31"/>
      <c r="K5" s="48"/>
      <c r="L5"/>
      <c r="M5"/>
      <c r="N5"/>
      <c r="O5"/>
      <c r="P5"/>
      <c r="Q5"/>
      <c r="R5"/>
      <c r="S5"/>
      <c r="T5"/>
      <c r="U5"/>
    </row>
    <row r="6" spans="1:21">
      <c r="A6" s="25" t="s">
        <v>2</v>
      </c>
      <c r="B6" s="17" t="s">
        <v>677</v>
      </c>
      <c r="C6" s="17"/>
      <c r="D6" s="17"/>
      <c r="E6" s="17"/>
      <c r="F6" s="17"/>
      <c r="G6" s="17"/>
      <c r="H6" s="17"/>
      <c r="I6" s="18"/>
      <c r="J6" s="31"/>
      <c r="K6" s="48"/>
      <c r="L6" s="1"/>
      <c r="M6"/>
      <c r="N6"/>
      <c r="O6"/>
      <c r="P6"/>
      <c r="Q6"/>
      <c r="R6"/>
      <c r="S6"/>
      <c r="T6"/>
      <c r="U6"/>
    </row>
    <row r="7" spans="1:21" ht="15.75" thickBot="1">
      <c r="A7" s="9">
        <f>INDEX('Point Grid'!$C$8:$I$54,MATCH($A$1,'Point Grid'!$A$8:$A$54,0),MATCH(A6,'Point Grid'!$C$7:$I$7,0))</f>
        <v>1</v>
      </c>
      <c r="B7" s="17"/>
      <c r="C7" s="17"/>
      <c r="D7" s="17"/>
      <c r="E7" s="17"/>
      <c r="F7" s="17"/>
      <c r="G7" s="17"/>
      <c r="H7" s="17"/>
      <c r="I7" s="18"/>
      <c r="J7" s="31"/>
      <c r="K7" s="48"/>
      <c r="L7"/>
      <c r="M7"/>
      <c r="N7"/>
      <c r="O7"/>
      <c r="P7"/>
      <c r="Q7"/>
      <c r="R7"/>
      <c r="S7"/>
      <c r="T7"/>
      <c r="U7"/>
    </row>
    <row r="8" spans="1:21" ht="15.75" thickBot="1">
      <c r="A8" s="5"/>
      <c r="B8" s="35"/>
      <c r="C8" s="28"/>
      <c r="D8" s="28"/>
      <c r="E8" s="28"/>
      <c r="F8" s="28"/>
      <c r="G8" s="28"/>
      <c r="H8" s="28"/>
      <c r="I8" s="18"/>
      <c r="J8" s="31"/>
      <c r="K8"/>
      <c r="L8"/>
      <c r="M8"/>
      <c r="N8"/>
      <c r="O8"/>
      <c r="P8"/>
      <c r="Q8"/>
      <c r="R8"/>
      <c r="S8"/>
      <c r="T8"/>
      <c r="U8"/>
    </row>
    <row r="9" spans="1:21">
      <c r="A9" s="25"/>
      <c r="B9" s="35"/>
      <c r="C9" s="17"/>
      <c r="D9" s="17"/>
      <c r="E9" s="17"/>
      <c r="F9" s="17"/>
      <c r="G9" s="17"/>
      <c r="H9" s="17"/>
      <c r="I9" s="18"/>
      <c r="J9" s="31"/>
      <c r="K9" s="48"/>
      <c r="L9"/>
      <c r="M9"/>
      <c r="N9"/>
      <c r="O9"/>
      <c r="P9"/>
      <c r="Q9"/>
      <c r="R9"/>
      <c r="S9"/>
    </row>
    <row r="10" spans="1:21">
      <c r="A10" s="25"/>
      <c r="B10" s="35"/>
      <c r="C10" s="17"/>
      <c r="D10" s="17"/>
      <c r="E10" s="17"/>
      <c r="F10" s="17"/>
      <c r="G10" s="17"/>
      <c r="H10" s="17"/>
      <c r="I10" s="18"/>
      <c r="J10" s="31"/>
      <c r="K10"/>
      <c r="L10" s="1"/>
      <c r="M10"/>
      <c r="N10"/>
      <c r="O10"/>
      <c r="P10"/>
      <c r="Q10"/>
      <c r="R10"/>
      <c r="S10"/>
      <c r="T10"/>
      <c r="U10"/>
    </row>
    <row r="11" spans="1:21">
      <c r="A11" s="25"/>
      <c r="B11" s="34" t="s">
        <v>41</v>
      </c>
      <c r="C11" s="17" t="s">
        <v>678</v>
      </c>
      <c r="D11" s="17"/>
      <c r="E11" s="17"/>
      <c r="F11" s="17"/>
      <c r="G11" s="17"/>
      <c r="H11" s="17"/>
      <c r="I11" s="18"/>
      <c r="J11" s="31"/>
      <c r="K11"/>
      <c r="L11"/>
      <c r="M11"/>
      <c r="N11"/>
      <c r="O11"/>
      <c r="P11"/>
      <c r="Q11"/>
      <c r="R11"/>
      <c r="S11"/>
      <c r="T11"/>
      <c r="U11"/>
    </row>
    <row r="12" spans="1:21">
      <c r="A12" s="25"/>
      <c r="B12" s="34"/>
      <c r="C12" s="17"/>
      <c r="D12" s="17"/>
      <c r="E12" s="17"/>
      <c r="F12" s="17"/>
      <c r="G12" s="17"/>
      <c r="H12" s="17"/>
      <c r="I12" s="18"/>
      <c r="J12" s="31"/>
      <c r="K12"/>
      <c r="L12"/>
      <c r="M12"/>
      <c r="N12"/>
      <c r="O12"/>
      <c r="P12"/>
      <c r="Q12"/>
      <c r="R12"/>
      <c r="S12"/>
      <c r="T12"/>
      <c r="U12"/>
    </row>
    <row r="13" spans="1:21">
      <c r="A13" s="25"/>
      <c r="B13" s="34"/>
      <c r="C13" s="17"/>
      <c r="D13" s="17"/>
      <c r="E13" s="17"/>
      <c r="F13" s="17"/>
      <c r="G13" s="17"/>
      <c r="H13" s="17"/>
      <c r="I13" s="18"/>
      <c r="J13" s="31"/>
      <c r="K13" s="48"/>
      <c r="L13"/>
      <c r="M13"/>
      <c r="N13"/>
      <c r="O13"/>
      <c r="P13"/>
      <c r="Q13"/>
      <c r="R13"/>
      <c r="S13"/>
      <c r="T13"/>
      <c r="U13"/>
    </row>
    <row r="14" spans="1:21">
      <c r="A14" s="25"/>
      <c r="B14" s="34" t="s">
        <v>40</v>
      </c>
      <c r="C14" s="17" t="s">
        <v>679</v>
      </c>
      <c r="D14" s="17"/>
      <c r="E14" s="17"/>
      <c r="F14" s="17"/>
      <c r="G14" s="17"/>
      <c r="H14" s="17"/>
      <c r="I14" s="18"/>
      <c r="J14" s="31"/>
      <c r="K14"/>
      <c r="L14"/>
      <c r="M14"/>
      <c r="N14"/>
      <c r="O14"/>
      <c r="P14"/>
      <c r="Q14"/>
      <c r="R14"/>
      <c r="S14"/>
      <c r="T14"/>
      <c r="U14"/>
    </row>
    <row r="15" spans="1:21">
      <c r="A15" s="25"/>
      <c r="B15" s="34"/>
      <c r="C15" s="17"/>
      <c r="D15" s="17"/>
      <c r="E15" s="17"/>
      <c r="F15" s="17"/>
      <c r="G15" s="17"/>
      <c r="H15" s="17"/>
      <c r="I15" s="18"/>
      <c r="J15" s="31"/>
      <c r="K15"/>
      <c r="L15"/>
      <c r="M15"/>
      <c r="N15"/>
      <c r="O15"/>
      <c r="P15"/>
      <c r="Q15"/>
      <c r="R15"/>
      <c r="S15"/>
      <c r="T15"/>
      <c r="U15"/>
    </row>
    <row r="16" spans="1:21">
      <c r="A16" s="25"/>
      <c r="B16" s="34"/>
      <c r="C16" s="17"/>
      <c r="D16" s="17"/>
      <c r="E16" s="17"/>
      <c r="F16" s="17"/>
      <c r="G16" s="17"/>
      <c r="H16" s="17"/>
      <c r="I16" s="18"/>
      <c r="J16" s="31"/>
      <c r="K16" s="48"/>
      <c r="L16" s="1"/>
      <c r="M16"/>
      <c r="N16"/>
      <c r="O16"/>
      <c r="P16"/>
      <c r="Q16"/>
      <c r="R16"/>
      <c r="S16"/>
      <c r="T16"/>
      <c r="U16"/>
    </row>
    <row r="17" spans="1:21">
      <c r="A17" s="25"/>
      <c r="B17" s="34" t="s">
        <v>42</v>
      </c>
      <c r="C17" s="17" t="s">
        <v>680</v>
      </c>
      <c r="D17" s="17"/>
      <c r="E17" s="17"/>
      <c r="F17" s="17"/>
      <c r="G17" s="17"/>
      <c r="H17" s="17"/>
      <c r="I17" s="18"/>
      <c r="J17" s="31"/>
      <c r="K17"/>
      <c r="L17"/>
      <c r="M17"/>
      <c r="N17"/>
      <c r="O17"/>
      <c r="P17"/>
      <c r="Q17"/>
      <c r="R17"/>
      <c r="S17"/>
      <c r="T17"/>
      <c r="U17"/>
    </row>
    <row r="18" spans="1:21" ht="15" customHeight="1">
      <c r="A18" s="25"/>
      <c r="B18" s="34"/>
      <c r="C18" s="17"/>
      <c r="D18" s="17"/>
      <c r="E18" s="17"/>
      <c r="F18" s="17"/>
      <c r="G18" s="17"/>
      <c r="H18" s="17"/>
      <c r="I18" s="18"/>
      <c r="J18" s="31"/>
      <c r="K18"/>
      <c r="L18"/>
      <c r="M18"/>
      <c r="N18"/>
      <c r="O18"/>
      <c r="P18"/>
      <c r="Q18"/>
      <c r="R18"/>
      <c r="S18"/>
      <c r="T18"/>
      <c r="U18"/>
    </row>
    <row r="19" spans="1:21" ht="15" customHeight="1">
      <c r="A19" s="25"/>
      <c r="B19" s="34"/>
      <c r="C19" s="17"/>
      <c r="D19" s="17"/>
      <c r="E19" s="17"/>
      <c r="F19" s="17"/>
      <c r="G19" s="17"/>
      <c r="H19" s="17"/>
      <c r="I19" s="18"/>
      <c r="J19" s="31"/>
      <c r="K19"/>
      <c r="L19"/>
      <c r="M19"/>
      <c r="N19"/>
      <c r="O19"/>
      <c r="P19"/>
      <c r="Q19"/>
      <c r="R19"/>
      <c r="S19"/>
      <c r="T19"/>
      <c r="U19"/>
    </row>
    <row r="20" spans="1:21" ht="15" customHeight="1">
      <c r="A20" s="25"/>
      <c r="B20" s="34" t="s">
        <v>43</v>
      </c>
      <c r="C20" s="17" t="s">
        <v>681</v>
      </c>
      <c r="D20" s="17"/>
      <c r="E20" s="17"/>
      <c r="F20" s="17"/>
      <c r="G20" s="17"/>
      <c r="H20" s="17"/>
      <c r="I20" s="18"/>
      <c r="J20" s="31"/>
      <c r="K20"/>
      <c r="L20"/>
      <c r="M20"/>
      <c r="N20"/>
      <c r="O20"/>
      <c r="P20"/>
      <c r="Q20"/>
      <c r="R20"/>
      <c r="S20"/>
      <c r="T20"/>
      <c r="U20"/>
    </row>
    <row r="21" spans="1:21" ht="15" customHeight="1">
      <c r="A21" s="25"/>
      <c r="B21" s="34"/>
      <c r="C21" s="17"/>
      <c r="D21" s="17"/>
      <c r="E21" s="17"/>
      <c r="F21" s="17"/>
      <c r="G21" s="17"/>
      <c r="H21" s="17"/>
      <c r="I21" s="18"/>
      <c r="J21" s="31"/>
      <c r="K21"/>
      <c r="L21"/>
      <c r="M21"/>
      <c r="N21"/>
      <c r="O21"/>
      <c r="P21"/>
      <c r="Q21"/>
      <c r="R21"/>
      <c r="S21"/>
      <c r="T21"/>
      <c r="U21"/>
    </row>
    <row r="22" spans="1:21" ht="15" customHeight="1">
      <c r="A22" s="25"/>
      <c r="B22" s="34"/>
      <c r="C22" s="17"/>
      <c r="D22" s="17"/>
      <c r="E22" s="17"/>
      <c r="F22" s="17"/>
      <c r="G22" s="17"/>
      <c r="H22" s="17"/>
      <c r="I22" s="18"/>
      <c r="J22" s="31"/>
      <c r="K22"/>
      <c r="L22"/>
      <c r="M22"/>
      <c r="N22"/>
      <c r="O22"/>
      <c r="P22"/>
      <c r="Q22"/>
      <c r="R22"/>
      <c r="S22"/>
      <c r="T22"/>
      <c r="U22"/>
    </row>
    <row r="23" spans="1:21" ht="15" customHeight="1">
      <c r="A23" s="25"/>
      <c r="B23" s="34"/>
      <c r="C23" s="17"/>
      <c r="D23" s="17"/>
      <c r="E23" s="17"/>
      <c r="F23" s="17"/>
      <c r="G23" s="17"/>
      <c r="H23" s="17"/>
      <c r="I23" s="18"/>
      <c r="J23" s="31"/>
      <c r="K23"/>
      <c r="L23"/>
      <c r="M23"/>
      <c r="N23"/>
      <c r="O23"/>
      <c r="P23"/>
      <c r="Q23"/>
      <c r="R23"/>
      <c r="S23"/>
      <c r="T23"/>
      <c r="U23"/>
    </row>
    <row r="24" spans="1:21" ht="15" customHeight="1">
      <c r="A24" s="25"/>
      <c r="B24" s="34"/>
      <c r="C24" s="17"/>
      <c r="D24" s="17"/>
      <c r="E24" s="17"/>
      <c r="F24" s="17"/>
      <c r="G24" s="17"/>
      <c r="H24" s="17"/>
      <c r="I24" s="18"/>
      <c r="J24" s="31"/>
      <c r="K24"/>
      <c r="L24"/>
      <c r="M24"/>
      <c r="N24"/>
      <c r="O24"/>
      <c r="P24"/>
      <c r="Q24"/>
      <c r="R24"/>
      <c r="S24"/>
      <c r="T24"/>
      <c r="U24"/>
    </row>
    <row r="25" spans="1:21" ht="15" customHeight="1">
      <c r="A25" s="25"/>
      <c r="B25" s="34"/>
      <c r="C25" s="17"/>
      <c r="D25" s="17"/>
      <c r="E25" s="17"/>
      <c r="F25" s="17"/>
      <c r="G25" s="17"/>
      <c r="H25" s="17"/>
      <c r="I25" s="18"/>
      <c r="J25" s="31"/>
      <c r="K25"/>
      <c r="L25"/>
      <c r="M25"/>
      <c r="N25"/>
      <c r="O25"/>
      <c r="P25"/>
      <c r="Q25"/>
      <c r="R25"/>
      <c r="S25"/>
      <c r="T25"/>
      <c r="U25"/>
    </row>
    <row r="26" spans="1:21" ht="15" customHeight="1">
      <c r="A26" s="25"/>
      <c r="B26" s="34"/>
      <c r="C26" s="17"/>
      <c r="D26" s="17"/>
      <c r="E26" s="17"/>
      <c r="F26" s="17"/>
      <c r="G26" s="17"/>
      <c r="H26" s="17"/>
      <c r="I26" s="18"/>
      <c r="J26" s="31"/>
      <c r="K26"/>
      <c r="L26"/>
      <c r="M26"/>
      <c r="N26"/>
      <c r="O26"/>
      <c r="P26"/>
      <c r="Q26"/>
      <c r="R26"/>
      <c r="S26"/>
      <c r="T26"/>
      <c r="U26"/>
    </row>
    <row r="27" spans="1:21" ht="15" customHeight="1">
      <c r="A27" s="25"/>
      <c r="B27" s="17"/>
      <c r="C27" s="17"/>
      <c r="D27" s="17"/>
      <c r="E27" s="17"/>
      <c r="F27" s="17"/>
      <c r="G27" s="17"/>
      <c r="H27" s="17"/>
      <c r="I27" s="18"/>
      <c r="J27" s="31"/>
      <c r="K27"/>
      <c r="L27"/>
      <c r="M27"/>
      <c r="N27"/>
      <c r="O27"/>
      <c r="P27"/>
      <c r="Q27"/>
      <c r="R27"/>
      <c r="S27"/>
      <c r="T27"/>
      <c r="U27"/>
    </row>
    <row r="28" spans="1:21" ht="15" customHeight="1">
      <c r="A28" s="25"/>
      <c r="B28" s="17"/>
      <c r="C28" s="17"/>
      <c r="D28" s="17"/>
      <c r="E28" s="17"/>
      <c r="F28" s="17"/>
      <c r="G28" s="17"/>
      <c r="H28" s="17"/>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80" priority="1" operator="equal">
      <formula>"Incomplete"</formula>
    </cfRule>
    <cfRule type="cellIs" dxfId="79" priority="2" operator="equal">
      <formula>"Flag for Review"</formula>
    </cfRule>
    <cfRule type="cellIs" dxfId="7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5</v>
      </c>
      <c r="B1" s="27" t="s">
        <v>12</v>
      </c>
      <c r="C1" s="20"/>
      <c r="D1" s="20"/>
      <c r="E1" s="20"/>
      <c r="F1" s="20"/>
      <c r="G1" s="20"/>
      <c r="H1" s="886" t="s">
        <v>24</v>
      </c>
      <c r="I1" s="887"/>
      <c r="K1" s="1" t="s">
        <v>33</v>
      </c>
      <c r="L1" s="52" t="str">
        <f>VLOOKUP(A1,'Point Grid'!$L$8:$T$54,9,FALSE)</f>
        <v>Pricing - Chap 1: Introduction to Pricing</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698</v>
      </c>
      <c r="M3"/>
      <c r="N3" s="48"/>
      <c r="O3" s="54"/>
      <c r="P3"/>
      <c r="Q3"/>
      <c r="R3"/>
      <c r="S3"/>
      <c r="T3"/>
      <c r="U3"/>
    </row>
    <row r="4" spans="1:21">
      <c r="A4" s="9">
        <f>INDEX('Point Grid'!B:B,MATCH(A1,'Point Grid'!A:A,0))</f>
        <v>1</v>
      </c>
      <c r="B4" s="17" t="s">
        <v>47</v>
      </c>
      <c r="C4" s="17"/>
      <c r="D4" s="17"/>
      <c r="E4" s="17"/>
      <c r="F4" s="17"/>
      <c r="G4" s="17"/>
      <c r="H4" s="17"/>
      <c r="I4" s="18"/>
      <c r="J4" s="31"/>
      <c r="K4" s="48"/>
      <c r="L4" s="48" t="s">
        <v>34</v>
      </c>
      <c r="M4" s="48" t="s">
        <v>305</v>
      </c>
      <c r="N4" s="48" t="s">
        <v>700</v>
      </c>
      <c r="O4" s="48" t="s">
        <v>35</v>
      </c>
      <c r="P4" s="48" t="s">
        <v>104</v>
      </c>
      <c r="Q4" s="48" t="s">
        <v>276</v>
      </c>
      <c r="R4" s="749" t="s">
        <v>36</v>
      </c>
      <c r="S4" s="48" t="s">
        <v>392</v>
      </c>
      <c r="T4"/>
      <c r="U4"/>
    </row>
    <row r="5" spans="1:21">
      <c r="A5" s="16"/>
      <c r="B5" s="17"/>
      <c r="C5" s="17"/>
      <c r="D5" s="17"/>
      <c r="E5" s="17"/>
      <c r="F5" s="17"/>
      <c r="G5" s="17"/>
      <c r="H5" s="17"/>
      <c r="I5" s="18"/>
      <c r="J5" s="31"/>
      <c r="K5" s="48"/>
      <c r="L5" s="48" t="s">
        <v>34</v>
      </c>
      <c r="M5" s="48" t="s">
        <v>305</v>
      </c>
      <c r="N5" s="277">
        <f>E12</f>
        <v>34600</v>
      </c>
      <c r="O5" s="48" t="s">
        <v>35</v>
      </c>
      <c r="P5" s="277">
        <f>E15</f>
        <v>10000</v>
      </c>
      <c r="Q5" s="48" t="s">
        <v>276</v>
      </c>
      <c r="R5" s="749" t="s">
        <v>36</v>
      </c>
      <c r="S5" s="277">
        <f>E13</f>
        <v>48000</v>
      </c>
      <c r="T5"/>
      <c r="U5"/>
    </row>
    <row r="6" spans="1:21">
      <c r="A6" s="25" t="s">
        <v>2</v>
      </c>
      <c r="B6" s="17" t="s">
        <v>699</v>
      </c>
      <c r="C6" s="17"/>
      <c r="D6" s="17"/>
      <c r="E6" s="17"/>
      <c r="F6" s="17"/>
      <c r="G6" s="17"/>
      <c r="H6" s="17"/>
      <c r="I6" s="18"/>
      <c r="J6" s="31"/>
      <c r="K6" s="48"/>
      <c r="L6" s="48" t="s">
        <v>34</v>
      </c>
      <c r="M6" s="750">
        <f>(N5+P5) / S5</f>
        <v>0.9291666666666667</v>
      </c>
      <c r="N6"/>
      <c r="O6"/>
      <c r="P6"/>
      <c r="Q6"/>
      <c r="R6"/>
      <c r="S6"/>
      <c r="T6"/>
      <c r="U6"/>
    </row>
    <row r="7" spans="1:21" ht="15.75" thickBot="1">
      <c r="A7" s="9">
        <f>INDEX('Point Grid'!$C$8:$I$54,MATCH($A$1,'Point Grid'!$A$8:$A$54,0),MATCH(A6,'Point Grid'!$C$7:$I$7,0))</f>
        <v>1</v>
      </c>
      <c r="B7" s="17"/>
      <c r="C7" s="17"/>
      <c r="D7" s="17"/>
      <c r="E7" s="17"/>
      <c r="F7" s="17"/>
      <c r="G7" s="17"/>
      <c r="H7" s="17"/>
      <c r="I7" s="18"/>
      <c r="J7" s="31"/>
      <c r="K7" s="48"/>
      <c r="L7"/>
      <c r="M7"/>
      <c r="N7"/>
      <c r="O7"/>
      <c r="P7"/>
      <c r="Q7"/>
      <c r="R7"/>
      <c r="S7"/>
      <c r="T7"/>
      <c r="U7"/>
    </row>
    <row r="8" spans="1:21" ht="15.75" thickBot="1">
      <c r="A8" s="5"/>
      <c r="B8" s="35" t="s">
        <v>37</v>
      </c>
      <c r="C8" s="70"/>
      <c r="D8" s="28"/>
      <c r="E8" s="28"/>
      <c r="F8" s="28"/>
      <c r="G8" s="28"/>
      <c r="H8" s="28"/>
      <c r="I8" s="18"/>
      <c r="J8" s="31"/>
      <c r="K8"/>
      <c r="L8"/>
      <c r="M8"/>
      <c r="N8"/>
      <c r="O8"/>
      <c r="P8"/>
      <c r="Q8"/>
      <c r="R8"/>
      <c r="S8"/>
      <c r="T8"/>
      <c r="U8"/>
    </row>
    <row r="9" spans="1:21">
      <c r="A9" s="25"/>
      <c r="B9" s="17"/>
      <c r="C9" s="17"/>
      <c r="D9" s="17"/>
      <c r="E9" s="17"/>
      <c r="F9" s="17"/>
      <c r="G9" s="17"/>
      <c r="H9" s="17"/>
      <c r="I9" s="18"/>
      <c r="J9" s="31"/>
      <c r="K9" s="48"/>
      <c r="L9"/>
      <c r="M9"/>
      <c r="N9"/>
      <c r="O9"/>
      <c r="P9"/>
      <c r="Q9"/>
      <c r="R9"/>
      <c r="S9"/>
    </row>
    <row r="10" spans="1:21">
      <c r="A10" s="25"/>
      <c r="B10" s="62" t="s">
        <v>48</v>
      </c>
      <c r="C10" s="36"/>
      <c r="D10" s="36"/>
      <c r="E10" s="45">
        <v>4</v>
      </c>
      <c r="F10" s="17"/>
      <c r="G10" s="17"/>
      <c r="H10" s="17"/>
      <c r="I10" s="18"/>
      <c r="J10" s="31"/>
      <c r="K10"/>
      <c r="L10" s="1"/>
      <c r="M10"/>
      <c r="N10"/>
      <c r="O10"/>
      <c r="P10"/>
      <c r="Q10"/>
      <c r="R10"/>
      <c r="S10"/>
      <c r="T10"/>
      <c r="U10"/>
    </row>
    <row r="11" spans="1:21">
      <c r="A11" s="25"/>
      <c r="B11" s="63" t="s">
        <v>49</v>
      </c>
      <c r="C11" s="26"/>
      <c r="D11" s="26"/>
      <c r="E11" s="46">
        <v>50</v>
      </c>
      <c r="F11" s="17"/>
      <c r="G11" s="17"/>
      <c r="H11" s="17"/>
      <c r="I11" s="18"/>
      <c r="J11" s="31"/>
      <c r="K11"/>
      <c r="L11"/>
      <c r="M11"/>
      <c r="N11"/>
      <c r="O11"/>
      <c r="P11"/>
      <c r="Q11"/>
      <c r="R11"/>
      <c r="S11"/>
      <c r="T11"/>
      <c r="U11"/>
    </row>
    <row r="12" spans="1:21">
      <c r="A12" s="25"/>
      <c r="B12" s="65" t="s">
        <v>50</v>
      </c>
      <c r="C12" s="66"/>
      <c r="D12" s="66"/>
      <c r="E12" s="67">
        <v>34600</v>
      </c>
      <c r="F12" s="17"/>
      <c r="G12" s="17"/>
      <c r="H12" s="17"/>
      <c r="I12" s="18"/>
      <c r="J12" s="31"/>
      <c r="K12"/>
      <c r="L12"/>
      <c r="M12"/>
      <c r="N12"/>
      <c r="O12"/>
      <c r="P12"/>
      <c r="Q12"/>
      <c r="R12"/>
      <c r="S12"/>
      <c r="T12"/>
      <c r="U12"/>
    </row>
    <row r="13" spans="1:21">
      <c r="A13" s="25"/>
      <c r="B13" s="63" t="s">
        <v>51</v>
      </c>
      <c r="C13" s="64"/>
      <c r="D13" s="64"/>
      <c r="E13" s="68">
        <v>48000</v>
      </c>
      <c r="F13" s="17"/>
      <c r="G13" s="17"/>
      <c r="H13" s="17"/>
      <c r="I13" s="18"/>
      <c r="J13" s="31"/>
      <c r="K13" s="48"/>
      <c r="L13"/>
      <c r="M13"/>
      <c r="N13"/>
      <c r="O13"/>
      <c r="P13"/>
      <c r="Q13"/>
      <c r="R13"/>
      <c r="S13"/>
      <c r="T13"/>
      <c r="U13"/>
    </row>
    <row r="14" spans="1:21">
      <c r="A14" s="25"/>
      <c r="B14" s="65" t="s">
        <v>52</v>
      </c>
      <c r="C14" s="66"/>
      <c r="D14" s="66"/>
      <c r="E14" s="67">
        <v>50000</v>
      </c>
      <c r="F14" s="17"/>
      <c r="G14" s="17"/>
      <c r="H14" s="17"/>
      <c r="I14" s="18"/>
      <c r="J14" s="31"/>
      <c r="K14"/>
      <c r="L14"/>
      <c r="M14"/>
      <c r="N14"/>
      <c r="O14"/>
      <c r="P14"/>
      <c r="Q14"/>
      <c r="R14"/>
      <c r="S14"/>
      <c r="T14"/>
      <c r="U14"/>
    </row>
    <row r="15" spans="1:21">
      <c r="A15" s="25"/>
      <c r="B15" s="63" t="s">
        <v>53</v>
      </c>
      <c r="C15" s="64"/>
      <c r="D15" s="64"/>
      <c r="E15" s="68">
        <v>10000</v>
      </c>
      <c r="F15" s="17"/>
      <c r="G15" s="17"/>
      <c r="H15" s="17"/>
      <c r="I15" s="18"/>
      <c r="J15" s="31"/>
      <c r="K15"/>
      <c r="L15"/>
      <c r="M15"/>
      <c r="N15"/>
      <c r="O15"/>
      <c r="P15"/>
      <c r="Q15"/>
      <c r="R15"/>
      <c r="S15"/>
      <c r="T15"/>
      <c r="U15"/>
    </row>
    <row r="16" spans="1:21">
      <c r="A16" s="25"/>
      <c r="B16" s="63" t="s">
        <v>54</v>
      </c>
      <c r="C16" s="64"/>
      <c r="D16" s="64"/>
      <c r="E16" s="68">
        <v>4500</v>
      </c>
      <c r="F16" s="17"/>
      <c r="G16" s="17"/>
      <c r="H16" s="17"/>
      <c r="I16" s="18"/>
      <c r="J16" s="31"/>
      <c r="K16" s="48"/>
      <c r="L16" s="1"/>
      <c r="M16"/>
      <c r="N16"/>
      <c r="O16"/>
      <c r="P16"/>
      <c r="Q16"/>
      <c r="R16"/>
      <c r="S16"/>
      <c r="T16"/>
      <c r="U16"/>
    </row>
    <row r="17" spans="1:21">
      <c r="A17" s="25"/>
      <c r="B17" s="65" t="s">
        <v>55</v>
      </c>
      <c r="C17" s="66"/>
      <c r="D17" s="66"/>
      <c r="E17" s="67">
        <v>960</v>
      </c>
      <c r="F17" s="17"/>
      <c r="G17" s="17"/>
      <c r="H17" s="17"/>
      <c r="I17" s="18"/>
      <c r="J17" s="31"/>
      <c r="K17"/>
      <c r="L17"/>
      <c r="M17"/>
      <c r="N17"/>
      <c r="O17"/>
      <c r="P17"/>
      <c r="Q17"/>
      <c r="R17"/>
      <c r="S17"/>
      <c r="T17"/>
      <c r="U17"/>
    </row>
    <row r="18" spans="1:21" ht="15" customHeight="1">
      <c r="A18" s="25"/>
      <c r="B18" s="63" t="s">
        <v>56</v>
      </c>
      <c r="C18" s="26"/>
      <c r="D18" s="26"/>
      <c r="E18" s="46">
        <v>57</v>
      </c>
      <c r="F18" s="17"/>
      <c r="G18" s="17"/>
      <c r="H18" s="17"/>
      <c r="I18" s="18"/>
      <c r="J18" s="31"/>
      <c r="K18"/>
      <c r="L18"/>
      <c r="M18"/>
      <c r="N18"/>
      <c r="O18"/>
      <c r="P18"/>
      <c r="Q18"/>
      <c r="R18"/>
      <c r="S18"/>
      <c r="T18"/>
      <c r="U18"/>
    </row>
    <row r="19" spans="1:21" ht="15" customHeight="1">
      <c r="A19" s="25"/>
      <c r="B19" s="63" t="s">
        <v>57</v>
      </c>
      <c r="C19" s="26"/>
      <c r="D19" s="26"/>
      <c r="E19" s="46">
        <v>100</v>
      </c>
      <c r="F19" s="17"/>
      <c r="G19" s="17"/>
      <c r="H19" s="17"/>
      <c r="I19" s="18"/>
      <c r="J19" s="31"/>
      <c r="K19"/>
      <c r="L19"/>
      <c r="M19"/>
      <c r="N19"/>
      <c r="O19"/>
      <c r="P19"/>
      <c r="Q19"/>
      <c r="R19"/>
      <c r="S19"/>
      <c r="T19"/>
      <c r="U19"/>
    </row>
    <row r="20" spans="1:21" ht="15" customHeight="1">
      <c r="A20" s="25"/>
      <c r="B20" s="63" t="s">
        <v>58</v>
      </c>
      <c r="C20" s="26"/>
      <c r="D20" s="26"/>
      <c r="E20" s="46">
        <v>95</v>
      </c>
      <c r="F20" s="17"/>
      <c r="G20" s="17"/>
      <c r="H20" s="17"/>
      <c r="I20" s="18"/>
      <c r="J20" s="31"/>
      <c r="K20"/>
      <c r="L20"/>
      <c r="M20"/>
      <c r="N20"/>
      <c r="O20"/>
      <c r="P20"/>
      <c r="Q20"/>
      <c r="R20"/>
      <c r="S20"/>
      <c r="T20"/>
      <c r="U20"/>
    </row>
    <row r="21" spans="1:21" ht="15" customHeight="1">
      <c r="A21" s="25"/>
      <c r="B21" s="65" t="s">
        <v>59</v>
      </c>
      <c r="C21" s="44"/>
      <c r="D21" s="44"/>
      <c r="E21" s="47">
        <v>150</v>
      </c>
      <c r="F21" s="17"/>
      <c r="G21" s="17"/>
      <c r="H21" s="17"/>
      <c r="I21" s="18"/>
      <c r="J21" s="31"/>
      <c r="K21"/>
      <c r="L21"/>
      <c r="M21"/>
      <c r="N21"/>
      <c r="O21"/>
      <c r="P21"/>
      <c r="Q21"/>
      <c r="R21"/>
      <c r="S21"/>
      <c r="T21"/>
      <c r="U21"/>
    </row>
    <row r="22" spans="1:21" ht="15" customHeight="1">
      <c r="A22" s="25"/>
      <c r="B22" s="17"/>
      <c r="C22" s="17"/>
      <c r="D22" s="17"/>
      <c r="E22" s="17"/>
      <c r="F22" s="17"/>
      <c r="G22" s="17"/>
      <c r="H22" s="17"/>
      <c r="I22" s="18"/>
      <c r="J22" s="31"/>
      <c r="K22"/>
      <c r="L22"/>
      <c r="M22"/>
      <c r="N22"/>
      <c r="O22"/>
      <c r="P22"/>
      <c r="Q22"/>
      <c r="R22"/>
      <c r="S22"/>
      <c r="T22"/>
      <c r="U22"/>
    </row>
    <row r="23" spans="1:21" ht="15" customHeight="1">
      <c r="A23" s="25"/>
      <c r="B23" s="17"/>
      <c r="C23" s="17"/>
      <c r="D23" s="17"/>
      <c r="E23" s="17"/>
      <c r="F23" s="17"/>
      <c r="G23" s="17"/>
      <c r="H23" s="17"/>
      <c r="I23" s="18"/>
      <c r="J23" s="31"/>
      <c r="K23"/>
      <c r="L23"/>
      <c r="M23"/>
      <c r="N23"/>
      <c r="O23"/>
      <c r="P23"/>
      <c r="Q23"/>
      <c r="R23"/>
      <c r="S23"/>
      <c r="T23"/>
      <c r="U23"/>
    </row>
    <row r="24" spans="1:21" ht="15" customHeight="1">
      <c r="A24" s="25"/>
      <c r="B24" s="17"/>
      <c r="C24" s="17"/>
      <c r="D24" s="17"/>
      <c r="E24" s="17"/>
      <c r="F24" s="17"/>
      <c r="G24" s="17"/>
      <c r="H24" s="17"/>
      <c r="I24" s="18"/>
      <c r="J24" s="31"/>
      <c r="K24"/>
      <c r="L24"/>
      <c r="M24"/>
      <c r="N24"/>
      <c r="O24"/>
      <c r="P24"/>
      <c r="Q24"/>
      <c r="R24"/>
      <c r="S24"/>
      <c r="T24"/>
      <c r="U24"/>
    </row>
    <row r="25" spans="1:21" ht="15" customHeight="1">
      <c r="A25" s="25"/>
      <c r="B25" s="17"/>
      <c r="C25" s="17"/>
      <c r="D25" s="17"/>
      <c r="E25" s="17"/>
      <c r="F25" s="17"/>
      <c r="G25" s="17"/>
      <c r="H25" s="17"/>
      <c r="I25" s="18"/>
      <c r="J25" s="31"/>
      <c r="K25"/>
      <c r="L25"/>
      <c r="M25"/>
      <c r="N25"/>
      <c r="O25"/>
      <c r="P25"/>
      <c r="Q25"/>
      <c r="R25"/>
      <c r="S25"/>
      <c r="T25"/>
      <c r="U25"/>
    </row>
    <row r="26" spans="1:21" ht="15" customHeight="1">
      <c r="A26" s="25"/>
      <c r="B26" s="17"/>
      <c r="C26" s="17"/>
      <c r="D26" s="17"/>
      <c r="E26" s="17"/>
      <c r="F26" s="17"/>
      <c r="G26" s="17"/>
      <c r="H26" s="17"/>
      <c r="I26" s="18"/>
      <c r="J26" s="31"/>
      <c r="K26"/>
      <c r="L26"/>
      <c r="M26"/>
      <c r="N26"/>
      <c r="O26"/>
      <c r="P26"/>
      <c r="Q26"/>
      <c r="R26"/>
      <c r="S26"/>
      <c r="T26"/>
      <c r="U26"/>
    </row>
    <row r="27" spans="1:21" ht="15" customHeight="1">
      <c r="A27" s="25"/>
      <c r="B27" s="17"/>
      <c r="C27" s="17"/>
      <c r="D27" s="17"/>
      <c r="E27" s="17"/>
      <c r="F27" s="17"/>
      <c r="G27" s="17"/>
      <c r="H27" s="17"/>
      <c r="I27" s="18"/>
      <c r="J27" s="31"/>
      <c r="K27"/>
      <c r="L27"/>
      <c r="M27"/>
      <c r="N27"/>
      <c r="O27"/>
      <c r="P27"/>
      <c r="Q27"/>
      <c r="R27"/>
      <c r="S27"/>
      <c r="T27"/>
      <c r="U27"/>
    </row>
    <row r="28" spans="1:21" ht="15" customHeight="1">
      <c r="A28" s="25"/>
      <c r="B28" s="17"/>
      <c r="C28" s="17"/>
      <c r="D28" s="17"/>
      <c r="E28" s="17"/>
      <c r="F28" s="17"/>
      <c r="G28" s="17"/>
      <c r="H28" s="17"/>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B34" s="21" t="s">
        <v>48</v>
      </c>
      <c r="C34" s="21">
        <v>9</v>
      </c>
      <c r="J34" s="31"/>
      <c r="K34"/>
      <c r="L34"/>
      <c r="M34"/>
      <c r="N34"/>
      <c r="O34"/>
      <c r="P34"/>
      <c r="Q34"/>
      <c r="R34"/>
      <c r="S34"/>
      <c r="T34"/>
      <c r="U34"/>
    </row>
    <row r="35" spans="2:21" ht="15" customHeight="1">
      <c r="B35" s="21" t="s">
        <v>49</v>
      </c>
      <c r="C35" s="21">
        <v>100</v>
      </c>
      <c r="J35" s="31"/>
      <c r="K35" s="48"/>
      <c r="L35"/>
      <c r="M35"/>
      <c r="N35"/>
      <c r="O35"/>
      <c r="P35"/>
      <c r="Q35"/>
      <c r="R35"/>
      <c r="S35"/>
      <c r="T35"/>
      <c r="U35"/>
    </row>
    <row r="36" spans="2:21" ht="15" customHeight="1">
      <c r="B36" s="21" t="s">
        <v>50</v>
      </c>
      <c r="C36" s="61">
        <v>53100</v>
      </c>
      <c r="J36" s="31"/>
      <c r="K36"/>
      <c r="L36"/>
      <c r="M36"/>
      <c r="N36"/>
      <c r="O36"/>
      <c r="P36"/>
      <c r="Q36"/>
      <c r="R36"/>
      <c r="S36"/>
      <c r="T36"/>
      <c r="U36"/>
    </row>
    <row r="37" spans="2:21" ht="15" customHeight="1">
      <c r="B37" s="21" t="s">
        <v>51</v>
      </c>
      <c r="C37" s="61">
        <v>73800</v>
      </c>
      <c r="J37" s="31"/>
      <c r="K37"/>
      <c r="L37"/>
      <c r="M37"/>
      <c r="N37"/>
      <c r="O37"/>
      <c r="P37"/>
      <c r="Q37"/>
      <c r="R37"/>
      <c r="S37"/>
      <c r="T37"/>
      <c r="U37"/>
    </row>
    <row r="38" spans="2:21" ht="15" customHeight="1">
      <c r="B38" s="21" t="s">
        <v>52</v>
      </c>
      <c r="C38" s="61">
        <v>90000</v>
      </c>
      <c r="J38" s="31"/>
      <c r="K38"/>
      <c r="L38"/>
      <c r="M38"/>
      <c r="N38"/>
      <c r="O38"/>
      <c r="P38"/>
      <c r="Q38"/>
      <c r="R38"/>
      <c r="S38"/>
      <c r="T38"/>
      <c r="U38"/>
    </row>
    <row r="39" spans="2:21" ht="15" customHeight="1">
      <c r="B39" s="21" t="s">
        <v>53</v>
      </c>
      <c r="C39" s="61">
        <v>14300</v>
      </c>
      <c r="J39" s="31"/>
      <c r="K39"/>
      <c r="L39"/>
      <c r="M39"/>
      <c r="N39"/>
      <c r="O39"/>
      <c r="P39"/>
      <c r="Q39"/>
      <c r="R39"/>
      <c r="S39"/>
      <c r="T39"/>
      <c r="U39"/>
    </row>
    <row r="40" spans="2:21" ht="15" customHeight="1">
      <c r="B40" s="21" t="s">
        <v>54</v>
      </c>
      <c r="C40" s="61">
        <v>8100</v>
      </c>
      <c r="J40" s="31"/>
      <c r="K40"/>
      <c r="L40"/>
      <c r="M40"/>
      <c r="N40"/>
      <c r="O40"/>
      <c r="P40"/>
      <c r="Q40"/>
      <c r="R40"/>
      <c r="S40"/>
      <c r="T40"/>
      <c r="U40"/>
    </row>
    <row r="41" spans="2:21" ht="15" customHeight="1">
      <c r="B41" s="21" t="s">
        <v>55</v>
      </c>
      <c r="C41" s="61">
        <v>2950</v>
      </c>
      <c r="J41" s="31"/>
      <c r="K41"/>
      <c r="L41"/>
      <c r="M41"/>
      <c r="N41"/>
      <c r="O41"/>
      <c r="P41"/>
      <c r="Q41"/>
      <c r="R41"/>
      <c r="S41"/>
      <c r="T41"/>
      <c r="U41"/>
    </row>
    <row r="42" spans="2:21" ht="15" customHeight="1">
      <c r="B42" s="21" t="s">
        <v>56</v>
      </c>
      <c r="C42" s="21">
        <v>56</v>
      </c>
      <c r="J42" s="31"/>
      <c r="K42"/>
      <c r="L42"/>
      <c r="M42"/>
      <c r="N42"/>
      <c r="O42"/>
      <c r="P42"/>
      <c r="Q42"/>
      <c r="R42"/>
      <c r="S42"/>
      <c r="T42"/>
      <c r="U42"/>
    </row>
    <row r="43" spans="2:21" ht="15" customHeight="1">
      <c r="B43" s="21" t="s">
        <v>57</v>
      </c>
      <c r="C43" s="21">
        <v>100</v>
      </c>
      <c r="J43" s="31"/>
      <c r="K43"/>
      <c r="L43"/>
      <c r="M43"/>
      <c r="N43"/>
      <c r="O43"/>
      <c r="P43"/>
      <c r="Q43"/>
      <c r="R43"/>
      <c r="S43"/>
      <c r="T43"/>
      <c r="U43"/>
    </row>
    <row r="44" spans="2:21" ht="15" customHeight="1">
      <c r="B44" s="21" t="s">
        <v>58</v>
      </c>
      <c r="C44" s="21">
        <v>101</v>
      </c>
      <c r="J44" s="31"/>
      <c r="K44"/>
      <c r="L44"/>
      <c r="M44"/>
      <c r="N44"/>
      <c r="O44"/>
      <c r="P44"/>
      <c r="Q44"/>
      <c r="R44"/>
      <c r="S44"/>
      <c r="T44"/>
      <c r="U44"/>
    </row>
    <row r="45" spans="2:21" ht="15" customHeight="1">
      <c r="B45" s="21" t="s">
        <v>59</v>
      </c>
      <c r="C45" s="21">
        <v>150</v>
      </c>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77" priority="1" operator="equal">
      <formula>"Incomplete"</formula>
    </cfRule>
    <cfRule type="cellIs" dxfId="76" priority="2" operator="equal">
      <formula>"Flag for Review"</formula>
    </cfRule>
    <cfRule type="cellIs" dxfId="7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6</v>
      </c>
      <c r="B1" s="27" t="s">
        <v>12</v>
      </c>
      <c r="C1" s="20"/>
      <c r="D1" s="20"/>
      <c r="E1" s="20"/>
      <c r="F1" s="20"/>
      <c r="G1" s="20"/>
      <c r="H1" s="886" t="s">
        <v>24</v>
      </c>
      <c r="I1" s="887"/>
      <c r="K1" s="1" t="s">
        <v>33</v>
      </c>
      <c r="L1" s="52" t="str">
        <f>VLOOKUP(A1,'Point Grid'!$L$8:$T$54,9,FALSE)</f>
        <v>Reserving  - Chap 7: The Development Method</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693</v>
      </c>
      <c r="M3"/>
      <c r="N3"/>
      <c r="O3"/>
      <c r="P3"/>
      <c r="Q3"/>
      <c r="R3"/>
      <c r="S3"/>
      <c r="T3"/>
      <c r="U3"/>
    </row>
    <row r="4" spans="1:21">
      <c r="A4" s="9">
        <f>INDEX('Point Grid'!B:B,MATCH(A1,'Point Grid'!A:A,0))</f>
        <v>1</v>
      </c>
      <c r="B4" s="17" t="s">
        <v>47</v>
      </c>
      <c r="C4" s="17"/>
      <c r="D4" s="17"/>
      <c r="E4" s="17"/>
      <c r="F4" s="17"/>
      <c r="G4" s="17"/>
      <c r="H4" s="17"/>
      <c r="I4" s="18"/>
      <c r="J4" s="31"/>
      <c r="K4" s="48"/>
      <c r="L4"/>
      <c r="M4"/>
      <c r="N4"/>
      <c r="O4"/>
      <c r="P4"/>
      <c r="Q4"/>
      <c r="R4"/>
      <c r="S4"/>
      <c r="T4"/>
      <c r="U4"/>
    </row>
    <row r="5" spans="1:21">
      <c r="A5" s="16"/>
      <c r="B5" s="17"/>
      <c r="C5" s="17"/>
      <c r="D5" s="17"/>
      <c r="E5" s="17"/>
      <c r="F5" s="17"/>
      <c r="G5" s="17"/>
      <c r="H5" s="17"/>
      <c r="I5" s="18"/>
      <c r="J5" s="31"/>
      <c r="K5" s="48"/>
      <c r="L5" t="s">
        <v>694</v>
      </c>
      <c r="M5"/>
      <c r="N5"/>
      <c r="O5"/>
      <c r="P5"/>
      <c r="Q5"/>
      <c r="R5"/>
      <c r="S5"/>
      <c r="T5"/>
      <c r="U5"/>
    </row>
    <row r="6" spans="1:21">
      <c r="A6" s="25" t="s">
        <v>2</v>
      </c>
      <c r="B6" s="17" t="s">
        <v>733</v>
      </c>
      <c r="C6" s="17"/>
      <c r="D6" s="17"/>
      <c r="E6" s="17"/>
      <c r="F6" s="17"/>
      <c r="G6" s="17"/>
      <c r="H6" s="17"/>
      <c r="I6" s="18"/>
      <c r="J6" s="31"/>
      <c r="K6" s="48"/>
      <c r="L6" t="s">
        <v>691</v>
      </c>
      <c r="M6"/>
      <c r="N6"/>
      <c r="O6"/>
      <c r="P6"/>
      <c r="Q6"/>
      <c r="R6"/>
      <c r="S6"/>
      <c r="T6"/>
      <c r="U6"/>
    </row>
    <row r="7" spans="1:21" ht="15.75" thickBot="1">
      <c r="A7" s="9">
        <f>INDEX('Point Grid'!$C$8:$I$54,MATCH($A$1,'Point Grid'!$A$8:$A$54,0),MATCH(A6,'Point Grid'!$C$7:$I$7,0))</f>
        <v>1</v>
      </c>
      <c r="B7" s="17"/>
      <c r="C7" s="17"/>
      <c r="D7" s="17"/>
      <c r="E7" s="17"/>
      <c r="F7" s="17"/>
      <c r="G7" s="17"/>
      <c r="H7" s="17"/>
      <c r="I7" s="18"/>
      <c r="J7" s="31"/>
      <c r="K7" s="48"/>
      <c r="L7" t="s">
        <v>692</v>
      </c>
      <c r="M7"/>
      <c r="N7"/>
      <c r="O7"/>
      <c r="P7"/>
      <c r="Q7"/>
      <c r="R7"/>
      <c r="S7"/>
      <c r="T7"/>
      <c r="U7"/>
    </row>
    <row r="8" spans="1:21" ht="15.75" thickBot="1">
      <c r="A8" s="5"/>
      <c r="B8" s="35" t="s">
        <v>37</v>
      </c>
      <c r="C8" s="69"/>
      <c r="D8" s="28"/>
      <c r="E8" s="28"/>
      <c r="F8" s="28"/>
      <c r="G8" s="28"/>
      <c r="H8" s="28"/>
      <c r="I8" s="18"/>
      <c r="J8" s="31"/>
      <c r="K8"/>
      <c r="L8"/>
      <c r="M8"/>
      <c r="N8"/>
      <c r="O8"/>
      <c r="P8"/>
      <c r="Q8"/>
      <c r="R8"/>
      <c r="S8"/>
      <c r="T8"/>
      <c r="U8"/>
    </row>
    <row r="9" spans="1:21">
      <c r="A9" s="25"/>
      <c r="B9" s="17"/>
      <c r="C9" s="17"/>
      <c r="D9" s="17"/>
      <c r="E9" s="17"/>
      <c r="F9" s="17"/>
      <c r="G9" s="17"/>
      <c r="H9" s="17"/>
      <c r="I9" s="18"/>
      <c r="J9" s="31"/>
      <c r="K9" s="48"/>
      <c r="L9" t="s">
        <v>695</v>
      </c>
      <c r="M9"/>
      <c r="N9"/>
      <c r="O9"/>
      <c r="P9"/>
      <c r="Q9"/>
      <c r="R9"/>
      <c r="S9"/>
    </row>
    <row r="10" spans="1:21">
      <c r="A10" s="25"/>
      <c r="B10" s="17" t="s">
        <v>682</v>
      </c>
      <c r="C10" s="17"/>
      <c r="D10" s="17"/>
      <c r="E10" s="17"/>
      <c r="F10" s="17"/>
      <c r="G10" s="17"/>
      <c r="H10" s="17"/>
      <c r="I10" s="18"/>
      <c r="J10" s="31"/>
      <c r="K10"/>
      <c r="L10" s="37" t="s">
        <v>696</v>
      </c>
      <c r="M10"/>
      <c r="N10"/>
      <c r="O10"/>
      <c r="P10"/>
      <c r="Q10"/>
      <c r="R10"/>
      <c r="S10"/>
      <c r="T10"/>
      <c r="U10"/>
    </row>
    <row r="11" spans="1:21" ht="15.75" thickBot="1">
      <c r="A11" s="25"/>
      <c r="B11" s="17"/>
      <c r="C11" s="17"/>
      <c r="D11" s="17"/>
      <c r="E11" s="17"/>
      <c r="F11" s="17"/>
      <c r="G11" s="17"/>
      <c r="H11" s="17"/>
      <c r="I11" s="18"/>
      <c r="J11" s="31"/>
      <c r="K11"/>
      <c r="L11"/>
      <c r="M11"/>
      <c r="N11"/>
      <c r="O11"/>
      <c r="P11"/>
      <c r="Q11"/>
      <c r="R11"/>
      <c r="S11"/>
      <c r="T11"/>
      <c r="U11"/>
    </row>
    <row r="12" spans="1:21" ht="15" customHeight="1">
      <c r="A12" s="25"/>
      <c r="B12" s="35"/>
      <c r="C12" s="740" t="s">
        <v>689</v>
      </c>
      <c r="D12" s="741"/>
      <c r="E12" s="17"/>
      <c r="F12" s="17"/>
      <c r="G12" s="17"/>
      <c r="H12" s="17"/>
      <c r="I12" s="18"/>
      <c r="J12" s="31"/>
      <c r="K12"/>
      <c r="L12"/>
      <c r="M12"/>
      <c r="N12"/>
      <c r="O12"/>
      <c r="P12"/>
      <c r="Q12"/>
      <c r="R12"/>
      <c r="S12"/>
      <c r="T12"/>
      <c r="U12"/>
    </row>
    <row r="13" spans="1:21" ht="15" customHeight="1" thickBot="1">
      <c r="A13" s="25"/>
      <c r="B13" s="35"/>
      <c r="C13" s="746" t="s">
        <v>690</v>
      </c>
      <c r="D13" s="747" t="s">
        <v>178</v>
      </c>
      <c r="E13" s="17"/>
      <c r="F13" s="17"/>
      <c r="G13" s="17"/>
      <c r="H13" s="17"/>
      <c r="I13" s="18"/>
      <c r="J13" s="31"/>
      <c r="K13" s="48"/>
      <c r="L13"/>
      <c r="M13"/>
      <c r="N13"/>
      <c r="O13"/>
      <c r="P13"/>
      <c r="Q13"/>
      <c r="R13"/>
      <c r="S13"/>
      <c r="T13"/>
      <c r="U13"/>
    </row>
    <row r="14" spans="1:21" ht="15" customHeight="1">
      <c r="A14" s="25"/>
      <c r="B14" s="35"/>
      <c r="C14" s="744" t="s">
        <v>683</v>
      </c>
      <c r="D14" s="745">
        <v>1</v>
      </c>
      <c r="E14" s="17"/>
      <c r="F14" s="17"/>
      <c r="G14" s="17"/>
      <c r="H14" s="17"/>
      <c r="I14" s="18"/>
      <c r="J14" s="31"/>
      <c r="K14"/>
      <c r="L14"/>
      <c r="M14"/>
      <c r="N14"/>
      <c r="O14"/>
      <c r="P14"/>
      <c r="Q14"/>
      <c r="R14"/>
      <c r="S14"/>
      <c r="T14"/>
      <c r="U14"/>
    </row>
    <row r="15" spans="1:21" ht="15" customHeight="1">
      <c r="A15" s="25"/>
      <c r="B15" s="35"/>
      <c r="C15" s="742" t="s">
        <v>684</v>
      </c>
      <c r="D15" s="743">
        <v>1.3</v>
      </c>
      <c r="E15" s="17"/>
      <c r="F15" s="17"/>
      <c r="G15" s="17"/>
      <c r="H15" s="17"/>
      <c r="I15" s="18"/>
      <c r="J15" s="31"/>
      <c r="K15"/>
      <c r="L15"/>
      <c r="M15"/>
      <c r="N15"/>
      <c r="O15"/>
      <c r="P15"/>
      <c r="Q15"/>
      <c r="R15"/>
      <c r="S15"/>
      <c r="T15"/>
      <c r="U15"/>
    </row>
    <row r="16" spans="1:21" ht="15" customHeight="1">
      <c r="A16" s="25"/>
      <c r="B16" s="35"/>
      <c r="C16" s="744" t="s">
        <v>685</v>
      </c>
      <c r="D16" s="745">
        <v>1</v>
      </c>
      <c r="E16" s="17"/>
      <c r="F16" s="17"/>
      <c r="G16" s="17"/>
      <c r="H16" s="17"/>
      <c r="I16" s="18"/>
      <c r="J16" s="31"/>
      <c r="K16" s="48"/>
      <c r="L16" s="1"/>
      <c r="M16"/>
      <c r="N16"/>
      <c r="O16"/>
      <c r="P16"/>
      <c r="Q16"/>
      <c r="R16"/>
      <c r="S16"/>
      <c r="T16"/>
      <c r="U16"/>
    </row>
    <row r="17" spans="1:21" ht="15" customHeight="1">
      <c r="A17" s="25"/>
      <c r="B17" s="35"/>
      <c r="C17" s="742" t="s">
        <v>686</v>
      </c>
      <c r="D17" s="743">
        <v>1.3</v>
      </c>
      <c r="E17" s="17"/>
      <c r="F17" s="17"/>
      <c r="G17" s="17"/>
      <c r="H17" s="17"/>
      <c r="I17" s="18"/>
      <c r="J17" s="31"/>
      <c r="K17"/>
      <c r="L17"/>
      <c r="M17"/>
      <c r="N17"/>
      <c r="O17"/>
      <c r="P17"/>
      <c r="Q17"/>
      <c r="R17"/>
      <c r="S17"/>
      <c r="T17"/>
      <c r="U17"/>
    </row>
    <row r="18" spans="1:21" ht="15" customHeight="1">
      <c r="A18" s="25"/>
      <c r="B18" s="17"/>
      <c r="C18" s="744" t="s">
        <v>687</v>
      </c>
      <c r="D18" s="745">
        <v>1</v>
      </c>
      <c r="E18" s="17"/>
      <c r="F18" s="17"/>
      <c r="G18" s="17"/>
      <c r="H18" s="17"/>
      <c r="I18" s="18"/>
      <c r="J18" s="31"/>
      <c r="K18"/>
      <c r="L18"/>
      <c r="M18"/>
      <c r="N18"/>
      <c r="O18"/>
      <c r="P18"/>
      <c r="Q18"/>
      <c r="R18"/>
      <c r="S18"/>
      <c r="T18"/>
      <c r="U18"/>
    </row>
    <row r="19" spans="1:21" ht="15" customHeight="1" thickBot="1">
      <c r="A19" s="25"/>
      <c r="B19" s="17"/>
      <c r="C19" s="746" t="s">
        <v>688</v>
      </c>
      <c r="D19" s="747">
        <v>1.3</v>
      </c>
      <c r="E19" s="17"/>
      <c r="F19" s="17"/>
      <c r="G19" s="17"/>
      <c r="H19" s="17"/>
      <c r="I19" s="18"/>
      <c r="J19" s="31"/>
      <c r="K19"/>
      <c r="L19"/>
      <c r="M19"/>
      <c r="N19"/>
      <c r="O19"/>
      <c r="P19"/>
      <c r="Q19"/>
      <c r="R19"/>
      <c r="S19"/>
      <c r="T19"/>
      <c r="U19"/>
    </row>
    <row r="20" spans="1:21" ht="15" customHeight="1" thickBot="1">
      <c r="A20" s="25"/>
      <c r="B20" s="17"/>
      <c r="C20" s="761" t="s">
        <v>734</v>
      </c>
      <c r="D20" s="760" t="s">
        <v>467</v>
      </c>
      <c r="E20" s="17"/>
      <c r="F20" s="17"/>
      <c r="G20" s="17"/>
      <c r="H20" s="17"/>
      <c r="I20" s="18"/>
      <c r="J20" s="31"/>
      <c r="K20"/>
      <c r="L20"/>
      <c r="M20"/>
      <c r="N20"/>
      <c r="O20"/>
      <c r="P20"/>
      <c r="Q20"/>
      <c r="R20"/>
      <c r="S20"/>
      <c r="T20"/>
      <c r="U20"/>
    </row>
    <row r="21" spans="1:21" ht="15" customHeight="1">
      <c r="A21" s="25"/>
      <c r="B21" s="17"/>
      <c r="C21" s="17"/>
      <c r="D21" s="17"/>
      <c r="E21" s="17"/>
      <c r="F21" s="17"/>
      <c r="G21" s="17"/>
      <c r="H21" s="17"/>
      <c r="I21" s="18"/>
      <c r="J21" s="31"/>
      <c r="K21"/>
      <c r="L21"/>
      <c r="M21"/>
      <c r="N21"/>
      <c r="O21"/>
      <c r="P21"/>
      <c r="Q21"/>
      <c r="R21"/>
      <c r="S21"/>
      <c r="T21"/>
      <c r="U21"/>
    </row>
    <row r="22" spans="1:21" ht="15" customHeight="1">
      <c r="A22" s="25"/>
      <c r="B22" s="17"/>
      <c r="C22" s="17"/>
      <c r="D22" s="17"/>
      <c r="E22" s="17"/>
      <c r="F22" s="17"/>
      <c r="G22" s="17"/>
      <c r="H22" s="17"/>
      <c r="I22" s="18"/>
      <c r="J22" s="31"/>
      <c r="K22"/>
      <c r="L22"/>
      <c r="M22"/>
      <c r="N22"/>
      <c r="O22"/>
      <c r="P22"/>
      <c r="Q22"/>
      <c r="R22"/>
      <c r="S22"/>
      <c r="T22"/>
      <c r="U22"/>
    </row>
    <row r="23" spans="1:21" ht="15" customHeight="1">
      <c r="A23" s="25"/>
      <c r="B23" s="17"/>
      <c r="C23" s="17"/>
      <c r="D23" s="17"/>
      <c r="E23" s="17"/>
      <c r="F23" s="17"/>
      <c r="G23" s="17"/>
      <c r="H23" s="17"/>
      <c r="I23" s="18"/>
      <c r="J23" s="31"/>
      <c r="K23"/>
      <c r="L23"/>
      <c r="M23"/>
      <c r="N23"/>
      <c r="O23"/>
      <c r="P23"/>
      <c r="Q23"/>
      <c r="R23"/>
      <c r="S23"/>
      <c r="T23"/>
      <c r="U23"/>
    </row>
    <row r="24" spans="1:21" ht="15" customHeight="1">
      <c r="A24" s="25"/>
      <c r="B24" s="17"/>
      <c r="C24" s="17"/>
      <c r="D24" s="17"/>
      <c r="E24" s="17"/>
      <c r="F24" s="17"/>
      <c r="G24" s="17"/>
      <c r="H24" s="17"/>
      <c r="I24" s="18"/>
      <c r="J24" s="31"/>
      <c r="K24"/>
      <c r="L24"/>
      <c r="M24"/>
      <c r="N24"/>
      <c r="O24"/>
      <c r="P24"/>
      <c r="Q24"/>
      <c r="R24"/>
      <c r="S24"/>
      <c r="T24"/>
      <c r="U24"/>
    </row>
    <row r="25" spans="1:21" ht="15" customHeight="1">
      <c r="A25" s="25"/>
      <c r="B25" s="17"/>
      <c r="C25" s="17"/>
      <c r="D25" s="17"/>
      <c r="E25" s="17"/>
      <c r="F25" s="17"/>
      <c r="G25" s="17"/>
      <c r="H25" s="17"/>
      <c r="I25" s="18"/>
      <c r="J25" s="31"/>
      <c r="K25"/>
      <c r="L25"/>
      <c r="M25"/>
      <c r="N25"/>
      <c r="O25"/>
      <c r="P25"/>
      <c r="Q25"/>
      <c r="R25"/>
      <c r="S25"/>
      <c r="T25"/>
      <c r="U25"/>
    </row>
    <row r="26" spans="1:21" ht="15" customHeight="1">
      <c r="A26" s="25"/>
      <c r="B26" s="17"/>
      <c r="C26" s="17"/>
      <c r="D26" s="17"/>
      <c r="E26" s="17"/>
      <c r="F26" s="17"/>
      <c r="G26" s="17"/>
      <c r="H26" s="17"/>
      <c r="I26" s="18"/>
      <c r="J26" s="31"/>
      <c r="K26"/>
      <c r="L26"/>
      <c r="M26"/>
      <c r="N26"/>
      <c r="O26"/>
      <c r="P26"/>
      <c r="Q26"/>
      <c r="R26"/>
      <c r="S26"/>
      <c r="T26"/>
      <c r="U26"/>
    </row>
    <row r="27" spans="1:21" ht="15" customHeight="1">
      <c r="A27" s="25"/>
      <c r="B27" s="17"/>
      <c r="C27" s="17"/>
      <c r="D27" s="17"/>
      <c r="E27" s="17"/>
      <c r="F27" s="17"/>
      <c r="G27" s="17"/>
      <c r="H27" s="17"/>
      <c r="I27" s="18"/>
      <c r="J27" s="31"/>
      <c r="K27"/>
      <c r="L27"/>
      <c r="M27"/>
      <c r="N27"/>
      <c r="O27"/>
      <c r="P27"/>
      <c r="Q27"/>
      <c r="R27"/>
      <c r="S27"/>
      <c r="T27"/>
      <c r="U27"/>
    </row>
    <row r="28" spans="1:21" ht="15" customHeight="1">
      <c r="A28" s="25"/>
      <c r="B28" s="17"/>
      <c r="C28" s="17"/>
      <c r="D28" s="17"/>
      <c r="E28" s="17"/>
      <c r="F28" s="17"/>
      <c r="G28" s="17"/>
      <c r="H28" s="17"/>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74" priority="1" operator="equal">
      <formula>"Incomplete"</formula>
    </cfRule>
    <cfRule type="cellIs" dxfId="73" priority="2" operator="equal">
      <formula>"Flag for Review"</formula>
    </cfRule>
    <cfRule type="cellIs" dxfId="7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U9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7</v>
      </c>
      <c r="B1" s="27" t="s">
        <v>12</v>
      </c>
      <c r="C1" s="20"/>
      <c r="D1" s="20"/>
      <c r="E1" s="20"/>
      <c r="F1" s="20"/>
      <c r="G1" s="20"/>
      <c r="H1" s="886" t="s">
        <v>24</v>
      </c>
      <c r="I1" s="887"/>
      <c r="K1" s="1" t="s">
        <v>33</v>
      </c>
      <c r="L1" s="52" t="str">
        <f>VLOOKUP(A1,'Point Grid'!$L$8:$T$54,9,FALSE)</f>
        <v>Pricing - Chap 3,4: Data, Exposures</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702</v>
      </c>
      <c r="M3" s="475" t="s">
        <v>703</v>
      </c>
      <c r="N3"/>
      <c r="O3"/>
      <c r="P3"/>
      <c r="Q3"/>
      <c r="R3"/>
      <c r="S3"/>
      <c r="T3"/>
      <c r="U3"/>
    </row>
    <row r="4" spans="1:21">
      <c r="A4" s="9">
        <f>INDEX('Point Grid'!B:B,MATCH(A1,'Point Grid'!A:A,0))</f>
        <v>2.25</v>
      </c>
      <c r="B4" s="17"/>
      <c r="C4" s="17"/>
      <c r="D4" s="17"/>
      <c r="E4" s="17"/>
      <c r="F4" s="17"/>
      <c r="G4" s="17"/>
      <c r="H4" s="17"/>
      <c r="I4" s="18"/>
      <c r="J4" s="31"/>
      <c r="K4" s="48"/>
      <c r="L4" s="751"/>
      <c r="M4"/>
      <c r="N4"/>
      <c r="O4"/>
      <c r="P4"/>
      <c r="Q4"/>
      <c r="R4"/>
      <c r="S4"/>
      <c r="T4"/>
      <c r="U4"/>
    </row>
    <row r="5" spans="1:21">
      <c r="A5" s="16"/>
      <c r="B5" s="17"/>
      <c r="C5" s="17"/>
      <c r="D5" s="17"/>
      <c r="E5" s="17"/>
      <c r="F5" s="17"/>
      <c r="G5" s="17"/>
      <c r="H5" s="17"/>
      <c r="I5" s="18"/>
      <c r="J5" s="31"/>
      <c r="K5" s="48"/>
      <c r="L5" s="751" t="s">
        <v>704</v>
      </c>
      <c r="M5" t="s">
        <v>705</v>
      </c>
      <c r="N5"/>
      <c r="O5"/>
      <c r="P5"/>
      <c r="Q5"/>
      <c r="R5"/>
      <c r="S5"/>
      <c r="T5"/>
      <c r="U5"/>
    </row>
    <row r="6" spans="1:21">
      <c r="A6" s="25" t="s">
        <v>2</v>
      </c>
      <c r="B6" s="17" t="s">
        <v>701</v>
      </c>
      <c r="C6" s="17"/>
      <c r="D6" s="17"/>
      <c r="E6" s="17"/>
      <c r="F6" s="17"/>
      <c r="G6" s="17"/>
      <c r="H6" s="17"/>
      <c r="I6" s="18"/>
      <c r="J6" s="31"/>
      <c r="K6" s="48"/>
      <c r="L6" s="751" t="s">
        <v>704</v>
      </c>
      <c r="M6" t="s">
        <v>706</v>
      </c>
      <c r="N6"/>
      <c r="O6"/>
      <c r="P6"/>
      <c r="Q6"/>
      <c r="R6"/>
      <c r="S6"/>
      <c r="T6"/>
      <c r="U6"/>
    </row>
    <row r="7" spans="1:21" ht="15.75" thickBot="1">
      <c r="A7" s="9">
        <f>INDEX('Point Grid'!$C$8:$I$54,MATCH($A$1,'Point Grid'!$A$8:$A$54,0),MATCH(A6,'Point Grid'!$C$7:$I$7,0))</f>
        <v>0.75</v>
      </c>
      <c r="B7" s="17"/>
      <c r="C7" s="17"/>
      <c r="D7" s="17"/>
      <c r="E7" s="17"/>
      <c r="F7" s="17"/>
      <c r="G7" s="17"/>
      <c r="H7" s="17"/>
      <c r="I7" s="18"/>
      <c r="J7" s="31"/>
      <c r="K7" s="48"/>
      <c r="L7" s="751" t="s">
        <v>38</v>
      </c>
      <c r="M7" t="s">
        <v>707</v>
      </c>
      <c r="N7"/>
      <c r="O7"/>
      <c r="P7"/>
      <c r="Q7"/>
      <c r="R7"/>
      <c r="S7"/>
      <c r="T7"/>
      <c r="U7"/>
    </row>
    <row r="8" spans="1:21" ht="15.75" thickBot="1">
      <c r="A8" s="5"/>
      <c r="B8" s="17"/>
      <c r="C8" s="28"/>
      <c r="D8" s="28"/>
      <c r="E8" s="28"/>
      <c r="F8" s="28"/>
      <c r="G8" s="28"/>
      <c r="H8" s="28"/>
      <c r="I8" s="18"/>
      <c r="J8" s="31"/>
      <c r="K8"/>
      <c r="L8"/>
      <c r="M8"/>
      <c r="N8"/>
      <c r="O8"/>
      <c r="P8"/>
      <c r="Q8"/>
      <c r="R8"/>
      <c r="S8"/>
      <c r="T8"/>
      <c r="U8"/>
    </row>
    <row r="9" spans="1:21">
      <c r="A9" s="25"/>
      <c r="B9" s="17"/>
      <c r="C9" s="17"/>
      <c r="D9" s="17"/>
      <c r="E9" s="17"/>
      <c r="F9" s="17"/>
      <c r="G9" s="17"/>
      <c r="H9" s="17"/>
      <c r="I9" s="18"/>
      <c r="J9" s="31"/>
      <c r="K9" s="48" t="s">
        <v>3</v>
      </c>
      <c r="L9" t="s">
        <v>709</v>
      </c>
      <c r="M9"/>
      <c r="N9"/>
      <c r="O9"/>
      <c r="P9"/>
      <c r="Q9"/>
      <c r="R9"/>
      <c r="S9"/>
    </row>
    <row r="10" spans="1:21">
      <c r="A10" s="25" t="s">
        <v>3</v>
      </c>
      <c r="B10" s="17" t="s">
        <v>708</v>
      </c>
      <c r="C10" s="17"/>
      <c r="D10" s="17"/>
      <c r="E10" s="17"/>
      <c r="F10" s="17"/>
      <c r="G10" s="17"/>
      <c r="H10" s="17"/>
      <c r="I10" s="18"/>
      <c r="J10" s="31"/>
      <c r="K10"/>
      <c r="L10"/>
      <c r="M10"/>
      <c r="N10"/>
      <c r="O10"/>
      <c r="P10"/>
      <c r="Q10"/>
      <c r="R10"/>
      <c r="S10"/>
      <c r="T10"/>
      <c r="U10"/>
    </row>
    <row r="11" spans="1:21" ht="15.75" thickBot="1">
      <c r="A11" s="9">
        <f>INDEX('Point Grid'!$C$8:$I$54,MATCH($A$1,'Point Grid'!$A$8:$A$54,0),MATCH(A10,'Point Grid'!$C$7:$I$7,0))</f>
        <v>1.5</v>
      </c>
      <c r="B11" s="17" t="s">
        <v>714</v>
      </c>
      <c r="C11" s="17"/>
      <c r="D11" s="17"/>
      <c r="E11" s="17"/>
      <c r="F11" s="17"/>
      <c r="G11" s="17"/>
      <c r="H11" s="17"/>
      <c r="I11" s="18"/>
      <c r="J11" s="31"/>
      <c r="K11" s="48"/>
      <c r="L11" s="751" t="s">
        <v>704</v>
      </c>
      <c r="M11" t="s">
        <v>712</v>
      </c>
      <c r="N11"/>
      <c r="O11"/>
      <c r="P11"/>
      <c r="Q11"/>
      <c r="R11"/>
      <c r="S11"/>
      <c r="T11"/>
      <c r="U11"/>
    </row>
    <row r="12" spans="1:21" ht="15.75" thickBot="1">
      <c r="A12" s="5"/>
      <c r="B12" s="17"/>
      <c r="C12" s="28"/>
      <c r="D12" s="28"/>
      <c r="E12" s="28"/>
      <c r="F12" s="28"/>
      <c r="G12" s="28"/>
      <c r="H12" s="28"/>
      <c r="I12" s="18"/>
      <c r="J12" s="31"/>
      <c r="K12" s="48"/>
      <c r="L12"/>
      <c r="M12" t="s">
        <v>710</v>
      </c>
      <c r="N12"/>
      <c r="O12"/>
      <c r="P12"/>
      <c r="Q12"/>
      <c r="R12"/>
      <c r="S12"/>
      <c r="T12"/>
      <c r="U12"/>
    </row>
    <row r="13" spans="1:21">
      <c r="A13" s="25"/>
      <c r="B13" s="17"/>
      <c r="C13" s="28"/>
      <c r="D13" s="28"/>
      <c r="E13" s="28"/>
      <c r="F13" s="28"/>
      <c r="G13" s="28"/>
      <c r="H13" s="28"/>
      <c r="I13" s="18"/>
      <c r="J13" s="31"/>
      <c r="K13" s="48"/>
      <c r="L13"/>
      <c r="M13" t="s">
        <v>711</v>
      </c>
      <c r="N13"/>
      <c r="O13"/>
      <c r="P13"/>
      <c r="Q13"/>
      <c r="R13"/>
      <c r="S13"/>
      <c r="T13"/>
      <c r="U13"/>
    </row>
    <row r="14" spans="1:21">
      <c r="A14" s="22"/>
      <c r="B14" s="17"/>
      <c r="C14" s="17"/>
      <c r="D14" s="17"/>
      <c r="E14" s="17"/>
      <c r="F14" s="17"/>
      <c r="G14" s="17"/>
      <c r="H14" s="17"/>
      <c r="I14" s="18"/>
      <c r="J14" s="31"/>
      <c r="K14"/>
      <c r="L14"/>
      <c r="M14"/>
      <c r="N14"/>
      <c r="O14"/>
      <c r="P14"/>
      <c r="Q14"/>
      <c r="R14"/>
      <c r="S14"/>
      <c r="T14"/>
      <c r="U14"/>
    </row>
    <row r="15" spans="1:21">
      <c r="A15" s="22"/>
      <c r="B15" s="17"/>
      <c r="C15" s="17"/>
      <c r="D15" s="17"/>
      <c r="E15" s="17"/>
      <c r="F15" s="17"/>
      <c r="G15" s="17"/>
      <c r="H15" s="17"/>
      <c r="I15" s="18"/>
      <c r="J15" s="31"/>
      <c r="K15"/>
      <c r="L15" s="751" t="s">
        <v>704</v>
      </c>
      <c r="M15" t="s">
        <v>715</v>
      </c>
      <c r="N15"/>
      <c r="O15"/>
      <c r="P15"/>
      <c r="Q15"/>
      <c r="R15"/>
      <c r="S15"/>
      <c r="T15"/>
      <c r="U15"/>
    </row>
    <row r="16" spans="1:21">
      <c r="A16" s="22"/>
      <c r="B16" s="17"/>
      <c r="C16" s="17"/>
      <c r="D16" s="17"/>
      <c r="E16" s="17"/>
      <c r="F16" s="17"/>
      <c r="G16" s="17"/>
      <c r="H16" s="17"/>
      <c r="I16" s="18"/>
      <c r="J16" s="31"/>
      <c r="K16" s="48"/>
      <c r="L16"/>
      <c r="M16" t="s">
        <v>713</v>
      </c>
      <c r="N16"/>
      <c r="O16"/>
      <c r="P16"/>
      <c r="Q16"/>
      <c r="R16"/>
      <c r="S16"/>
      <c r="T16"/>
      <c r="U16"/>
    </row>
    <row r="17" spans="1:21" ht="15.75" thickBot="1">
      <c r="A17" s="24"/>
      <c r="B17" s="32"/>
      <c r="C17" s="32"/>
      <c r="D17" s="32"/>
      <c r="E17" s="32"/>
      <c r="F17" s="32"/>
      <c r="G17" s="32"/>
      <c r="H17" s="32"/>
      <c r="I17" s="33"/>
      <c r="J17" s="31"/>
      <c r="K17" s="48"/>
      <c r="L17"/>
      <c r="M17"/>
      <c r="N17"/>
      <c r="O17"/>
      <c r="P17"/>
      <c r="Q17"/>
      <c r="R17"/>
      <c r="S17"/>
      <c r="T17"/>
      <c r="U17"/>
    </row>
    <row r="18" spans="1:21" ht="15" customHeight="1">
      <c r="B18" s="31"/>
      <c r="C18" s="31"/>
      <c r="D18" s="31"/>
      <c r="E18" s="31"/>
      <c r="F18" s="31"/>
      <c r="G18" s="31"/>
      <c r="H18" s="31"/>
      <c r="I18" s="31"/>
      <c r="J18" s="31"/>
      <c r="K18"/>
      <c r="L18" s="751" t="s">
        <v>38</v>
      </c>
      <c r="M18" t="s">
        <v>717</v>
      </c>
      <c r="N18"/>
      <c r="O18"/>
      <c r="P18"/>
      <c r="Q18"/>
      <c r="R18"/>
      <c r="S18"/>
      <c r="T18"/>
      <c r="U18"/>
    </row>
    <row r="19" spans="1:21" ht="15" customHeight="1">
      <c r="J19" s="31"/>
      <c r="K19"/>
      <c r="L19"/>
      <c r="M19" t="s">
        <v>716</v>
      </c>
      <c r="N19"/>
      <c r="O19"/>
      <c r="P19"/>
      <c r="Q19"/>
      <c r="R19"/>
      <c r="S19"/>
      <c r="T19"/>
      <c r="U19"/>
    </row>
    <row r="20" spans="1:21" ht="15" customHeight="1">
      <c r="J20" s="31"/>
      <c r="K20"/>
      <c r="L20"/>
      <c r="M20"/>
      <c r="N20"/>
      <c r="O20"/>
      <c r="P20"/>
      <c r="Q20"/>
      <c r="R20"/>
      <c r="S20"/>
      <c r="T20"/>
      <c r="U20"/>
    </row>
    <row r="21" spans="1:21" ht="15" customHeight="1">
      <c r="B21" s="31"/>
      <c r="C21" s="31"/>
      <c r="D21" s="31"/>
      <c r="E21" s="31"/>
      <c r="F21" s="31"/>
      <c r="G21" s="31"/>
      <c r="H21" s="31"/>
      <c r="I21" s="31"/>
      <c r="J21" s="31"/>
      <c r="K21"/>
      <c r="L21"/>
      <c r="M21"/>
      <c r="N21"/>
      <c r="O21"/>
      <c r="P21"/>
      <c r="Q21"/>
      <c r="R21"/>
      <c r="S21"/>
      <c r="T21"/>
      <c r="U21"/>
    </row>
    <row r="22" spans="1:21" ht="15" customHeight="1">
      <c r="J22" s="31"/>
      <c r="K22"/>
      <c r="L22"/>
      <c r="M22"/>
      <c r="N22"/>
      <c r="O22"/>
      <c r="P22"/>
      <c r="Q22"/>
      <c r="R22"/>
      <c r="S22"/>
      <c r="T22"/>
      <c r="U22"/>
    </row>
    <row r="23" spans="1:21" ht="15" customHeight="1">
      <c r="J23" s="31"/>
      <c r="K23" s="48"/>
      <c r="L23" s="1"/>
      <c r="M23"/>
      <c r="N23"/>
      <c r="O23"/>
      <c r="P23"/>
      <c r="Q23"/>
      <c r="R23"/>
      <c r="S23"/>
      <c r="T23"/>
      <c r="U23"/>
    </row>
    <row r="24" spans="1:21" ht="15" customHeight="1">
      <c r="J24" s="31"/>
      <c r="K24"/>
      <c r="L24"/>
      <c r="M24"/>
      <c r="N24"/>
      <c r="O24"/>
      <c r="P24"/>
      <c r="Q24"/>
      <c r="R24"/>
      <c r="S24"/>
      <c r="T24"/>
      <c r="U24"/>
    </row>
    <row r="25" spans="1:21" ht="15" customHeight="1">
      <c r="J25" s="31"/>
      <c r="K25" s="48"/>
      <c r="L25"/>
      <c r="M25"/>
      <c r="N25"/>
      <c r="O25"/>
      <c r="P25"/>
      <c r="Q25"/>
      <c r="R25"/>
      <c r="S25"/>
      <c r="T25"/>
      <c r="U25"/>
    </row>
    <row r="26" spans="1:21" ht="15" customHeight="1">
      <c r="J26" s="31"/>
      <c r="K26"/>
      <c r="L26"/>
      <c r="M26"/>
      <c r="N26"/>
      <c r="O26"/>
      <c r="P26"/>
      <c r="Q26"/>
      <c r="R26"/>
      <c r="S26"/>
      <c r="T26"/>
      <c r="U26"/>
    </row>
    <row r="27" spans="1:21" ht="15" customHeight="1">
      <c r="J27" s="31"/>
      <c r="K27"/>
      <c r="L27"/>
      <c r="M27"/>
      <c r="N27"/>
      <c r="O27"/>
      <c r="P27"/>
      <c r="Q27"/>
      <c r="R27"/>
      <c r="S27"/>
      <c r="T27"/>
      <c r="U27"/>
    </row>
    <row r="28" spans="1:21" ht="15" customHeight="1">
      <c r="J28" s="31"/>
      <c r="K28"/>
      <c r="L28"/>
      <c r="M28"/>
      <c r="N28"/>
      <c r="O28"/>
      <c r="P28"/>
      <c r="Q28"/>
      <c r="R28"/>
      <c r="S28"/>
      <c r="T28"/>
      <c r="U28"/>
    </row>
    <row r="29" spans="1:21" ht="15" customHeight="1">
      <c r="J29" s="31"/>
      <c r="K29"/>
      <c r="L29"/>
      <c r="M29"/>
      <c r="N29"/>
      <c r="O29"/>
      <c r="P29"/>
      <c r="Q29"/>
      <c r="R29"/>
      <c r="S29"/>
      <c r="T29"/>
      <c r="U29"/>
    </row>
    <row r="30" spans="1:21" ht="15" customHeight="1">
      <c r="J30" s="31"/>
      <c r="K30"/>
      <c r="L30"/>
      <c r="M30"/>
      <c r="N30"/>
      <c r="O30"/>
      <c r="P30"/>
      <c r="Q30"/>
      <c r="R30"/>
      <c r="S30"/>
      <c r="T30"/>
      <c r="U30"/>
    </row>
    <row r="31" spans="1:21" ht="15" customHeight="1">
      <c r="J31" s="31"/>
      <c r="K31"/>
      <c r="L31"/>
      <c r="M31"/>
      <c r="N31"/>
      <c r="O31"/>
      <c r="P31"/>
      <c r="Q31"/>
      <c r="R31"/>
      <c r="S31"/>
      <c r="T31"/>
      <c r="U31"/>
    </row>
    <row r="32" spans="1:21" ht="15" customHeight="1">
      <c r="J32" s="31"/>
      <c r="K32"/>
      <c r="L32"/>
      <c r="M32"/>
      <c r="N32"/>
      <c r="O32"/>
      <c r="P32"/>
      <c r="Q32"/>
      <c r="R32"/>
      <c r="S32"/>
      <c r="T32"/>
      <c r="U32"/>
    </row>
    <row r="33" spans="2:21" ht="15" customHeight="1">
      <c r="J33" s="31"/>
      <c r="K33"/>
      <c r="L33"/>
      <c r="M33"/>
      <c r="N33"/>
      <c r="O33"/>
      <c r="P33"/>
      <c r="Q33"/>
      <c r="R33"/>
      <c r="S33"/>
      <c r="T33"/>
      <c r="U33"/>
    </row>
    <row r="34" spans="2:21" ht="15" customHeight="1">
      <c r="J34" s="31"/>
      <c r="K34"/>
      <c r="L34"/>
      <c r="M34"/>
      <c r="N34"/>
      <c r="O34"/>
      <c r="P34"/>
      <c r="Q34"/>
      <c r="R34"/>
      <c r="S34"/>
      <c r="T34"/>
      <c r="U34"/>
    </row>
    <row r="35" spans="2:21" ht="15" customHeight="1">
      <c r="J35" s="31"/>
      <c r="K35"/>
      <c r="L35"/>
      <c r="M35"/>
      <c r="N35"/>
      <c r="O35"/>
      <c r="P35"/>
      <c r="Q35"/>
      <c r="R35"/>
      <c r="S35"/>
      <c r="T35"/>
      <c r="U35"/>
    </row>
    <row r="36" spans="2:21" ht="15" customHeight="1">
      <c r="B36" s="31"/>
      <c r="C36" s="31"/>
      <c r="D36" s="31"/>
      <c r="E36" s="31"/>
      <c r="F36" s="31"/>
      <c r="G36" s="31"/>
      <c r="H36" s="31"/>
      <c r="I36" s="31"/>
      <c r="J36" s="31"/>
      <c r="K36"/>
      <c r="L36"/>
      <c r="M36"/>
      <c r="N36"/>
      <c r="O36"/>
      <c r="P36"/>
      <c r="Q36"/>
      <c r="R36"/>
      <c r="S36"/>
      <c r="T36"/>
      <c r="U36"/>
    </row>
    <row r="37" spans="2:21" ht="15" customHeight="1">
      <c r="B37" s="31"/>
      <c r="C37" s="31"/>
      <c r="D37" s="31"/>
      <c r="E37" s="31"/>
      <c r="F37" s="31"/>
      <c r="G37" s="31"/>
      <c r="H37" s="31"/>
      <c r="I37" s="31"/>
      <c r="J37" s="31"/>
      <c r="K37"/>
      <c r="L37"/>
      <c r="M37"/>
      <c r="N37"/>
      <c r="O37"/>
      <c r="P37"/>
      <c r="Q37"/>
      <c r="R37"/>
      <c r="S37"/>
      <c r="T37"/>
      <c r="U37"/>
    </row>
    <row r="38" spans="2:21" ht="15" customHeight="1">
      <c r="B38" s="31"/>
      <c r="C38" s="31"/>
      <c r="D38" s="31"/>
      <c r="E38" s="31"/>
      <c r="F38" s="31"/>
      <c r="G38" s="31"/>
      <c r="H38" s="31"/>
      <c r="I38" s="31"/>
      <c r="J38" s="31"/>
      <c r="K38"/>
      <c r="L38"/>
      <c r="M38"/>
      <c r="N38"/>
      <c r="O38"/>
      <c r="P38"/>
      <c r="Q38"/>
      <c r="R38"/>
      <c r="S38"/>
      <c r="T38"/>
      <c r="U38"/>
    </row>
    <row r="39" spans="2:21" ht="15" customHeight="1">
      <c r="B39" s="31"/>
      <c r="C39" s="31"/>
      <c r="D39" s="31"/>
      <c r="E39" s="31"/>
      <c r="F39" s="31"/>
      <c r="G39" s="31"/>
      <c r="H39" s="31"/>
      <c r="I39" s="31"/>
      <c r="J39" s="31"/>
      <c r="K39"/>
      <c r="L39"/>
      <c r="M39"/>
      <c r="N39"/>
      <c r="O39"/>
      <c r="P39"/>
      <c r="Q39"/>
      <c r="R39"/>
      <c r="S39"/>
      <c r="T39"/>
      <c r="U39"/>
    </row>
    <row r="40" spans="2:21" ht="15" customHeight="1">
      <c r="B40" s="31"/>
      <c r="C40" s="31"/>
      <c r="D40" s="31"/>
      <c r="E40" s="31"/>
      <c r="F40" s="31"/>
      <c r="G40" s="31"/>
      <c r="H40" s="31"/>
      <c r="I40" s="31"/>
      <c r="J40" s="31"/>
      <c r="K40"/>
      <c r="L40"/>
      <c r="M40"/>
      <c r="N40"/>
      <c r="O40"/>
      <c r="P40"/>
      <c r="Q40"/>
      <c r="R40"/>
      <c r="S40"/>
      <c r="T40"/>
      <c r="U40"/>
    </row>
    <row r="41" spans="2:21" ht="15" customHeight="1">
      <c r="B41" s="31"/>
      <c r="C41" s="31"/>
      <c r="D41" s="31"/>
      <c r="E41" s="31"/>
      <c r="F41" s="31"/>
      <c r="G41" s="31"/>
      <c r="H41" s="31"/>
      <c r="I41" s="31"/>
      <c r="J41" s="31"/>
    </row>
    <row r="42" spans="2:21" ht="15" customHeight="1">
      <c r="B42" s="31"/>
      <c r="C42" s="31"/>
      <c r="D42" s="31"/>
      <c r="E42" s="31"/>
      <c r="F42" s="31"/>
      <c r="G42" s="31"/>
      <c r="H42" s="31"/>
      <c r="I42" s="31"/>
      <c r="J42" s="31"/>
    </row>
    <row r="43" spans="2:21" ht="15" customHeight="1">
      <c r="B43" s="31"/>
      <c r="C43" s="31"/>
      <c r="D43" s="31"/>
      <c r="E43" s="31"/>
      <c r="F43" s="31"/>
      <c r="G43" s="31"/>
      <c r="H43" s="31"/>
      <c r="I43" s="31"/>
      <c r="J43" s="31"/>
    </row>
    <row r="44" spans="2:21" ht="15" customHeight="1">
      <c r="B44" s="31"/>
      <c r="C44" s="31"/>
      <c r="D44" s="31"/>
      <c r="E44" s="31"/>
      <c r="F44" s="31"/>
      <c r="G44" s="31"/>
      <c r="H44" s="31"/>
      <c r="I44" s="31"/>
      <c r="J44" s="31"/>
    </row>
    <row r="45" spans="2:21" ht="15" customHeight="1">
      <c r="B45" s="31"/>
      <c r="C45" s="31"/>
      <c r="D45" s="31"/>
      <c r="E45" s="31"/>
      <c r="F45" s="31"/>
      <c r="G45" s="31"/>
      <c r="H45" s="31"/>
      <c r="I45" s="31"/>
      <c r="J45" s="31"/>
    </row>
    <row r="46" spans="2:21" ht="15" customHeight="1">
      <c r="B46" s="31"/>
      <c r="C46" s="31"/>
      <c r="D46" s="31"/>
      <c r="E46" s="31"/>
      <c r="F46" s="31"/>
      <c r="G46" s="31"/>
      <c r="H46" s="31"/>
      <c r="I46" s="31"/>
      <c r="J46" s="31"/>
    </row>
    <row r="47" spans="2:21" ht="15" customHeight="1">
      <c r="B47" s="31"/>
      <c r="C47" s="31"/>
      <c r="D47" s="31"/>
      <c r="E47" s="31"/>
      <c r="F47" s="31"/>
      <c r="G47" s="31"/>
      <c r="H47" s="31"/>
      <c r="I47" s="31"/>
      <c r="J47" s="31"/>
    </row>
    <row r="48" spans="2:21" ht="15" customHeight="1">
      <c r="B48" s="31"/>
      <c r="C48" s="31"/>
      <c r="D48" s="31"/>
      <c r="E48" s="31"/>
      <c r="F48" s="31"/>
      <c r="G48" s="31"/>
      <c r="H48" s="31"/>
      <c r="I48" s="31"/>
      <c r="J48" s="31"/>
    </row>
    <row r="49" spans="2:10" ht="15" customHeight="1">
      <c r="B49" s="31"/>
      <c r="C49" s="31"/>
      <c r="D49" s="31"/>
      <c r="E49" s="31"/>
      <c r="F49" s="31"/>
      <c r="G49" s="31"/>
      <c r="H49" s="31"/>
      <c r="I49" s="31"/>
      <c r="J49" s="31"/>
    </row>
    <row r="50" spans="2:10" ht="15" customHeight="1">
      <c r="B50" s="31"/>
      <c r="C50" s="31"/>
      <c r="D50" s="31"/>
      <c r="E50" s="31"/>
      <c r="F50" s="31"/>
      <c r="G50" s="31"/>
      <c r="H50" s="31"/>
      <c r="I50" s="31"/>
      <c r="J50" s="31"/>
    </row>
    <row r="51" spans="2:10" ht="15" customHeight="1">
      <c r="B51" s="31"/>
      <c r="C51" s="31"/>
      <c r="D51" s="31"/>
      <c r="E51" s="31"/>
      <c r="F51" s="31"/>
      <c r="G51" s="31"/>
      <c r="H51" s="31"/>
      <c r="I51" s="31"/>
      <c r="J51" s="31"/>
    </row>
    <row r="52" spans="2:10" ht="15" customHeight="1">
      <c r="B52" s="31"/>
      <c r="C52" s="31"/>
      <c r="D52" s="31"/>
      <c r="E52" s="31"/>
      <c r="F52" s="31"/>
      <c r="G52" s="31"/>
      <c r="H52" s="31"/>
      <c r="I52" s="31"/>
      <c r="J52" s="31"/>
    </row>
    <row r="53" spans="2:10" ht="15" customHeight="1">
      <c r="B53" s="31"/>
      <c r="C53" s="31"/>
      <c r="D53" s="31"/>
      <c r="E53" s="31"/>
      <c r="F53" s="31"/>
      <c r="G53" s="31"/>
      <c r="H53" s="31"/>
      <c r="I53" s="31"/>
      <c r="J53" s="31"/>
    </row>
    <row r="54" spans="2:10" ht="15" customHeight="1">
      <c r="B54" s="31"/>
      <c r="C54" s="31"/>
      <c r="D54" s="31"/>
      <c r="E54" s="31"/>
      <c r="F54" s="31"/>
      <c r="G54" s="31"/>
      <c r="H54" s="31"/>
      <c r="I54" s="31"/>
      <c r="J54" s="31"/>
    </row>
    <row r="55" spans="2:10" ht="15" customHeight="1">
      <c r="B55" s="31"/>
      <c r="C55" s="31"/>
      <c r="D55" s="31"/>
      <c r="E55" s="31"/>
      <c r="F55" s="31"/>
      <c r="G55" s="31"/>
      <c r="H55" s="31"/>
      <c r="I55" s="31"/>
      <c r="J55" s="31"/>
    </row>
    <row r="56" spans="2:10" ht="15" customHeight="1">
      <c r="B56" s="31"/>
      <c r="C56" s="31"/>
      <c r="D56" s="31"/>
      <c r="E56" s="31"/>
      <c r="F56" s="31"/>
      <c r="G56" s="31"/>
      <c r="H56" s="31"/>
      <c r="I56" s="31"/>
      <c r="J56" s="31"/>
    </row>
    <row r="57" spans="2:10" ht="15" customHeight="1">
      <c r="B57" s="31"/>
      <c r="C57" s="31"/>
      <c r="D57" s="31"/>
      <c r="E57" s="31"/>
      <c r="F57" s="31"/>
      <c r="G57" s="31"/>
      <c r="H57" s="31"/>
      <c r="I57" s="31"/>
      <c r="J57" s="31"/>
    </row>
    <row r="58" spans="2:10" ht="15" customHeight="1">
      <c r="B58" s="31"/>
      <c r="C58" s="31"/>
      <c r="D58" s="31"/>
      <c r="E58" s="31"/>
      <c r="F58" s="31"/>
      <c r="G58" s="31"/>
      <c r="H58" s="31"/>
      <c r="I58" s="31"/>
      <c r="J58" s="31"/>
    </row>
    <row r="59" spans="2:10" ht="15" customHeight="1">
      <c r="B59" s="31"/>
      <c r="C59" s="31"/>
      <c r="D59" s="31"/>
      <c r="E59" s="31"/>
      <c r="F59" s="31"/>
      <c r="G59" s="31"/>
      <c r="H59" s="31"/>
      <c r="I59" s="31"/>
      <c r="J59" s="31"/>
    </row>
    <row r="60" spans="2:10" ht="15" customHeight="1">
      <c r="B60" s="31"/>
      <c r="C60" s="31"/>
      <c r="D60" s="31"/>
      <c r="E60" s="31"/>
      <c r="F60" s="31"/>
      <c r="G60" s="31"/>
      <c r="H60" s="31"/>
      <c r="I60" s="31"/>
      <c r="J60" s="31"/>
    </row>
    <row r="61" spans="2:10" ht="15" customHeight="1">
      <c r="B61" s="31"/>
      <c r="C61" s="31"/>
      <c r="D61" s="31"/>
      <c r="E61" s="31"/>
      <c r="F61" s="31"/>
      <c r="G61" s="31"/>
      <c r="H61" s="31"/>
      <c r="I61" s="31"/>
      <c r="J61" s="31"/>
    </row>
    <row r="62" spans="2:10" ht="15" customHeight="1">
      <c r="B62" s="31"/>
      <c r="C62" s="31"/>
      <c r="D62" s="31"/>
      <c r="E62" s="31"/>
      <c r="F62" s="31"/>
      <c r="G62" s="31"/>
      <c r="H62" s="31"/>
      <c r="I62" s="31"/>
      <c r="J62" s="31"/>
    </row>
    <row r="63" spans="2:10" ht="15" customHeight="1">
      <c r="B63" s="31"/>
      <c r="C63" s="31"/>
      <c r="D63" s="31"/>
      <c r="E63" s="31"/>
      <c r="F63" s="31"/>
      <c r="G63" s="31"/>
      <c r="H63" s="31"/>
      <c r="I63" s="31"/>
      <c r="J63" s="31"/>
    </row>
    <row r="64" spans="2:10"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sheetData>
  <mergeCells count="1">
    <mergeCell ref="H1:I1"/>
  </mergeCells>
  <conditionalFormatting sqref="B1">
    <cfRule type="cellIs" dxfId="71" priority="1" operator="equal">
      <formula>"Incomplete"</formula>
    </cfRule>
    <cfRule type="cellIs" dxfId="70" priority="2" operator="equal">
      <formula>"Flag for Review"</formula>
    </cfRule>
    <cfRule type="cellIs" dxfId="6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W123"/>
  <sheetViews>
    <sheetView zoomScaleNormal="100" workbookViewId="0"/>
  </sheetViews>
  <sheetFormatPr defaultColWidth="9.140625" defaultRowHeight="15"/>
  <cols>
    <col min="1" max="1" width="9.140625" style="21"/>
    <col min="2" max="2" width="16" style="21" bestFit="1" customWidth="1"/>
    <col min="3" max="4" width="11.140625" style="21" customWidth="1"/>
    <col min="5" max="5" width="14.28515625" style="21" bestFit="1" customWidth="1"/>
    <col min="6" max="9" width="11.140625" style="21" customWidth="1"/>
    <col min="10" max="16384" width="9.140625" style="21"/>
  </cols>
  <sheetData>
    <row r="1" spans="1:21">
      <c r="A1" s="7">
        <v>8</v>
      </c>
      <c r="B1" s="27" t="s">
        <v>12</v>
      </c>
      <c r="C1" s="20"/>
      <c r="D1" s="20"/>
      <c r="E1" s="20"/>
      <c r="F1" s="20"/>
      <c r="G1" s="20"/>
      <c r="H1" s="886" t="s">
        <v>24</v>
      </c>
      <c r="I1" s="887"/>
      <c r="K1" s="1" t="s">
        <v>33</v>
      </c>
      <c r="L1" s="52" t="str">
        <f>VLOOKUP(A1,'Point Grid'!$L$8:$T$54,9,FALSE)</f>
        <v>Pricing - Chap 5: Premiums</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s="95" t="s">
        <v>67</v>
      </c>
      <c r="M3" s="103"/>
      <c r="N3" s="105">
        <v>133.4</v>
      </c>
      <c r="O3"/>
      <c r="P3"/>
      <c r="Q3"/>
      <c r="R3"/>
      <c r="S3"/>
      <c r="T3"/>
      <c r="U3"/>
    </row>
    <row r="4" spans="1:21">
      <c r="A4" s="9">
        <f>INDEX('Point Grid'!B:B,MATCH(A1,'Point Grid'!A:A,0))</f>
        <v>2.5</v>
      </c>
      <c r="B4" s="17"/>
      <c r="C4" s="17"/>
      <c r="D4" s="17"/>
      <c r="E4" s="17"/>
      <c r="F4" s="17"/>
      <c r="G4" s="17"/>
      <c r="H4" s="17"/>
      <c r="I4" s="18"/>
      <c r="J4" s="31"/>
      <c r="K4" s="48"/>
      <c r="L4" s="97" t="s">
        <v>68</v>
      </c>
      <c r="M4" s="696"/>
      <c r="N4" s="754">
        <v>262.10000000000002</v>
      </c>
      <c r="O4"/>
      <c r="P4"/>
      <c r="Q4"/>
      <c r="R4"/>
      <c r="S4"/>
      <c r="T4"/>
      <c r="U4"/>
    </row>
    <row r="5" spans="1:21">
      <c r="A5" s="16"/>
      <c r="B5" s="17"/>
      <c r="C5" s="17"/>
      <c r="D5" s="17"/>
      <c r="E5" s="17"/>
      <c r="F5" s="17"/>
      <c r="G5" s="17"/>
      <c r="H5" s="17"/>
      <c r="I5" s="18"/>
      <c r="J5" s="31"/>
      <c r="K5" s="48"/>
      <c r="L5" s="101" t="s">
        <v>724</v>
      </c>
      <c r="M5" s="104"/>
      <c r="N5" s="106">
        <v>304.3</v>
      </c>
      <c r="O5"/>
      <c r="P5"/>
      <c r="Q5"/>
      <c r="R5"/>
      <c r="S5"/>
      <c r="T5"/>
      <c r="U5"/>
    </row>
    <row r="6" spans="1:21">
      <c r="A6" s="25" t="s">
        <v>2</v>
      </c>
      <c r="B6" s="17" t="s">
        <v>718</v>
      </c>
      <c r="C6" s="17"/>
      <c r="D6" s="17"/>
      <c r="E6" s="17"/>
      <c r="F6" s="17"/>
      <c r="G6" s="17"/>
      <c r="H6" s="17"/>
      <c r="I6" s="18"/>
      <c r="J6" s="31"/>
    </row>
    <row r="7" spans="1:21" ht="15.75" thickBot="1">
      <c r="A7" s="9">
        <f>INDEX('Point Grid'!$C$8:$I$54,MATCH($A$1,'Point Grid'!$A$8:$A$54,0),MATCH(A6,'Point Grid'!$C$7:$I$7,0))</f>
        <v>2</v>
      </c>
      <c r="B7" s="17"/>
      <c r="C7" s="17"/>
      <c r="D7" s="17"/>
      <c r="E7" s="17"/>
      <c r="F7" s="17"/>
      <c r="G7" s="17"/>
      <c r="H7" s="17"/>
      <c r="I7" s="18"/>
      <c r="J7" s="31"/>
      <c r="K7" s="48"/>
      <c r="L7"/>
      <c r="M7"/>
      <c r="N7"/>
      <c r="O7"/>
      <c r="P7"/>
      <c r="Q7"/>
      <c r="R7"/>
      <c r="S7"/>
      <c r="T7"/>
      <c r="U7"/>
    </row>
    <row r="8" spans="1:21" ht="15.75" thickBot="1">
      <c r="A8" s="5"/>
      <c r="B8" s="17"/>
      <c r="C8" s="77" t="s">
        <v>64</v>
      </c>
      <c r="D8" s="84"/>
      <c r="E8" s="78">
        <v>120</v>
      </c>
      <c r="F8" s="28"/>
      <c r="G8" s="28"/>
      <c r="H8" s="28"/>
      <c r="I8" s="18"/>
      <c r="J8" s="31"/>
      <c r="K8" s="48"/>
      <c r="L8" s="87" t="s">
        <v>69</v>
      </c>
      <c r="M8"/>
      <c r="N8"/>
      <c r="O8"/>
      <c r="P8"/>
      <c r="Q8"/>
      <c r="R8"/>
      <c r="S8"/>
      <c r="T8"/>
      <c r="U8"/>
    </row>
    <row r="9" spans="1:21">
      <c r="A9" s="25"/>
      <c r="B9" s="17"/>
      <c r="C9" s="79" t="s">
        <v>65</v>
      </c>
      <c r="D9" s="86"/>
      <c r="E9" s="752">
        <v>240</v>
      </c>
      <c r="F9" s="17"/>
      <c r="G9" s="17"/>
      <c r="H9" s="17"/>
      <c r="I9" s="18"/>
      <c r="J9" s="31"/>
      <c r="K9"/>
      <c r="L9" s="88"/>
      <c r="M9"/>
      <c r="N9"/>
      <c r="O9"/>
      <c r="P9"/>
      <c r="Q9"/>
      <c r="R9"/>
      <c r="S9"/>
      <c r="T9"/>
      <c r="U9"/>
    </row>
    <row r="10" spans="1:21">
      <c r="A10" s="25"/>
      <c r="B10" s="17"/>
      <c r="C10" s="81" t="s">
        <v>719</v>
      </c>
      <c r="D10" s="85"/>
      <c r="E10" s="83">
        <v>300</v>
      </c>
      <c r="F10" s="28"/>
      <c r="G10" s="28"/>
      <c r="H10" s="28"/>
      <c r="I10" s="18"/>
      <c r="J10" s="31"/>
      <c r="K10" s="48"/>
      <c r="L10"/>
      <c r="M10"/>
      <c r="N10"/>
      <c r="O10" s="74"/>
      <c r="P10"/>
      <c r="Q10"/>
      <c r="R10"/>
      <c r="S10"/>
    </row>
    <row r="11" spans="1:21">
      <c r="A11" s="25"/>
      <c r="B11" s="17"/>
      <c r="C11" s="28"/>
      <c r="D11" s="28"/>
      <c r="E11" s="28"/>
      <c r="F11" s="28"/>
      <c r="G11" s="28"/>
      <c r="H11" s="28"/>
      <c r="I11" s="18"/>
      <c r="J11" s="31"/>
      <c r="K11" s="48"/>
      <c r="L11"/>
      <c r="M11"/>
      <c r="N11"/>
      <c r="O11" s="75"/>
      <c r="P11"/>
      <c r="Q11"/>
      <c r="R11"/>
      <c r="S11"/>
    </row>
    <row r="12" spans="1:21">
      <c r="A12" s="25"/>
      <c r="B12" s="17"/>
      <c r="C12" s="328" t="s">
        <v>720</v>
      </c>
      <c r="D12" s="739"/>
      <c r="E12" s="753">
        <v>0.02</v>
      </c>
      <c r="F12" s="28"/>
      <c r="G12" s="28"/>
      <c r="H12" s="28"/>
      <c r="I12" s="18"/>
      <c r="J12" s="31"/>
      <c r="K12" s="48"/>
      <c r="L12"/>
      <c r="M12"/>
      <c r="N12"/>
      <c r="O12"/>
      <c r="P12"/>
      <c r="Q12"/>
      <c r="R12"/>
      <c r="S12"/>
    </row>
    <row r="13" spans="1:21">
      <c r="A13" s="25"/>
      <c r="B13" s="17"/>
      <c r="C13" s="81" t="s">
        <v>721</v>
      </c>
      <c r="D13" s="85"/>
      <c r="E13" s="82">
        <v>44197</v>
      </c>
      <c r="F13" s="28"/>
      <c r="G13" s="28"/>
      <c r="H13" s="28"/>
      <c r="I13" s="18"/>
      <c r="J13" s="31"/>
      <c r="K13" s="48"/>
      <c r="L13"/>
      <c r="M13"/>
      <c r="N13"/>
      <c r="O13"/>
      <c r="P13"/>
      <c r="Q13"/>
      <c r="R13"/>
      <c r="S13"/>
    </row>
    <row r="14" spans="1:21">
      <c r="A14" s="25"/>
      <c r="B14" s="17"/>
      <c r="C14" s="79" t="s">
        <v>722</v>
      </c>
      <c r="D14" s="86"/>
      <c r="E14" s="80">
        <v>0.09</v>
      </c>
      <c r="F14" s="17"/>
      <c r="G14" s="17"/>
      <c r="H14" s="17"/>
      <c r="I14" s="18"/>
      <c r="J14" s="31"/>
      <c r="K14" s="48"/>
      <c r="L14"/>
      <c r="M14"/>
      <c r="N14"/>
      <c r="O14"/>
      <c r="P14"/>
      <c r="Q14"/>
      <c r="R14"/>
      <c r="S14"/>
    </row>
    <row r="15" spans="1:21">
      <c r="A15" s="25"/>
      <c r="B15" s="17"/>
      <c r="C15" s="81" t="s">
        <v>723</v>
      </c>
      <c r="D15" s="85"/>
      <c r="E15" s="82">
        <v>44409</v>
      </c>
      <c r="F15" s="17"/>
      <c r="G15" s="17"/>
      <c r="H15" s="17"/>
      <c r="I15" s="18"/>
      <c r="J15" s="31"/>
      <c r="K15" s="48"/>
      <c r="L15"/>
      <c r="M15"/>
      <c r="N15"/>
      <c r="O15"/>
      <c r="P15"/>
      <c r="Q15"/>
      <c r="R15"/>
      <c r="S15"/>
    </row>
    <row r="16" spans="1:21" ht="15" customHeight="1">
      <c r="A16" s="25"/>
      <c r="B16" s="17"/>
      <c r="C16" s="17"/>
      <c r="D16" s="17"/>
      <c r="E16" s="17"/>
      <c r="F16" s="17"/>
      <c r="G16" s="17"/>
      <c r="H16" s="17"/>
      <c r="I16" s="18"/>
      <c r="J16" s="31"/>
    </row>
    <row r="17" spans="1:23">
      <c r="A17" s="25" t="s">
        <v>3</v>
      </c>
      <c r="B17" s="17" t="s">
        <v>85</v>
      </c>
      <c r="C17" s="17"/>
      <c r="D17" s="17"/>
      <c r="E17" s="17"/>
      <c r="F17" s="17"/>
      <c r="G17" s="17"/>
      <c r="H17" s="17"/>
      <c r="I17" s="18"/>
      <c r="J17" s="31"/>
    </row>
    <row r="18" spans="1:23" ht="15.75" thickBot="1">
      <c r="A18" s="9">
        <f>INDEX('Point Grid'!$C$8:$I$54,MATCH($A$1,'Point Grid'!$A$8:$A$54,0),MATCH(A17,'Point Grid'!$C$7:$I$7,0))</f>
        <v>0.5</v>
      </c>
      <c r="B18" s="17" t="s">
        <v>86</v>
      </c>
      <c r="C18" s="17"/>
      <c r="D18" s="17"/>
      <c r="E18" s="17"/>
      <c r="F18" s="17"/>
      <c r="G18" s="17"/>
      <c r="H18" s="17"/>
      <c r="I18" s="18"/>
      <c r="J18" s="31"/>
      <c r="K18" s="48"/>
      <c r="L18" t="s">
        <v>725</v>
      </c>
      <c r="M18"/>
      <c r="N18"/>
      <c r="O18"/>
      <c r="P18"/>
      <c r="Q18"/>
      <c r="R18"/>
      <c r="S18"/>
    </row>
    <row r="19" spans="1:23" ht="15" customHeight="1" thickBot="1">
      <c r="A19" s="5"/>
      <c r="B19" s="17"/>
      <c r="C19" s="28"/>
      <c r="D19" s="28"/>
      <c r="E19" s="28"/>
      <c r="F19" s="28"/>
      <c r="G19" s="28"/>
      <c r="H19" s="28"/>
      <c r="I19" s="18"/>
      <c r="J19" s="31"/>
      <c r="K19" s="48"/>
      <c r="L19" s="93" t="s">
        <v>84</v>
      </c>
      <c r="M19"/>
      <c r="N19"/>
      <c r="O19"/>
      <c r="P19"/>
      <c r="Q19"/>
      <c r="R19"/>
      <c r="S19"/>
    </row>
    <row r="20" spans="1:23" ht="15" customHeight="1">
      <c r="A20" s="25"/>
      <c r="B20" s="17"/>
      <c r="C20" s="28"/>
      <c r="D20" s="28"/>
      <c r="E20" s="28"/>
      <c r="F20" s="28"/>
      <c r="G20" s="28"/>
      <c r="H20" s="28"/>
      <c r="I20" s="18"/>
      <c r="J20" s="31"/>
      <c r="K20" s="48"/>
      <c r="L20"/>
      <c r="M20"/>
      <c r="N20"/>
      <c r="O20"/>
      <c r="P20"/>
      <c r="Q20"/>
      <c r="R20"/>
      <c r="S20"/>
    </row>
    <row r="21" spans="1:23">
      <c r="A21" s="22"/>
      <c r="B21" s="17"/>
      <c r="C21" s="17"/>
      <c r="D21" s="17"/>
      <c r="E21" s="17"/>
      <c r="F21" s="17"/>
      <c r="G21" s="17"/>
      <c r="H21" s="17"/>
      <c r="I21" s="18"/>
      <c r="J21" s="31"/>
      <c r="K21"/>
      <c r="L21" s="37" t="s">
        <v>70</v>
      </c>
      <c r="M21" s="92" t="s">
        <v>75</v>
      </c>
      <c r="N21"/>
      <c r="O21"/>
      <c r="P21"/>
      <c r="Q21"/>
      <c r="R21"/>
      <c r="S21"/>
      <c r="T21"/>
      <c r="U21"/>
    </row>
    <row r="22" spans="1:23" ht="18.75" thickBot="1">
      <c r="A22" s="24"/>
      <c r="B22" s="32"/>
      <c r="C22" s="32"/>
      <c r="D22" s="32"/>
      <c r="E22" s="32"/>
      <c r="F22" s="32"/>
      <c r="G22" s="32"/>
      <c r="H22" s="32"/>
      <c r="I22" s="33"/>
      <c r="J22" s="31"/>
      <c r="K22"/>
      <c r="L22" s="93" t="s">
        <v>78</v>
      </c>
      <c r="M22" s="92" t="s">
        <v>76</v>
      </c>
      <c r="N22"/>
      <c r="O22"/>
      <c r="P22"/>
      <c r="Q22"/>
      <c r="R22"/>
      <c r="S22"/>
      <c r="T22"/>
      <c r="U22"/>
    </row>
    <row r="23" spans="1:23" ht="18">
      <c r="B23" s="31"/>
      <c r="C23" s="31"/>
      <c r="D23" s="31"/>
      <c r="E23" s="31"/>
      <c r="F23" s="31"/>
      <c r="G23" s="31"/>
      <c r="H23" s="31"/>
      <c r="I23" s="31"/>
      <c r="J23" s="31"/>
      <c r="K23"/>
      <c r="L23" s="93" t="s">
        <v>79</v>
      </c>
      <c r="M23" s="94" t="s">
        <v>77</v>
      </c>
      <c r="N23"/>
      <c r="O23"/>
      <c r="P23"/>
      <c r="Q23"/>
      <c r="R23"/>
      <c r="S23"/>
      <c r="T23"/>
      <c r="U23"/>
    </row>
    <row r="24" spans="1:23">
      <c r="J24" s="31"/>
      <c r="K24" s="48"/>
      <c r="L24"/>
      <c r="M24" s="91"/>
      <c r="N24"/>
      <c r="O24"/>
      <c r="P24"/>
      <c r="Q24"/>
      <c r="R24"/>
      <c r="S24"/>
      <c r="T24"/>
      <c r="U24"/>
    </row>
    <row r="25" spans="1:23">
      <c r="J25" s="31"/>
      <c r="K25"/>
      <c r="L25" s="95" t="s">
        <v>71</v>
      </c>
      <c r="M25" s="96">
        <v>1</v>
      </c>
      <c r="N25"/>
      <c r="O25" s="759" t="s">
        <v>70</v>
      </c>
      <c r="P25" s="478">
        <v>1.1117999999999999</v>
      </c>
      <c r="T25"/>
      <c r="U25"/>
      <c r="W25" s="756"/>
    </row>
    <row r="26" spans="1:23" ht="15" customHeight="1">
      <c r="J26" s="31"/>
      <c r="K26"/>
      <c r="L26" s="97" t="s">
        <v>72</v>
      </c>
      <c r="M26" s="98">
        <v>0</v>
      </c>
      <c r="N26"/>
      <c r="O26" s="99" t="s">
        <v>80</v>
      </c>
      <c r="P26" s="757">
        <v>1</v>
      </c>
      <c r="T26"/>
      <c r="U26"/>
      <c r="W26" s="756"/>
    </row>
    <row r="27" spans="1:23" ht="15" customHeight="1">
      <c r="J27" s="31"/>
      <c r="K27" s="48"/>
      <c r="L27" s="101" t="s">
        <v>73</v>
      </c>
      <c r="M27" s="102">
        <v>0</v>
      </c>
      <c r="N27"/>
      <c r="O27" s="99" t="s">
        <v>81</v>
      </c>
      <c r="P27" s="757">
        <v>1.018</v>
      </c>
      <c r="T27"/>
      <c r="U27"/>
      <c r="W27" s="756"/>
    </row>
    <row r="28" spans="1:23" ht="15" customHeight="1">
      <c r="J28" s="31"/>
      <c r="K28"/>
      <c r="L28" s="97" t="s">
        <v>74</v>
      </c>
      <c r="M28" s="98">
        <v>0.5</v>
      </c>
      <c r="N28"/>
      <c r="O28" s="100" t="s">
        <v>731</v>
      </c>
      <c r="P28" s="758">
        <v>1.0962000000000001</v>
      </c>
      <c r="T28"/>
      <c r="U28"/>
      <c r="W28" s="756"/>
    </row>
    <row r="29" spans="1:23" ht="15" customHeight="1">
      <c r="J29" s="31"/>
      <c r="K29"/>
      <c r="L29" s="97" t="s">
        <v>726</v>
      </c>
      <c r="M29" s="98">
        <v>0.41320000000000001</v>
      </c>
      <c r="N29"/>
      <c r="O29" s="99" t="s">
        <v>82</v>
      </c>
      <c r="P29" s="757">
        <v>1.1117999999999999</v>
      </c>
      <c r="T29"/>
      <c r="U29"/>
      <c r="W29" s="756"/>
    </row>
    <row r="30" spans="1:23" ht="15" customHeight="1">
      <c r="J30" s="31"/>
      <c r="K30"/>
      <c r="L30" s="101" t="s">
        <v>727</v>
      </c>
      <c r="M30" s="102">
        <v>8.6800000000000002E-2</v>
      </c>
      <c r="N30"/>
      <c r="O30" s="99" t="s">
        <v>83</v>
      </c>
      <c r="P30" s="757">
        <v>1.0922000000000001</v>
      </c>
      <c r="T30"/>
      <c r="U30"/>
      <c r="W30" s="756"/>
    </row>
    <row r="31" spans="1:23" ht="15" customHeight="1">
      <c r="J31" s="31"/>
      <c r="K31"/>
      <c r="L31" s="97" t="s">
        <v>728</v>
      </c>
      <c r="M31" s="98">
        <v>0</v>
      </c>
      <c r="N31"/>
      <c r="O31" s="100" t="s">
        <v>732</v>
      </c>
      <c r="P31" s="758">
        <v>1.0142</v>
      </c>
      <c r="T31"/>
      <c r="U31"/>
      <c r="W31" s="756"/>
    </row>
    <row r="32" spans="1:23" ht="15" customHeight="1">
      <c r="J32" s="31"/>
      <c r="K32"/>
      <c r="L32" s="97" t="s">
        <v>729</v>
      </c>
      <c r="M32" s="98">
        <v>0.1701</v>
      </c>
      <c r="N32"/>
      <c r="O32" s="755"/>
      <c r="P32"/>
      <c r="T32"/>
      <c r="U32"/>
      <c r="W32" s="756"/>
    </row>
    <row r="33" spans="10:23" ht="15" customHeight="1">
      <c r="J33" s="31"/>
      <c r="K33"/>
      <c r="L33" s="101" t="s">
        <v>730</v>
      </c>
      <c r="M33" s="102">
        <v>0.82989999999999997</v>
      </c>
      <c r="N33"/>
      <c r="O33"/>
      <c r="P33"/>
      <c r="T33"/>
      <c r="U33"/>
      <c r="W33" s="756"/>
    </row>
    <row r="34" spans="10:23" ht="15" customHeight="1">
      <c r="J34" s="31"/>
      <c r="K34"/>
      <c r="L34"/>
      <c r="M34" s="91"/>
      <c r="N34"/>
      <c r="O34"/>
      <c r="P34"/>
      <c r="Q34"/>
      <c r="R34"/>
      <c r="S34"/>
      <c r="T34"/>
      <c r="U34"/>
    </row>
    <row r="35" spans="10:23" ht="15" customHeight="1">
      <c r="J35" s="31"/>
      <c r="K35"/>
      <c r="L35"/>
      <c r="M35" s="91"/>
      <c r="N35"/>
      <c r="O35"/>
      <c r="P35"/>
      <c r="Q35"/>
      <c r="R35"/>
      <c r="S35"/>
      <c r="T35"/>
      <c r="U35"/>
    </row>
    <row r="36" spans="10:23" ht="15" customHeight="1">
      <c r="J36" s="31"/>
      <c r="K36" s="48" t="s">
        <v>3</v>
      </c>
      <c r="L36" s="107" t="s">
        <v>87</v>
      </c>
      <c r="M36" s="91"/>
      <c r="N36"/>
      <c r="O36"/>
      <c r="P36"/>
      <c r="Q36"/>
      <c r="R36"/>
      <c r="S36"/>
      <c r="T36"/>
      <c r="U36"/>
    </row>
    <row r="37" spans="10:23" ht="15" customHeight="1">
      <c r="J37" s="31"/>
      <c r="K37"/>
      <c r="L37" s="107" t="s">
        <v>88</v>
      </c>
      <c r="M37" s="91"/>
      <c r="N37"/>
      <c r="O37"/>
      <c r="P37"/>
      <c r="Q37"/>
      <c r="R37"/>
      <c r="S37"/>
      <c r="T37"/>
      <c r="U37"/>
    </row>
    <row r="38" spans="10:23" ht="15" customHeight="1">
      <c r="J38" s="31"/>
      <c r="K38"/>
      <c r="L38"/>
      <c r="M38" s="91"/>
      <c r="N38"/>
      <c r="O38"/>
      <c r="P38"/>
      <c r="Q38"/>
      <c r="R38"/>
      <c r="S38"/>
      <c r="T38"/>
      <c r="U38"/>
    </row>
    <row r="39" spans="10:23" ht="15" customHeight="1">
      <c r="J39" s="31"/>
      <c r="K39"/>
      <c r="L39"/>
      <c r="M39" s="91"/>
      <c r="N39"/>
      <c r="O39"/>
      <c r="P39"/>
      <c r="Q39"/>
      <c r="R39"/>
      <c r="S39"/>
      <c r="T39"/>
      <c r="U39"/>
    </row>
    <row r="40" spans="10:23" ht="15" customHeight="1">
      <c r="J40" s="31"/>
      <c r="K40"/>
      <c r="L40"/>
      <c r="M40" s="91"/>
      <c r="N40"/>
      <c r="O40"/>
      <c r="P40"/>
      <c r="Q40"/>
      <c r="R40"/>
      <c r="S40"/>
      <c r="T40"/>
      <c r="U40"/>
    </row>
    <row r="41" spans="10:23" ht="15" customHeight="1">
      <c r="J41" s="31"/>
      <c r="K41"/>
      <c r="L41"/>
      <c r="M41" s="91"/>
      <c r="N41"/>
      <c r="O41"/>
      <c r="P41"/>
      <c r="Q41"/>
      <c r="R41"/>
      <c r="S41"/>
      <c r="T41"/>
      <c r="U41"/>
    </row>
    <row r="42" spans="10:23" ht="15" customHeight="1">
      <c r="J42" s="31"/>
      <c r="K42"/>
      <c r="L42"/>
      <c r="M42" s="91"/>
      <c r="N42"/>
      <c r="O42"/>
      <c r="P42"/>
      <c r="Q42"/>
      <c r="R42"/>
      <c r="S42"/>
      <c r="T42"/>
      <c r="U42"/>
    </row>
    <row r="43" spans="10:23" ht="15" customHeight="1">
      <c r="J43" s="31"/>
      <c r="K43"/>
      <c r="L43"/>
      <c r="M43" s="91"/>
      <c r="N43"/>
      <c r="O43"/>
      <c r="P43"/>
      <c r="Q43"/>
      <c r="R43"/>
      <c r="S43"/>
      <c r="T43"/>
      <c r="U43"/>
    </row>
    <row r="44" spans="10:23" ht="15" customHeight="1">
      <c r="J44" s="31"/>
      <c r="K44"/>
      <c r="L44"/>
      <c r="M44" s="91"/>
      <c r="N44"/>
      <c r="O44"/>
      <c r="P44"/>
      <c r="Q44"/>
      <c r="R44"/>
      <c r="S44"/>
      <c r="T44"/>
      <c r="U44"/>
    </row>
    <row r="45" spans="10:23" ht="15" customHeight="1">
      <c r="J45" s="31"/>
      <c r="K45"/>
      <c r="L45"/>
      <c r="M45" s="91"/>
      <c r="N45"/>
      <c r="O45"/>
      <c r="P45"/>
      <c r="Q45"/>
      <c r="R45"/>
      <c r="S45"/>
      <c r="T45"/>
      <c r="U45"/>
    </row>
    <row r="46" spans="10:23" ht="15" customHeight="1">
      <c r="J46" s="31"/>
      <c r="K46"/>
      <c r="L46"/>
      <c r="M46" s="91"/>
      <c r="N46"/>
      <c r="O46"/>
      <c r="P46"/>
      <c r="Q46"/>
      <c r="R46"/>
      <c r="S46"/>
      <c r="T46"/>
      <c r="U46"/>
    </row>
    <row r="47" spans="10:23" ht="15" customHeight="1">
      <c r="J47" s="31"/>
      <c r="K47"/>
      <c r="L47"/>
      <c r="M47" s="91"/>
      <c r="N47"/>
      <c r="O47"/>
      <c r="P47"/>
      <c r="Q47"/>
      <c r="R47"/>
      <c r="S47"/>
      <c r="T47"/>
      <c r="U47"/>
    </row>
    <row r="48" spans="10:23" ht="15" customHeight="1">
      <c r="J48" s="31"/>
      <c r="K48"/>
      <c r="L48"/>
      <c r="M48" s="91"/>
      <c r="N48"/>
      <c r="O48"/>
      <c r="P48"/>
      <c r="Q48"/>
      <c r="R48"/>
      <c r="S48"/>
      <c r="T48"/>
      <c r="U48"/>
    </row>
    <row r="49" spans="10:21" ht="15" customHeight="1">
      <c r="J49" s="31"/>
      <c r="K49" s="48"/>
      <c r="L49" s="107"/>
      <c r="M49"/>
      <c r="N49"/>
      <c r="O49"/>
      <c r="P49"/>
      <c r="Q49"/>
      <c r="R49"/>
      <c r="S49"/>
      <c r="T49"/>
      <c r="U49"/>
    </row>
    <row r="50" spans="10:21" ht="15" customHeight="1">
      <c r="J50" s="31"/>
      <c r="K50"/>
      <c r="L50" s="107"/>
      <c r="M50"/>
      <c r="N50"/>
      <c r="O50"/>
      <c r="P50"/>
      <c r="Q50"/>
      <c r="R50"/>
      <c r="S50"/>
      <c r="T50"/>
      <c r="U50"/>
    </row>
    <row r="51" spans="10:21" ht="15" customHeight="1">
      <c r="J51" s="31"/>
      <c r="K51"/>
      <c r="L51"/>
      <c r="M51"/>
      <c r="N51"/>
      <c r="O51"/>
      <c r="P51"/>
      <c r="Q51"/>
      <c r="R51"/>
      <c r="S51"/>
      <c r="T51"/>
      <c r="U51"/>
    </row>
    <row r="52" spans="10:21" ht="15" customHeight="1">
      <c r="J52" s="31"/>
      <c r="K52"/>
      <c r="L52"/>
      <c r="M52"/>
      <c r="N52"/>
      <c r="O52"/>
      <c r="P52"/>
      <c r="Q52"/>
      <c r="R52"/>
      <c r="S52"/>
      <c r="T52"/>
      <c r="U52"/>
    </row>
    <row r="53" spans="10:21" ht="15" customHeight="1">
      <c r="J53" s="31"/>
      <c r="K53"/>
      <c r="L53"/>
      <c r="M53"/>
      <c r="N53"/>
      <c r="O53"/>
      <c r="P53"/>
      <c r="Q53"/>
      <c r="R53"/>
      <c r="S53"/>
      <c r="T53"/>
      <c r="U53"/>
    </row>
    <row r="54" spans="10:21" ht="15" customHeight="1">
      <c r="J54" s="31"/>
      <c r="K54"/>
      <c r="L54"/>
      <c r="M54"/>
      <c r="N54"/>
      <c r="O54"/>
      <c r="P54"/>
      <c r="Q54"/>
      <c r="R54"/>
      <c r="S54"/>
      <c r="T54"/>
      <c r="U54"/>
    </row>
    <row r="55" spans="10:21" ht="15" customHeight="1">
      <c r="J55" s="31"/>
      <c r="K55" s="48"/>
      <c r="L55" s="1"/>
      <c r="M55"/>
      <c r="N55"/>
      <c r="O55"/>
      <c r="P55"/>
      <c r="Q55"/>
      <c r="R55"/>
      <c r="S55"/>
      <c r="T55"/>
      <c r="U55"/>
    </row>
    <row r="56" spans="10:21" ht="15" customHeight="1">
      <c r="J56" s="31"/>
      <c r="K56"/>
      <c r="L56"/>
      <c r="M56"/>
      <c r="N56"/>
      <c r="O56"/>
      <c r="P56"/>
      <c r="Q56"/>
      <c r="R56"/>
      <c r="S56"/>
      <c r="T56"/>
      <c r="U56"/>
    </row>
    <row r="57" spans="10:21" ht="15" customHeight="1">
      <c r="J57" s="31"/>
      <c r="K57" s="48"/>
      <c r="L57"/>
      <c r="M57"/>
      <c r="N57"/>
      <c r="O57"/>
      <c r="P57"/>
      <c r="Q57"/>
      <c r="R57"/>
      <c r="S57"/>
      <c r="T57"/>
      <c r="U57"/>
    </row>
    <row r="58" spans="10:21" ht="15" customHeight="1">
      <c r="J58" s="31"/>
      <c r="K58"/>
      <c r="L58"/>
      <c r="M58"/>
      <c r="N58"/>
      <c r="O58"/>
      <c r="P58"/>
      <c r="Q58"/>
      <c r="R58"/>
      <c r="S58"/>
      <c r="T58"/>
      <c r="U58"/>
    </row>
    <row r="59" spans="10:21" ht="15" customHeight="1">
      <c r="J59" s="31"/>
      <c r="K59"/>
      <c r="L59"/>
      <c r="M59"/>
      <c r="N59"/>
      <c r="O59"/>
      <c r="P59"/>
      <c r="Q59"/>
      <c r="R59"/>
      <c r="S59"/>
      <c r="T59"/>
      <c r="U59"/>
    </row>
    <row r="60" spans="10:21" ht="15" customHeight="1">
      <c r="J60" s="31"/>
      <c r="K60"/>
      <c r="L60"/>
      <c r="M60"/>
      <c r="N60"/>
      <c r="O60"/>
      <c r="P60"/>
      <c r="Q60"/>
      <c r="R60"/>
      <c r="S60"/>
      <c r="T60"/>
      <c r="U60"/>
    </row>
    <row r="61" spans="10:21" ht="15" customHeight="1">
      <c r="J61" s="31"/>
      <c r="K61"/>
      <c r="L61"/>
      <c r="M61"/>
      <c r="N61"/>
      <c r="O61"/>
      <c r="P61"/>
      <c r="Q61"/>
      <c r="R61"/>
      <c r="S61"/>
      <c r="T61"/>
      <c r="U61"/>
    </row>
    <row r="62" spans="10:21" ht="15" customHeight="1">
      <c r="J62" s="31"/>
      <c r="K62"/>
      <c r="L62"/>
      <c r="M62"/>
      <c r="N62"/>
      <c r="O62"/>
      <c r="P62"/>
      <c r="Q62"/>
      <c r="R62"/>
      <c r="S62"/>
      <c r="T62"/>
      <c r="U62"/>
    </row>
    <row r="63" spans="10:21" ht="15" customHeight="1">
      <c r="J63" s="31"/>
      <c r="K63"/>
      <c r="L63"/>
      <c r="M63"/>
      <c r="N63"/>
      <c r="O63"/>
      <c r="P63"/>
      <c r="Q63"/>
      <c r="R63"/>
      <c r="S63"/>
      <c r="T63"/>
      <c r="U63"/>
    </row>
    <row r="64" spans="10:21" ht="15" customHeight="1">
      <c r="J64" s="31"/>
      <c r="K64"/>
      <c r="L64"/>
      <c r="M64"/>
      <c r="N64"/>
      <c r="O64"/>
      <c r="P64"/>
      <c r="Q64"/>
      <c r="R64"/>
      <c r="S64"/>
      <c r="T64"/>
      <c r="U64"/>
    </row>
    <row r="65" spans="2:21" ht="15" customHeight="1">
      <c r="J65" s="31"/>
      <c r="K65"/>
      <c r="L65"/>
      <c r="M65"/>
      <c r="N65"/>
      <c r="O65"/>
      <c r="P65"/>
      <c r="Q65"/>
      <c r="R65"/>
      <c r="S65"/>
      <c r="T65"/>
      <c r="U65"/>
    </row>
    <row r="66" spans="2:21" ht="15" customHeight="1">
      <c r="J66" s="31"/>
      <c r="K66"/>
      <c r="L66"/>
      <c r="M66"/>
      <c r="N66"/>
      <c r="O66"/>
      <c r="P66"/>
      <c r="Q66"/>
      <c r="R66"/>
      <c r="S66"/>
      <c r="T66"/>
      <c r="U66"/>
    </row>
    <row r="67" spans="2:21" ht="15" customHeight="1">
      <c r="J67" s="31"/>
      <c r="K67"/>
      <c r="L67"/>
      <c r="M67"/>
      <c r="N67"/>
      <c r="O67"/>
      <c r="P67"/>
      <c r="Q67"/>
      <c r="R67"/>
      <c r="S67"/>
      <c r="T67"/>
      <c r="U67"/>
    </row>
    <row r="68" spans="2:21" ht="15" customHeight="1">
      <c r="B68" s="31"/>
      <c r="C68" s="31"/>
      <c r="D68" s="31"/>
      <c r="E68" s="31"/>
      <c r="F68" s="31"/>
      <c r="G68" s="31"/>
      <c r="H68" s="31"/>
      <c r="I68" s="31"/>
      <c r="J68" s="31"/>
      <c r="K68"/>
      <c r="L68"/>
      <c r="M68"/>
      <c r="N68"/>
      <c r="O68"/>
      <c r="P68"/>
      <c r="Q68"/>
      <c r="R68"/>
      <c r="S68"/>
      <c r="T68"/>
      <c r="U68"/>
    </row>
    <row r="69" spans="2:21" ht="15" customHeight="1">
      <c r="B69" s="31"/>
      <c r="C69" s="31"/>
      <c r="D69" s="31"/>
      <c r="E69" s="31"/>
      <c r="F69" s="31"/>
      <c r="G69" s="31"/>
      <c r="H69" s="31"/>
      <c r="I69" s="31"/>
      <c r="J69" s="31"/>
      <c r="K69"/>
      <c r="L69"/>
      <c r="M69"/>
      <c r="N69"/>
      <c r="O69"/>
      <c r="P69"/>
      <c r="Q69"/>
      <c r="R69"/>
      <c r="S69"/>
      <c r="T69"/>
      <c r="U69"/>
    </row>
    <row r="70" spans="2:21" ht="15" customHeight="1">
      <c r="B70" s="31"/>
      <c r="C70" s="31"/>
      <c r="D70" s="31"/>
      <c r="E70" s="31"/>
      <c r="F70" s="31"/>
      <c r="G70" s="31"/>
      <c r="H70" s="31"/>
      <c r="I70" s="31"/>
      <c r="J70" s="31"/>
      <c r="K70"/>
      <c r="L70"/>
      <c r="M70"/>
      <c r="N70"/>
      <c r="O70"/>
      <c r="P70"/>
      <c r="Q70"/>
      <c r="R70"/>
      <c r="S70"/>
      <c r="T70"/>
      <c r="U70"/>
    </row>
    <row r="71" spans="2:21" ht="15" customHeight="1">
      <c r="B71" s="31"/>
      <c r="C71" s="31"/>
      <c r="D71" s="31"/>
      <c r="E71" s="31"/>
      <c r="F71" s="31"/>
      <c r="G71" s="31"/>
      <c r="H71" s="31"/>
      <c r="I71" s="31"/>
      <c r="J71" s="31"/>
      <c r="K71"/>
      <c r="L71"/>
      <c r="M71"/>
      <c r="N71"/>
      <c r="O71"/>
      <c r="P71"/>
      <c r="Q71"/>
      <c r="R71"/>
      <c r="S71"/>
      <c r="T71"/>
      <c r="U71"/>
    </row>
    <row r="72" spans="2:21" ht="15" customHeight="1">
      <c r="B72" s="31"/>
      <c r="C72" s="31"/>
      <c r="D72" s="31"/>
      <c r="E72" s="31"/>
      <c r="F72" s="31"/>
      <c r="G72" s="31"/>
      <c r="H72" s="31"/>
      <c r="I72" s="31"/>
      <c r="J72" s="31"/>
      <c r="K72"/>
      <c r="L72"/>
      <c r="M72"/>
      <c r="N72"/>
      <c r="O72"/>
      <c r="P72"/>
      <c r="Q72"/>
      <c r="R72"/>
      <c r="S72"/>
      <c r="T72"/>
      <c r="U72"/>
    </row>
    <row r="73" spans="2:21" ht="15" customHeight="1">
      <c r="B73" s="31"/>
      <c r="C73" s="31"/>
      <c r="D73" s="31"/>
      <c r="E73" s="31"/>
      <c r="F73" s="31"/>
      <c r="G73" s="31"/>
      <c r="H73" s="31"/>
      <c r="I73" s="31"/>
      <c r="J73" s="31"/>
    </row>
    <row r="74" spans="2:21" ht="15" customHeight="1">
      <c r="B74" s="31"/>
      <c r="C74" s="31"/>
      <c r="D74" s="31"/>
      <c r="E74" s="31"/>
      <c r="F74" s="31"/>
      <c r="G74" s="31"/>
      <c r="H74" s="31"/>
      <c r="I74" s="31"/>
      <c r="J74" s="31"/>
    </row>
    <row r="75" spans="2:21" ht="15" customHeight="1">
      <c r="B75" s="31"/>
      <c r="C75" s="31"/>
      <c r="D75" s="31"/>
      <c r="E75" s="31"/>
      <c r="F75" s="31"/>
      <c r="G75" s="31"/>
      <c r="H75" s="31"/>
      <c r="I75" s="31"/>
      <c r="J75" s="31"/>
    </row>
    <row r="76" spans="2:21" ht="15" customHeight="1">
      <c r="B76" s="31"/>
      <c r="C76" s="31"/>
      <c r="D76" s="31"/>
      <c r="E76" s="31"/>
      <c r="F76" s="31"/>
      <c r="G76" s="31"/>
      <c r="H76" s="31"/>
      <c r="I76" s="31"/>
      <c r="J76" s="31"/>
    </row>
    <row r="77" spans="2:21" ht="15" customHeight="1">
      <c r="B77" s="31"/>
      <c r="C77" s="31"/>
      <c r="D77" s="31"/>
      <c r="E77" s="31"/>
      <c r="F77" s="31"/>
      <c r="G77" s="31"/>
      <c r="H77" s="31"/>
      <c r="I77" s="31"/>
      <c r="J77" s="31"/>
    </row>
    <row r="78" spans="2:21" ht="15" customHeight="1">
      <c r="B78" s="31"/>
      <c r="C78" s="31"/>
      <c r="D78" s="31"/>
      <c r="E78" s="31"/>
      <c r="F78" s="31"/>
      <c r="G78" s="31"/>
      <c r="H78" s="31"/>
      <c r="I78" s="31"/>
      <c r="J78" s="31"/>
    </row>
    <row r="79" spans="2:21" ht="15" customHeight="1">
      <c r="B79" s="31"/>
      <c r="C79" s="31"/>
      <c r="D79" s="31"/>
      <c r="E79" s="31"/>
      <c r="F79" s="31"/>
      <c r="G79" s="31"/>
      <c r="H79" s="31"/>
      <c r="I79" s="31"/>
      <c r="J79" s="31"/>
    </row>
    <row r="80" spans="2:21"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row r="102" spans="2:10" ht="15" customHeight="1">
      <c r="B102" s="31"/>
      <c r="C102" s="31"/>
      <c r="D102" s="31"/>
      <c r="E102" s="31"/>
      <c r="F102" s="31"/>
      <c r="G102" s="31"/>
      <c r="H102" s="31"/>
      <c r="I102" s="31"/>
      <c r="J102" s="31"/>
    </row>
    <row r="103" spans="2:10" ht="15" customHeight="1">
      <c r="B103" s="31"/>
      <c r="C103" s="31"/>
      <c r="D103" s="31"/>
      <c r="E103" s="31"/>
      <c r="F103" s="31"/>
      <c r="G103" s="31"/>
      <c r="H103" s="31"/>
      <c r="I103" s="31"/>
      <c r="J103" s="31"/>
    </row>
    <row r="104" spans="2:10" ht="15" customHeight="1">
      <c r="B104" s="31"/>
      <c r="C104" s="31"/>
      <c r="D104" s="31"/>
      <c r="E104" s="31"/>
      <c r="F104" s="31"/>
      <c r="G104" s="31"/>
      <c r="H104" s="31"/>
      <c r="I104" s="31"/>
      <c r="J104" s="31"/>
    </row>
    <row r="105" spans="2:10" ht="15" customHeight="1">
      <c r="B105" s="31"/>
      <c r="C105" s="31"/>
      <c r="D105" s="31"/>
      <c r="E105" s="31"/>
      <c r="F105" s="31"/>
      <c r="G105" s="31"/>
      <c r="H105" s="31"/>
      <c r="I105" s="31"/>
      <c r="J105" s="31"/>
    </row>
    <row r="106" spans="2:10" ht="15" customHeight="1">
      <c r="B106" s="31"/>
      <c r="C106" s="31"/>
      <c r="D106" s="31"/>
      <c r="E106" s="31"/>
      <c r="F106" s="31"/>
      <c r="G106" s="31"/>
      <c r="H106" s="31"/>
      <c r="I106" s="31"/>
      <c r="J106" s="31"/>
    </row>
    <row r="107" spans="2:10" ht="15" customHeight="1">
      <c r="B107" s="31"/>
      <c r="C107" s="31"/>
      <c r="D107" s="31"/>
      <c r="E107" s="31"/>
      <c r="F107" s="31"/>
      <c r="G107" s="31"/>
      <c r="H107" s="31"/>
      <c r="I107" s="31"/>
      <c r="J107" s="31"/>
    </row>
    <row r="108" spans="2:10" ht="15" customHeight="1">
      <c r="B108" s="31"/>
      <c r="C108" s="31"/>
      <c r="D108" s="31"/>
      <c r="E108" s="31"/>
      <c r="F108" s="31"/>
      <c r="G108" s="31"/>
      <c r="H108" s="31"/>
      <c r="I108" s="31"/>
      <c r="J108" s="31"/>
    </row>
    <row r="109" spans="2:10" ht="15" customHeight="1">
      <c r="B109" s="31"/>
      <c r="C109" s="31"/>
      <c r="D109" s="31"/>
      <c r="E109" s="31"/>
      <c r="F109" s="31"/>
      <c r="G109" s="31"/>
      <c r="H109" s="31"/>
      <c r="I109" s="31"/>
      <c r="J109" s="31"/>
    </row>
    <row r="110" spans="2:10" ht="15" customHeight="1">
      <c r="B110" s="31"/>
      <c r="C110" s="31"/>
      <c r="D110" s="31"/>
      <c r="E110" s="31"/>
      <c r="F110" s="31"/>
      <c r="G110" s="31"/>
      <c r="H110" s="31"/>
      <c r="I110" s="31"/>
      <c r="J110" s="31"/>
    </row>
    <row r="111" spans="2:10" ht="15" customHeight="1">
      <c r="B111" s="31"/>
      <c r="C111" s="31"/>
      <c r="D111" s="31"/>
      <c r="E111" s="31"/>
      <c r="F111" s="31"/>
      <c r="G111" s="31"/>
      <c r="H111" s="31"/>
      <c r="I111" s="31"/>
      <c r="J111" s="31"/>
    </row>
    <row r="112" spans="2:10" ht="15" customHeight="1">
      <c r="B112" s="31"/>
      <c r="C112" s="31"/>
      <c r="D112" s="31"/>
      <c r="E112" s="31"/>
      <c r="F112" s="31"/>
      <c r="G112" s="31"/>
      <c r="H112" s="31"/>
      <c r="I112" s="31"/>
      <c r="J112" s="31"/>
    </row>
    <row r="113" spans="2:10" ht="15" customHeight="1">
      <c r="B113" s="31"/>
      <c r="C113" s="31"/>
      <c r="D113" s="31"/>
      <c r="E113" s="31"/>
      <c r="F113" s="31"/>
      <c r="G113" s="31"/>
      <c r="H113" s="31"/>
      <c r="I113" s="31"/>
      <c r="J113" s="31"/>
    </row>
    <row r="114" spans="2:10" ht="15" customHeight="1">
      <c r="B114" s="31"/>
      <c r="C114" s="31"/>
      <c r="D114" s="31"/>
      <c r="E114" s="31"/>
      <c r="F114" s="31"/>
      <c r="G114" s="31"/>
      <c r="H114" s="31"/>
      <c r="I114" s="31"/>
      <c r="J114" s="31"/>
    </row>
    <row r="115" spans="2:10" ht="15" customHeight="1">
      <c r="B115" s="31"/>
      <c r="C115" s="31"/>
      <c r="D115" s="31"/>
      <c r="E115" s="31"/>
      <c r="F115" s="31"/>
      <c r="G115" s="31"/>
      <c r="H115" s="31"/>
      <c r="I115" s="31"/>
      <c r="J115" s="31"/>
    </row>
    <row r="116" spans="2:10" ht="15" customHeight="1">
      <c r="B116" s="31"/>
      <c r="C116" s="31"/>
      <c r="D116" s="31"/>
      <c r="E116" s="31"/>
      <c r="F116" s="31"/>
      <c r="G116" s="31"/>
      <c r="H116" s="31"/>
      <c r="I116" s="31"/>
      <c r="J116" s="31"/>
    </row>
    <row r="117" spans="2:10" ht="15" customHeight="1">
      <c r="B117" s="31"/>
      <c r="C117" s="31"/>
      <c r="D117" s="31"/>
      <c r="E117" s="31"/>
      <c r="F117" s="31"/>
      <c r="G117" s="31"/>
      <c r="H117" s="31"/>
      <c r="I117" s="31"/>
      <c r="J117" s="31"/>
    </row>
    <row r="118" spans="2:10" ht="15" customHeight="1">
      <c r="B118" s="31"/>
      <c r="C118" s="31"/>
      <c r="D118" s="31"/>
      <c r="E118" s="31"/>
      <c r="F118" s="31"/>
      <c r="G118" s="31"/>
      <c r="H118" s="31"/>
      <c r="I118" s="31"/>
      <c r="J118" s="31"/>
    </row>
    <row r="119" spans="2:10" ht="15" customHeight="1">
      <c r="B119" s="31"/>
      <c r="C119" s="31"/>
      <c r="D119" s="31"/>
      <c r="E119" s="31"/>
      <c r="F119" s="31"/>
      <c r="G119" s="31"/>
      <c r="H119" s="31"/>
      <c r="I119" s="31"/>
      <c r="J119" s="31"/>
    </row>
    <row r="120" spans="2:10" ht="15" customHeight="1">
      <c r="B120" s="31"/>
      <c r="C120" s="31"/>
      <c r="D120" s="31"/>
      <c r="E120" s="31"/>
      <c r="F120" s="31"/>
      <c r="G120" s="31"/>
      <c r="H120" s="31"/>
      <c r="I120" s="31"/>
      <c r="J120" s="31"/>
    </row>
    <row r="121" spans="2:10" ht="15" customHeight="1">
      <c r="B121" s="31"/>
      <c r="C121" s="31"/>
      <c r="D121" s="31"/>
      <c r="E121" s="31"/>
      <c r="F121" s="31"/>
      <c r="G121" s="31"/>
      <c r="H121" s="31"/>
      <c r="I121" s="31"/>
      <c r="J121" s="31"/>
    </row>
    <row r="122" spans="2:10" ht="15" customHeight="1">
      <c r="B122" s="31"/>
      <c r="C122" s="31"/>
      <c r="D122" s="31"/>
      <c r="E122" s="31"/>
      <c r="F122" s="31"/>
      <c r="G122" s="31"/>
      <c r="H122" s="31"/>
      <c r="I122" s="31"/>
      <c r="J122" s="31"/>
    </row>
    <row r="123" spans="2:10" ht="15" customHeight="1">
      <c r="B123" s="31"/>
      <c r="C123" s="31"/>
      <c r="D123" s="31"/>
      <c r="E123" s="31"/>
      <c r="F123" s="31"/>
      <c r="G123" s="31"/>
      <c r="H123" s="31"/>
      <c r="I123" s="31"/>
      <c r="J123" s="31"/>
    </row>
  </sheetData>
  <mergeCells count="1">
    <mergeCell ref="H1:I1"/>
  </mergeCells>
  <conditionalFormatting sqref="B1">
    <cfRule type="cellIs" dxfId="68" priority="1" operator="equal">
      <formula>"Incomplete"</formula>
    </cfRule>
    <cfRule type="cellIs" dxfId="67" priority="2" operator="equal">
      <formula>"Flag for Review"</formula>
    </cfRule>
    <cfRule type="cellIs" dxfId="66"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Y121"/>
  <sheetViews>
    <sheetView zoomScaleNormal="100" workbookViewId="0"/>
  </sheetViews>
  <sheetFormatPr defaultColWidth="9.140625" defaultRowHeight="15"/>
  <cols>
    <col min="1" max="1" width="9.140625" style="21"/>
    <col min="2" max="2" width="16" style="21" bestFit="1" customWidth="1"/>
    <col min="3" max="3" width="11.140625" style="21" customWidth="1"/>
    <col min="4" max="10" width="12.7109375" style="21" customWidth="1"/>
    <col min="11" max="11" width="6.7109375" style="21" customWidth="1"/>
    <col min="12" max="12" width="11.140625" style="21" customWidth="1"/>
    <col min="13" max="13" width="6.7109375" style="21" customWidth="1"/>
    <col min="14" max="15" width="9.140625" style="21"/>
    <col min="16" max="16" width="10.7109375" style="21" customWidth="1"/>
    <col min="17" max="16384" width="9.140625" style="21"/>
  </cols>
  <sheetData>
    <row r="1" spans="1:25">
      <c r="A1" s="7">
        <v>9</v>
      </c>
      <c r="B1" s="27" t="s">
        <v>12</v>
      </c>
      <c r="C1" s="20"/>
      <c r="D1" s="20"/>
      <c r="E1" s="20"/>
      <c r="F1" s="20"/>
      <c r="G1" s="20"/>
      <c r="H1" s="20"/>
      <c r="I1" s="20"/>
      <c r="J1" s="20"/>
      <c r="K1" s="20"/>
      <c r="L1" s="886" t="s">
        <v>24</v>
      </c>
      <c r="M1" s="887"/>
      <c r="O1" s="1" t="s">
        <v>33</v>
      </c>
      <c r="P1" s="52" t="str">
        <f>VLOOKUP(A1,'Point Grid'!$L$8:$T$54,9,FALSE)</f>
        <v>Pricing - Chap 6: Loss &amp; LAE</v>
      </c>
      <c r="Q1"/>
      <c r="R1"/>
      <c r="S1"/>
      <c r="T1"/>
      <c r="U1"/>
      <c r="V1"/>
      <c r="W1"/>
      <c r="X1"/>
      <c r="Y1"/>
    </row>
    <row r="2" spans="1:25">
      <c r="A2" s="22"/>
      <c r="B2" s="19"/>
      <c r="C2" s="19"/>
      <c r="D2" s="19"/>
      <c r="E2" s="19"/>
      <c r="F2" s="19"/>
      <c r="G2" s="19"/>
      <c r="H2" s="19"/>
      <c r="I2" s="19"/>
      <c r="J2" s="19"/>
      <c r="K2" s="19"/>
      <c r="L2" s="19"/>
      <c r="M2" s="23"/>
      <c r="O2" s="1"/>
      <c r="P2"/>
      <c r="Q2"/>
      <c r="R2"/>
      <c r="S2"/>
      <c r="T2"/>
      <c r="U2"/>
      <c r="V2"/>
      <c r="W2"/>
      <c r="X2"/>
      <c r="Y2"/>
    </row>
    <row r="3" spans="1:25">
      <c r="A3" s="8" t="s">
        <v>13</v>
      </c>
      <c r="B3" s="17"/>
      <c r="C3" s="17"/>
      <c r="D3" s="17"/>
      <c r="E3" s="17"/>
      <c r="F3" s="17"/>
      <c r="G3" s="17"/>
      <c r="H3" s="17"/>
      <c r="I3" s="17"/>
      <c r="J3" s="17"/>
      <c r="K3" s="17"/>
      <c r="L3" s="17"/>
      <c r="M3" s="18"/>
      <c r="N3" s="31"/>
      <c r="O3" s="48" t="s">
        <v>2</v>
      </c>
      <c r="P3" s="121" t="s">
        <v>761</v>
      </c>
      <c r="Q3" s="807">
        <v>-1.0309278350515427E-2</v>
      </c>
      <c r="R3" s="279" t="s">
        <v>224</v>
      </c>
      <c r="S3" s="259"/>
      <c r="T3" s="259" t="s">
        <v>762</v>
      </c>
      <c r="U3" s="121"/>
      <c r="V3" s="121"/>
      <c r="W3" s="121"/>
      <c r="X3" s="121"/>
      <c r="Y3" s="121"/>
    </row>
    <row r="4" spans="1:25">
      <c r="A4" s="9">
        <f>INDEX('Point Grid'!B:B,MATCH(A1,'Point Grid'!A:A,0))</f>
        <v>2.5</v>
      </c>
      <c r="B4" s="17"/>
      <c r="C4" s="17"/>
      <c r="D4" s="17"/>
      <c r="E4" s="17"/>
      <c r="F4" s="17"/>
      <c r="G4" s="17"/>
      <c r="H4" s="17"/>
      <c r="I4" s="17"/>
      <c r="J4" s="17"/>
      <c r="K4" s="17"/>
      <c r="L4" s="17"/>
      <c r="M4" s="18"/>
      <c r="N4" s="31"/>
      <c r="O4" s="48"/>
      <c r="P4" s="121" t="s">
        <v>763</v>
      </c>
      <c r="Q4" s="807">
        <v>8.3333333333333481E-2</v>
      </c>
      <c r="R4" s="279" t="s">
        <v>224</v>
      </c>
      <c r="S4" s="121"/>
      <c r="T4" s="121"/>
      <c r="U4" s="121"/>
      <c r="V4" s="121"/>
      <c r="W4" s="121"/>
      <c r="X4" s="121"/>
      <c r="Y4" s="121"/>
    </row>
    <row r="5" spans="1:25">
      <c r="A5" s="16"/>
      <c r="B5" s="17"/>
      <c r="C5" s="17"/>
      <c r="D5" s="17"/>
      <c r="E5" s="17"/>
      <c r="F5" s="17"/>
      <c r="G5" s="17"/>
      <c r="H5" s="17"/>
      <c r="I5" s="17"/>
      <c r="J5" s="17"/>
      <c r="K5" s="17"/>
      <c r="L5" s="17"/>
      <c r="M5" s="18"/>
      <c r="P5" s="121" t="s">
        <v>764</v>
      </c>
      <c r="Q5" s="807">
        <v>7.2164948453608435E-2</v>
      </c>
      <c r="R5" s="279" t="s">
        <v>224</v>
      </c>
      <c r="S5" s="121"/>
      <c r="T5" s="121"/>
      <c r="U5" s="121"/>
      <c r="V5" s="121"/>
      <c r="W5" s="121"/>
      <c r="X5" s="121"/>
      <c r="Y5" s="121"/>
    </row>
    <row r="6" spans="1:25">
      <c r="A6" s="25" t="s">
        <v>2</v>
      </c>
      <c r="B6" s="17" t="s">
        <v>735</v>
      </c>
      <c r="C6" s="17"/>
      <c r="D6" s="17"/>
      <c r="E6" s="17"/>
      <c r="F6" s="17"/>
      <c r="G6" s="17"/>
      <c r="H6" s="17"/>
      <c r="I6" s="17"/>
      <c r="J6" s="17"/>
      <c r="K6" s="17"/>
      <c r="L6" s="17"/>
      <c r="M6" s="18"/>
      <c r="P6" s="37"/>
      <c r="Q6" s="37"/>
      <c r="R6" s="37"/>
      <c r="S6" s="37"/>
      <c r="T6" s="37"/>
      <c r="U6" s="37"/>
      <c r="V6" s="37"/>
      <c r="W6" s="37"/>
      <c r="X6" s="37"/>
      <c r="Y6" s="37"/>
    </row>
    <row r="7" spans="1:25" ht="15.75" thickBot="1">
      <c r="A7" s="9">
        <f>INDEX('Point Grid'!$C$8:$I$54,MATCH($A$1,'Point Grid'!$A$8:$A$54,0),MATCH(A6,'Point Grid'!$C$7:$I$7,0))</f>
        <v>1.75</v>
      </c>
      <c r="B7" s="17"/>
      <c r="C7" s="17"/>
      <c r="D7" s="17"/>
      <c r="E7" s="17"/>
      <c r="F7" s="17"/>
      <c r="G7" s="17"/>
      <c r="H7" s="17"/>
      <c r="I7" s="17"/>
      <c r="J7" s="17"/>
      <c r="K7" s="17"/>
      <c r="L7" s="17"/>
      <c r="M7" s="18"/>
      <c r="P7" s="178" t="s">
        <v>159</v>
      </c>
      <c r="Q7" s="249"/>
      <c r="R7" s="249" t="s">
        <v>736</v>
      </c>
      <c r="S7" s="250"/>
      <c r="T7" s="253"/>
      <c r="U7" s="250" t="s">
        <v>737</v>
      </c>
      <c r="V7" s="253"/>
      <c r="W7" s="250" t="s">
        <v>737</v>
      </c>
      <c r="X7" s="762"/>
      <c r="Y7" s="250" t="s">
        <v>737</v>
      </c>
    </row>
    <row r="8" spans="1:25" ht="15.75" thickBot="1">
      <c r="A8" s="5"/>
      <c r="B8" s="17"/>
      <c r="C8" s="28"/>
      <c r="D8" s="28"/>
      <c r="E8" s="28"/>
      <c r="F8" s="28"/>
      <c r="G8" s="28"/>
      <c r="H8" s="28"/>
      <c r="I8" s="28"/>
      <c r="J8" s="28"/>
      <c r="K8" s="28"/>
      <c r="L8" s="28"/>
      <c r="M8" s="18"/>
      <c r="P8" s="110" t="s">
        <v>738</v>
      </c>
      <c r="Q8" s="111" t="s">
        <v>739</v>
      </c>
      <c r="R8" s="111" t="s">
        <v>740</v>
      </c>
      <c r="S8" s="112" t="s">
        <v>413</v>
      </c>
      <c r="T8" s="255"/>
      <c r="U8" s="112" t="s">
        <v>741</v>
      </c>
      <c r="V8" s="255"/>
      <c r="W8" s="112" t="s">
        <v>741</v>
      </c>
      <c r="X8" s="763" t="s">
        <v>215</v>
      </c>
      <c r="Y8" s="112" t="s">
        <v>741</v>
      </c>
    </row>
    <row r="9" spans="1:25">
      <c r="A9" s="25"/>
      <c r="B9" s="779" t="s">
        <v>159</v>
      </c>
      <c r="C9" s="780"/>
      <c r="D9" s="780" t="s">
        <v>736</v>
      </c>
      <c r="E9" s="781"/>
      <c r="F9" s="782"/>
      <c r="G9" s="781" t="s">
        <v>737</v>
      </c>
      <c r="H9" s="782"/>
      <c r="I9" s="781" t="s">
        <v>737</v>
      </c>
      <c r="J9" s="780"/>
      <c r="K9" s="781" t="s">
        <v>737</v>
      </c>
      <c r="L9" s="17"/>
      <c r="M9" s="18"/>
      <c r="P9" s="114" t="s">
        <v>742</v>
      </c>
      <c r="Q9" s="115" t="s">
        <v>468</v>
      </c>
      <c r="R9" s="115" t="s">
        <v>469</v>
      </c>
      <c r="S9" s="116" t="s">
        <v>103</v>
      </c>
      <c r="T9" s="764" t="s">
        <v>743</v>
      </c>
      <c r="U9" s="116" t="s">
        <v>744</v>
      </c>
      <c r="V9" s="764" t="s">
        <v>272</v>
      </c>
      <c r="W9" s="116" t="s">
        <v>744</v>
      </c>
      <c r="X9" s="765" t="s">
        <v>217</v>
      </c>
      <c r="Y9" s="116" t="s">
        <v>744</v>
      </c>
    </row>
    <row r="10" spans="1:25">
      <c r="A10" s="25"/>
      <c r="B10" s="783" t="s">
        <v>738</v>
      </c>
      <c r="C10" s="784" t="s">
        <v>739</v>
      </c>
      <c r="D10" s="784" t="s">
        <v>740</v>
      </c>
      <c r="E10" s="785" t="s">
        <v>413</v>
      </c>
      <c r="F10" s="786"/>
      <c r="G10" s="785" t="s">
        <v>741</v>
      </c>
      <c r="H10" s="786"/>
      <c r="I10" s="785" t="s">
        <v>741</v>
      </c>
      <c r="J10" s="784" t="s">
        <v>215</v>
      </c>
      <c r="K10" s="785" t="s">
        <v>741</v>
      </c>
      <c r="L10" s="17"/>
      <c r="M10" s="18"/>
      <c r="P10" s="766" t="s">
        <v>745</v>
      </c>
      <c r="Q10" s="111">
        <f t="shared" ref="Q10:Q25" si="0">C12</f>
        <v>145000</v>
      </c>
      <c r="R10" s="111">
        <f t="shared" ref="R10:R25" si="1">D12</f>
        <v>6000</v>
      </c>
      <c r="S10" s="112">
        <f t="shared" ref="S10:S25" si="2">E12</f>
        <v>5800000</v>
      </c>
      <c r="T10" s="768">
        <f>R10/Q10</f>
        <v>4.1379310344827586E-2</v>
      </c>
      <c r="U10" s="113"/>
      <c r="V10" s="127">
        <f>S10/R10</f>
        <v>966.66666666666663</v>
      </c>
      <c r="W10" s="113"/>
      <c r="X10" s="767">
        <f>T10*V10</f>
        <v>40</v>
      </c>
      <c r="Y10" s="113"/>
    </row>
    <row r="11" spans="1:25">
      <c r="A11" s="25"/>
      <c r="B11" s="787" t="s">
        <v>742</v>
      </c>
      <c r="C11" s="788" t="s">
        <v>468</v>
      </c>
      <c r="D11" s="788" t="s">
        <v>469</v>
      </c>
      <c r="E11" s="789" t="s">
        <v>103</v>
      </c>
      <c r="F11" s="790" t="s">
        <v>743</v>
      </c>
      <c r="G11" s="789" t="s">
        <v>744</v>
      </c>
      <c r="H11" s="790" t="s">
        <v>272</v>
      </c>
      <c r="I11" s="789" t="s">
        <v>744</v>
      </c>
      <c r="J11" s="788" t="s">
        <v>217</v>
      </c>
      <c r="K11" s="789" t="s">
        <v>744</v>
      </c>
      <c r="L11" s="17"/>
      <c r="M11" s="18"/>
      <c r="P11" s="766" t="s">
        <v>746</v>
      </c>
      <c r="Q11" s="111">
        <f t="shared" si="0"/>
        <v>144187.8470998285</v>
      </c>
      <c r="R11" s="111">
        <f t="shared" si="1"/>
        <v>5950.9565614169342</v>
      </c>
      <c r="S11" s="112">
        <f t="shared" si="2"/>
        <v>5833721.1589520834</v>
      </c>
      <c r="T11" s="768">
        <f t="shared" ref="T11:T25" si="3">R11/Q11</f>
        <v>4.1272247842751873E-2</v>
      </c>
      <c r="U11" s="113"/>
      <c r="V11" s="127">
        <f t="shared" ref="V11:V25" si="4">S11/R11</f>
        <v>980.29973815891265</v>
      </c>
      <c r="W11" s="113"/>
      <c r="X11" s="767">
        <f t="shared" ref="X11:X25" si="5">T11*V11</f>
        <v>40.459173753479412</v>
      </c>
      <c r="Y11" s="113"/>
    </row>
    <row r="12" spans="1:25">
      <c r="A12" s="25"/>
      <c r="B12" s="791" t="s">
        <v>745</v>
      </c>
      <c r="C12" s="784">
        <v>145000</v>
      </c>
      <c r="D12" s="784">
        <v>6000</v>
      </c>
      <c r="E12" s="785">
        <v>5800000</v>
      </c>
      <c r="F12" s="792">
        <v>4.1379310344827586E-2</v>
      </c>
      <c r="G12" s="793" t="s">
        <v>472</v>
      </c>
      <c r="H12" s="794">
        <v>966.66666666666663</v>
      </c>
      <c r="I12" s="793" t="s">
        <v>472</v>
      </c>
      <c r="J12" s="795">
        <v>40</v>
      </c>
      <c r="K12" s="793" t="s">
        <v>472</v>
      </c>
      <c r="L12" s="17"/>
      <c r="M12" s="18"/>
      <c r="P12" s="766" t="s">
        <v>747</v>
      </c>
      <c r="Q12" s="111">
        <f t="shared" si="0"/>
        <v>142521.67878228641</v>
      </c>
      <c r="R12" s="111">
        <f t="shared" si="1"/>
        <v>5919.98559811221</v>
      </c>
      <c r="S12" s="112">
        <f t="shared" si="2"/>
        <v>5914767.9979654578</v>
      </c>
      <c r="T12" s="768">
        <f t="shared" si="3"/>
        <v>4.1537439417588355E-2</v>
      </c>
      <c r="U12" s="113"/>
      <c r="V12" s="127">
        <f t="shared" si="4"/>
        <v>999.11864647974551</v>
      </c>
      <c r="W12" s="113"/>
      <c r="X12" s="767">
        <f t="shared" si="5"/>
        <v>41.500830249135305</v>
      </c>
      <c r="Y12" s="113"/>
    </row>
    <row r="13" spans="1:25">
      <c r="A13" s="25"/>
      <c r="B13" s="791" t="s">
        <v>746</v>
      </c>
      <c r="C13" s="784">
        <v>144187.8470998285</v>
      </c>
      <c r="D13" s="784">
        <v>5950.9565614169342</v>
      </c>
      <c r="E13" s="785">
        <v>5833721.1589520834</v>
      </c>
      <c r="F13" s="796">
        <v>4.1272247842751873E-2</v>
      </c>
      <c r="G13" s="793" t="s">
        <v>472</v>
      </c>
      <c r="H13" s="794">
        <v>980.29973815891265</v>
      </c>
      <c r="I13" s="793" t="s">
        <v>472</v>
      </c>
      <c r="J13" s="795">
        <v>40.459173753479405</v>
      </c>
      <c r="K13" s="793" t="s">
        <v>472</v>
      </c>
      <c r="L13" s="17"/>
      <c r="M13" s="18"/>
      <c r="P13" s="769" t="s">
        <v>748</v>
      </c>
      <c r="Q13" s="115">
        <f t="shared" si="0"/>
        <v>141440.52604219966</v>
      </c>
      <c r="R13" s="115">
        <f t="shared" si="1"/>
        <v>5871.5961897632678</v>
      </c>
      <c r="S13" s="116">
        <f t="shared" si="2"/>
        <v>5955129.4658571649</v>
      </c>
      <c r="T13" s="770">
        <f t="shared" si="3"/>
        <v>4.1512827716799074E-2</v>
      </c>
      <c r="U13" s="771"/>
      <c r="V13" s="132">
        <f t="shared" si="4"/>
        <v>1014.2266725084963</v>
      </c>
      <c r="W13" s="771"/>
      <c r="X13" s="772">
        <f t="shared" si="5"/>
        <v>42.103417121627601</v>
      </c>
      <c r="Y13" s="771"/>
    </row>
    <row r="14" spans="1:25">
      <c r="A14" s="25"/>
      <c r="B14" s="791" t="s">
        <v>747</v>
      </c>
      <c r="C14" s="784">
        <v>142521.67878228641</v>
      </c>
      <c r="D14" s="784">
        <v>5919.98559811221</v>
      </c>
      <c r="E14" s="785">
        <v>5914767.9979654578</v>
      </c>
      <c r="F14" s="796">
        <v>4.1537439417588355E-2</v>
      </c>
      <c r="G14" s="793" t="s">
        <v>472</v>
      </c>
      <c r="H14" s="794">
        <v>999.11864647974551</v>
      </c>
      <c r="I14" s="793" t="s">
        <v>472</v>
      </c>
      <c r="J14" s="795">
        <v>41.500830249135305</v>
      </c>
      <c r="K14" s="793" t="s">
        <v>472</v>
      </c>
      <c r="L14" s="17"/>
      <c r="M14" s="18"/>
      <c r="P14" s="766" t="s">
        <v>749</v>
      </c>
      <c r="Q14" s="111">
        <f t="shared" si="0"/>
        <v>140929.04509919998</v>
      </c>
      <c r="R14" s="111">
        <f t="shared" si="1"/>
        <v>5829.4142902655967</v>
      </c>
      <c r="S14" s="112">
        <f t="shared" si="2"/>
        <v>5983738.7386483196</v>
      </c>
      <c r="T14" s="768">
        <f t="shared" si="3"/>
        <v>4.1364179301451101E-2</v>
      </c>
      <c r="U14" s="773">
        <f t="shared" ref="U14:U25" si="6">T14/T10-1</f>
        <v>-3.656668815983366E-4</v>
      </c>
      <c r="V14" s="127">
        <f t="shared" si="4"/>
        <v>1026.4734055084102</v>
      </c>
      <c r="W14" s="773">
        <f t="shared" ref="W14:W25" si="7">V14/V10-1</f>
        <v>6.1869040181114165E-2</v>
      </c>
      <c r="X14" s="767">
        <f t="shared" si="5"/>
        <v>42.459229993621008</v>
      </c>
      <c r="Y14" s="773">
        <f>X14/X10-1</f>
        <v>6.1480749840525206E-2</v>
      </c>
    </row>
    <row r="15" spans="1:25">
      <c r="A15" s="25"/>
      <c r="B15" s="797" t="s">
        <v>748</v>
      </c>
      <c r="C15" s="788">
        <v>141440.52604219966</v>
      </c>
      <c r="D15" s="788">
        <v>5871.5961897632678</v>
      </c>
      <c r="E15" s="789">
        <v>5955129.4658571649</v>
      </c>
      <c r="F15" s="798">
        <v>4.1512827716799074E-2</v>
      </c>
      <c r="G15" s="799" t="s">
        <v>472</v>
      </c>
      <c r="H15" s="800">
        <v>1014.2266725084963</v>
      </c>
      <c r="I15" s="799" t="s">
        <v>472</v>
      </c>
      <c r="J15" s="801">
        <v>42.103417121627608</v>
      </c>
      <c r="K15" s="799" t="s">
        <v>472</v>
      </c>
      <c r="L15" s="17"/>
      <c r="M15" s="18"/>
      <c r="P15" s="766" t="s">
        <v>750</v>
      </c>
      <c r="Q15" s="111">
        <f t="shared" si="0"/>
        <v>139580.25394366376</v>
      </c>
      <c r="R15" s="111">
        <f t="shared" si="1"/>
        <v>5775.9949785584768</v>
      </c>
      <c r="S15" s="112">
        <f t="shared" si="2"/>
        <v>6024570.8522756668</v>
      </c>
      <c r="T15" s="768">
        <f t="shared" si="3"/>
        <v>4.1381175455446131E-2</v>
      </c>
      <c r="U15" s="773">
        <f t="shared" si="6"/>
        <v>2.6392459434065874E-3</v>
      </c>
      <c r="V15" s="127">
        <f t="shared" si="4"/>
        <v>1043.0360266309006</v>
      </c>
      <c r="W15" s="773">
        <f t="shared" si="7"/>
        <v>6.3997047056048473E-2</v>
      </c>
      <c r="X15" s="767">
        <f t="shared" si="5"/>
        <v>43.162056824364676</v>
      </c>
      <c r="Y15" s="773">
        <f t="shared" ref="Y15:Y25" si="8">X15/X11-1</f>
        <v>6.6805196946287726E-2</v>
      </c>
    </row>
    <row r="16" spans="1:25">
      <c r="A16" s="25"/>
      <c r="B16" s="791" t="s">
        <v>749</v>
      </c>
      <c r="C16" s="784">
        <v>140929.04509919998</v>
      </c>
      <c r="D16" s="784">
        <v>5829.4142902655967</v>
      </c>
      <c r="E16" s="785">
        <v>5983738.7386483196</v>
      </c>
      <c r="F16" s="792">
        <v>4.1364179301451101E-2</v>
      </c>
      <c r="G16" s="802">
        <v>-3.656668815983366E-4</v>
      </c>
      <c r="H16" s="794">
        <v>1026.4734055084102</v>
      </c>
      <c r="I16" s="803">
        <v>6.1869040181114165E-2</v>
      </c>
      <c r="J16" s="795">
        <v>42.459229993621008</v>
      </c>
      <c r="K16" s="803">
        <v>6.1480749840525206E-2</v>
      </c>
      <c r="L16" s="17"/>
      <c r="M16" s="18"/>
      <c r="P16" s="766" t="s">
        <v>751</v>
      </c>
      <c r="Q16" s="111">
        <f t="shared" si="0"/>
        <v>138521.4145074281</v>
      </c>
      <c r="R16" s="111">
        <f t="shared" si="1"/>
        <v>5694.4784490183592</v>
      </c>
      <c r="S16" s="112">
        <f t="shared" si="2"/>
        <v>6090017.3315643724</v>
      </c>
      <c r="T16" s="768">
        <f t="shared" si="3"/>
        <v>4.1109011695177264E-2</v>
      </c>
      <c r="U16" s="773">
        <f t="shared" si="6"/>
        <v>-1.0314254523587252E-2</v>
      </c>
      <c r="V16" s="127">
        <f t="shared" si="4"/>
        <v>1069.4600719077614</v>
      </c>
      <c r="W16" s="773">
        <f t="shared" si="7"/>
        <v>7.0403475779232005E-2</v>
      </c>
      <c r="X16" s="767">
        <f t="shared" si="5"/>
        <v>43.96444660358128</v>
      </c>
      <c r="Y16" s="773">
        <f t="shared" si="8"/>
        <v>5.93630618871126E-2</v>
      </c>
    </row>
    <row r="17" spans="1:25">
      <c r="A17" s="25"/>
      <c r="B17" s="791" t="s">
        <v>750</v>
      </c>
      <c r="C17" s="784">
        <v>139580.25394366376</v>
      </c>
      <c r="D17" s="784">
        <v>5775.9949785584768</v>
      </c>
      <c r="E17" s="785">
        <v>6024570.8522756668</v>
      </c>
      <c r="F17" s="796">
        <v>4.1381175455446131E-2</v>
      </c>
      <c r="G17" s="803">
        <v>2.6392459434065874E-3</v>
      </c>
      <c r="H17" s="794">
        <v>1043.0360266309006</v>
      </c>
      <c r="I17" s="803">
        <v>6.3997047056048473E-2</v>
      </c>
      <c r="J17" s="795">
        <v>43.162056824364676</v>
      </c>
      <c r="K17" s="803">
        <v>6.6805196946287726E-2</v>
      </c>
      <c r="L17" s="17"/>
      <c r="M17" s="18"/>
      <c r="P17" s="769" t="s">
        <v>752</v>
      </c>
      <c r="Q17" s="115">
        <f t="shared" si="0"/>
        <v>137745.54851757939</v>
      </c>
      <c r="R17" s="115">
        <f t="shared" si="1"/>
        <v>5608.4757020264406</v>
      </c>
      <c r="S17" s="116">
        <f t="shared" si="2"/>
        <v>6143874.7234743191</v>
      </c>
      <c r="T17" s="770">
        <f t="shared" si="3"/>
        <v>4.0716202900093534E-2</v>
      </c>
      <c r="U17" s="774">
        <f t="shared" si="6"/>
        <v>-1.9189847103168289E-2</v>
      </c>
      <c r="V17" s="132">
        <f t="shared" si="4"/>
        <v>1095.4624839070675</v>
      </c>
      <c r="W17" s="774">
        <f t="shared" si="7"/>
        <v>8.0096307463153105E-2</v>
      </c>
      <c r="X17" s="772">
        <f t="shared" si="5"/>
        <v>44.603072764200611</v>
      </c>
      <c r="Y17" s="774">
        <f t="shared" si="8"/>
        <v>5.9369424466238607E-2</v>
      </c>
    </row>
    <row r="18" spans="1:25">
      <c r="A18" s="25"/>
      <c r="B18" s="791" t="s">
        <v>751</v>
      </c>
      <c r="C18" s="784">
        <v>138521.4145074281</v>
      </c>
      <c r="D18" s="784">
        <v>5694.4784490183592</v>
      </c>
      <c r="E18" s="785">
        <v>6090017.3315643724</v>
      </c>
      <c r="F18" s="796">
        <v>4.1109011695177264E-2</v>
      </c>
      <c r="G18" s="803">
        <v>-1.0314254523587252E-2</v>
      </c>
      <c r="H18" s="794">
        <v>1069.4600719077614</v>
      </c>
      <c r="I18" s="803">
        <v>7.0403475779232005E-2</v>
      </c>
      <c r="J18" s="795">
        <v>43.964446603581287</v>
      </c>
      <c r="K18" s="803">
        <v>5.9363061887112822E-2</v>
      </c>
      <c r="L18" s="17"/>
      <c r="M18" s="18"/>
      <c r="P18" s="766" t="s">
        <v>753</v>
      </c>
      <c r="Q18" s="111">
        <f t="shared" si="0"/>
        <v>136563.92631458744</v>
      </c>
      <c r="R18" s="111">
        <f t="shared" si="1"/>
        <v>5523.771840008164</v>
      </c>
      <c r="S18" s="112">
        <f t="shared" si="2"/>
        <v>6185799.5804539137</v>
      </c>
      <c r="T18" s="768">
        <f t="shared" si="3"/>
        <v>4.0448250054583613E-2</v>
      </c>
      <c r="U18" s="773">
        <f t="shared" si="6"/>
        <v>-2.2143053780722677E-2</v>
      </c>
      <c r="V18" s="127">
        <f t="shared" si="4"/>
        <v>1119.8506671927946</v>
      </c>
      <c r="W18" s="773">
        <f t="shared" si="7"/>
        <v>9.096900239527872E-2</v>
      </c>
      <c r="X18" s="767">
        <f t="shared" si="5"/>
        <v>45.29599981040645</v>
      </c>
      <c r="Y18" s="773">
        <f t="shared" si="8"/>
        <v>6.6811617102138454E-2</v>
      </c>
    </row>
    <row r="19" spans="1:25">
      <c r="A19" s="25"/>
      <c r="B19" s="797" t="s">
        <v>752</v>
      </c>
      <c r="C19" s="788">
        <v>137745.54851757939</v>
      </c>
      <c r="D19" s="788">
        <v>5608.4757020264406</v>
      </c>
      <c r="E19" s="789">
        <v>6143874.7234743191</v>
      </c>
      <c r="F19" s="798">
        <v>4.0716202900093534E-2</v>
      </c>
      <c r="G19" s="804">
        <v>-1.9189847103168289E-2</v>
      </c>
      <c r="H19" s="800">
        <v>1095.4624839070675</v>
      </c>
      <c r="I19" s="804">
        <v>8.0096307463153105E-2</v>
      </c>
      <c r="J19" s="801">
        <v>44.603072764200611</v>
      </c>
      <c r="K19" s="804">
        <v>5.9369424466238607E-2</v>
      </c>
      <c r="L19" s="17"/>
      <c r="M19" s="18"/>
      <c r="P19" s="766" t="s">
        <v>754</v>
      </c>
      <c r="Q19" s="111">
        <f t="shared" si="0"/>
        <v>135799.02432275849</v>
      </c>
      <c r="R19" s="111">
        <f t="shared" si="1"/>
        <v>5484.0887315189402</v>
      </c>
      <c r="S19" s="112">
        <f t="shared" si="2"/>
        <v>6252997.5293291165</v>
      </c>
      <c r="T19" s="768">
        <f t="shared" si="3"/>
        <v>4.0383859595962239E-2</v>
      </c>
      <c r="U19" s="773">
        <f t="shared" si="6"/>
        <v>-2.4100713633852022E-2</v>
      </c>
      <c r="V19" s="127">
        <f t="shared" si="4"/>
        <v>1140.2072131676123</v>
      </c>
      <c r="W19" s="773">
        <f t="shared" si="7"/>
        <v>9.3161869825899801E-2</v>
      </c>
      <c r="X19" s="767">
        <f t="shared" si="5"/>
        <v>46.045968006864243</v>
      </c>
      <c r="Y19" s="773">
        <f t="shared" si="8"/>
        <v>6.6815888645779697E-2</v>
      </c>
    </row>
    <row r="20" spans="1:25">
      <c r="A20" s="25"/>
      <c r="B20" s="791" t="s">
        <v>753</v>
      </c>
      <c r="C20" s="784">
        <v>136563.92631458744</v>
      </c>
      <c r="D20" s="784">
        <v>5523.771840008164</v>
      </c>
      <c r="E20" s="785">
        <v>6185799.5804539137</v>
      </c>
      <c r="F20" s="796">
        <v>4.0448250054583613E-2</v>
      </c>
      <c r="G20" s="803">
        <v>-2.2143053780722677E-2</v>
      </c>
      <c r="H20" s="794">
        <v>1119.8506671927946</v>
      </c>
      <c r="I20" s="803">
        <v>9.096900239527872E-2</v>
      </c>
      <c r="J20" s="795">
        <v>45.295999810406457</v>
      </c>
      <c r="K20" s="803">
        <v>6.6811617102138676E-2</v>
      </c>
      <c r="L20" s="17"/>
      <c r="M20" s="18"/>
      <c r="P20" s="766" t="s">
        <v>755</v>
      </c>
      <c r="Q20" s="111">
        <f t="shared" si="0"/>
        <v>134095.02450670395</v>
      </c>
      <c r="R20" s="111">
        <f t="shared" si="1"/>
        <v>5439.2623033708842</v>
      </c>
      <c r="S20" s="112">
        <f t="shared" si="2"/>
        <v>6327240.0778475646</v>
      </c>
      <c r="T20" s="768">
        <f t="shared" si="3"/>
        <v>4.0562745138235559E-2</v>
      </c>
      <c r="U20" s="773">
        <f t="shared" si="6"/>
        <v>-1.3288243487638796E-2</v>
      </c>
      <c r="V20" s="127">
        <f t="shared" si="4"/>
        <v>1163.2533466765103</v>
      </c>
      <c r="W20" s="773">
        <f t="shared" si="7"/>
        <v>8.7701520825770762E-2</v>
      </c>
      <c r="X20" s="767">
        <f t="shared" si="5"/>
        <v>47.184749032438866</v>
      </c>
      <c r="Y20" s="773">
        <f t="shared" si="8"/>
        <v>7.3247878175163095E-2</v>
      </c>
    </row>
    <row r="21" spans="1:25">
      <c r="A21" s="25"/>
      <c r="B21" s="791" t="s">
        <v>754</v>
      </c>
      <c r="C21" s="784">
        <v>135799.02432275849</v>
      </c>
      <c r="D21" s="784">
        <v>5484.0887315189402</v>
      </c>
      <c r="E21" s="785">
        <v>6252997.5293291165</v>
      </c>
      <c r="F21" s="796">
        <v>4.0383859595962239E-2</v>
      </c>
      <c r="G21" s="803">
        <v>-2.4100713633852022E-2</v>
      </c>
      <c r="H21" s="794">
        <v>1140.2072131676123</v>
      </c>
      <c r="I21" s="803">
        <v>9.3161869825899801E-2</v>
      </c>
      <c r="J21" s="805">
        <v>46.045968006864243</v>
      </c>
      <c r="K21" s="803">
        <v>6.6815888645779697E-2</v>
      </c>
      <c r="L21" s="17"/>
      <c r="M21" s="18"/>
      <c r="P21" s="769" t="s">
        <v>756</v>
      </c>
      <c r="Q21" s="115">
        <f t="shared" si="0"/>
        <v>133077.79537766115</v>
      </c>
      <c r="R21" s="115">
        <f t="shared" si="1"/>
        <v>5378.6501796106513</v>
      </c>
      <c r="S21" s="116">
        <f t="shared" si="2"/>
        <v>6357637.021934188</v>
      </c>
      <c r="T21" s="770">
        <f t="shared" si="3"/>
        <v>4.0417337575713461E-2</v>
      </c>
      <c r="U21" s="774">
        <f t="shared" si="6"/>
        <v>-7.3402061855671885E-3</v>
      </c>
      <c r="V21" s="132">
        <f t="shared" si="4"/>
        <v>1182.0134810095426</v>
      </c>
      <c r="W21" s="774">
        <f t="shared" si="7"/>
        <v>7.9008636419736655E-2</v>
      </c>
      <c r="X21" s="772">
        <f t="shared" si="5"/>
        <v>47.773837881006855</v>
      </c>
      <c r="Y21" s="774">
        <f t="shared" si="8"/>
        <v>7.1088490552408068E-2</v>
      </c>
    </row>
    <row r="22" spans="1:25">
      <c r="A22" s="25"/>
      <c r="B22" s="791" t="s">
        <v>755</v>
      </c>
      <c r="C22" s="784">
        <v>134095.02450670395</v>
      </c>
      <c r="D22" s="784">
        <v>5439.2623033708842</v>
      </c>
      <c r="E22" s="785">
        <v>6327240.0778475646</v>
      </c>
      <c r="F22" s="796">
        <v>4.0562745138235559E-2</v>
      </c>
      <c r="G22" s="803">
        <v>-1.3288243487638796E-2</v>
      </c>
      <c r="H22" s="794">
        <v>1163.2533466765103</v>
      </c>
      <c r="I22" s="803">
        <v>8.7701520825770762E-2</v>
      </c>
      <c r="J22" s="795">
        <v>47.184749032438859</v>
      </c>
      <c r="K22" s="803">
        <v>7.3247878175162873E-2</v>
      </c>
      <c r="L22" s="17"/>
      <c r="M22" s="18"/>
      <c r="P22" s="766" t="s">
        <v>757</v>
      </c>
      <c r="Q22" s="111">
        <f t="shared" si="0"/>
        <v>131407.94141534169</v>
      </c>
      <c r="R22" s="111">
        <f t="shared" si="1"/>
        <v>5313.3894462349526</v>
      </c>
      <c r="S22" s="112">
        <f t="shared" si="2"/>
        <v>6439542.2484146869</v>
      </c>
      <c r="T22" s="768">
        <f t="shared" si="3"/>
        <v>4.0434310050112561E-2</v>
      </c>
      <c r="U22" s="773">
        <f t="shared" si="6"/>
        <v>-3.4463801158868268E-4</v>
      </c>
      <c r="V22" s="775">
        <f t="shared" si="4"/>
        <v>1211.9462188072289</v>
      </c>
      <c r="W22" s="776">
        <f t="shared" si="7"/>
        <v>8.2239136263852375E-2</v>
      </c>
      <c r="X22" s="767">
        <f t="shared" si="5"/>
        <v>49.004209175313051</v>
      </c>
      <c r="Y22" s="773">
        <f t="shared" si="8"/>
        <v>8.1866155519866979E-2</v>
      </c>
    </row>
    <row r="23" spans="1:25">
      <c r="A23" s="25"/>
      <c r="B23" s="797" t="s">
        <v>756</v>
      </c>
      <c r="C23" s="788">
        <v>133077.79537766115</v>
      </c>
      <c r="D23" s="788">
        <v>5378.6501796106513</v>
      </c>
      <c r="E23" s="789">
        <v>6357637.021934188</v>
      </c>
      <c r="F23" s="798">
        <v>4.0417337575713461E-2</v>
      </c>
      <c r="G23" s="804">
        <v>-7.3402061855671885E-3</v>
      </c>
      <c r="H23" s="800">
        <v>1182.0134810095426</v>
      </c>
      <c r="I23" s="804">
        <v>7.9008636419736655E-2</v>
      </c>
      <c r="J23" s="801">
        <v>47.773837881006862</v>
      </c>
      <c r="K23" s="804">
        <v>7.108849055240829E-2</v>
      </c>
      <c r="L23" s="17"/>
      <c r="M23" s="18"/>
      <c r="P23" s="766" t="s">
        <v>758</v>
      </c>
      <c r="Q23" s="111">
        <f t="shared" si="0"/>
        <v>131063.15166440225</v>
      </c>
      <c r="R23" s="111">
        <f t="shared" si="1"/>
        <v>5238.4016615571591</v>
      </c>
      <c r="S23" s="112">
        <f t="shared" si="2"/>
        <v>6515999.6635299334</v>
      </c>
      <c r="T23" s="768">
        <f t="shared" si="3"/>
        <v>3.9968531162523149E-2</v>
      </c>
      <c r="U23" s="773">
        <f t="shared" si="6"/>
        <v>-1.0284515586039156E-2</v>
      </c>
      <c r="V23" s="775">
        <f t="shared" si="4"/>
        <v>1243.8908057296617</v>
      </c>
      <c r="W23" s="776">
        <f t="shared" si="7"/>
        <v>9.0933991089221289E-2</v>
      </c>
      <c r="X23" s="767">
        <f t="shared" si="5"/>
        <v>49.716488431582015</v>
      </c>
      <c r="Y23" s="773">
        <f t="shared" si="8"/>
        <v>7.9714263454524259E-2</v>
      </c>
    </row>
    <row r="24" spans="1:25">
      <c r="A24" s="25"/>
      <c r="B24" s="791" t="s">
        <v>757</v>
      </c>
      <c r="C24" s="784">
        <v>131407.94141534169</v>
      </c>
      <c r="D24" s="784">
        <v>5313.3894462349526</v>
      </c>
      <c r="E24" s="785">
        <v>6439542.2484146869</v>
      </c>
      <c r="F24" s="796">
        <v>4.0434310050112561E-2</v>
      </c>
      <c r="G24" s="803">
        <v>-3.4463801158868268E-4</v>
      </c>
      <c r="H24" s="775" t="s">
        <v>467</v>
      </c>
      <c r="I24" s="776" t="s">
        <v>467</v>
      </c>
      <c r="J24" s="795">
        <v>49.004209175313051</v>
      </c>
      <c r="K24" s="803">
        <v>8.1866155519866757E-2</v>
      </c>
      <c r="L24" s="17"/>
      <c r="M24" s="18"/>
      <c r="P24" s="766" t="s">
        <v>759</v>
      </c>
      <c r="Q24" s="111">
        <f t="shared" si="0"/>
        <v>130329.05981109288</v>
      </c>
      <c r="R24" s="111">
        <f t="shared" si="1"/>
        <v>5205.9538825910959</v>
      </c>
      <c r="S24" s="112">
        <f t="shared" si="2"/>
        <v>6580204.4572876375</v>
      </c>
      <c r="T24" s="768">
        <f t="shared" si="3"/>
        <v>3.9944689926689661E-2</v>
      </c>
      <c r="U24" s="773">
        <f t="shared" si="6"/>
        <v>-1.5237016366609346E-2</v>
      </c>
      <c r="V24" s="775">
        <f t="shared" si="4"/>
        <v>1263.9767093004966</v>
      </c>
      <c r="W24" s="776">
        <f t="shared" si="7"/>
        <v>8.6587640527112653E-2</v>
      </c>
      <c r="X24" s="767">
        <f t="shared" si="5"/>
        <v>50.489157727565896</v>
      </c>
      <c r="Y24" s="773">
        <f t="shared" si="8"/>
        <v>7.0031286864645548E-2</v>
      </c>
    </row>
    <row r="25" spans="1:25">
      <c r="A25" s="25"/>
      <c r="B25" s="791" t="s">
        <v>758</v>
      </c>
      <c r="C25" s="784">
        <v>131063.15166440225</v>
      </c>
      <c r="D25" s="784">
        <v>5238.4016615571591</v>
      </c>
      <c r="E25" s="785">
        <v>6515999.6635299334</v>
      </c>
      <c r="F25" s="796">
        <v>3.9968531162523149E-2</v>
      </c>
      <c r="G25" s="803">
        <v>-1.0284515586039156E-2</v>
      </c>
      <c r="H25" s="775" t="s">
        <v>467</v>
      </c>
      <c r="I25" s="776" t="s">
        <v>467</v>
      </c>
      <c r="J25" s="805">
        <v>49.716488431582015</v>
      </c>
      <c r="K25" s="806">
        <v>7.9714263454524259E-2</v>
      </c>
      <c r="L25" s="17"/>
      <c r="M25" s="18"/>
      <c r="P25" s="769" t="s">
        <v>760</v>
      </c>
      <c r="Q25" s="115">
        <f t="shared" si="0"/>
        <v>128823.03725315879</v>
      </c>
      <c r="R25" s="115">
        <f t="shared" si="1"/>
        <v>5153.0947132467472</v>
      </c>
      <c r="S25" s="116">
        <f t="shared" si="2"/>
        <v>6645041.8869806295</v>
      </c>
      <c r="T25" s="770">
        <f t="shared" si="3"/>
        <v>4.0001344659496382E-2</v>
      </c>
      <c r="U25" s="774">
        <f t="shared" si="6"/>
        <v>-1.0292437383778719E-2</v>
      </c>
      <c r="V25" s="777">
        <f t="shared" si="4"/>
        <v>1289.5245006653233</v>
      </c>
      <c r="W25" s="778">
        <f t="shared" si="7"/>
        <v>9.0955832046819785E-2</v>
      </c>
      <c r="X25" s="772">
        <f t="shared" si="5"/>
        <v>51.582713997978573</v>
      </c>
      <c r="Y25" s="774">
        <f t="shared" si="8"/>
        <v>7.9727237457009714E-2</v>
      </c>
    </row>
    <row r="26" spans="1:25">
      <c r="A26" s="25"/>
      <c r="B26" s="791" t="s">
        <v>759</v>
      </c>
      <c r="C26" s="784">
        <v>130329.05981109288</v>
      </c>
      <c r="D26" s="784">
        <v>5205.9538825910959</v>
      </c>
      <c r="E26" s="785">
        <v>6580204.4572876375</v>
      </c>
      <c r="F26" s="796">
        <v>3.9944689926689661E-2</v>
      </c>
      <c r="G26" s="803">
        <v>-1.5237016366609346E-2</v>
      </c>
      <c r="H26" s="775" t="s">
        <v>467</v>
      </c>
      <c r="I26" s="776" t="s">
        <v>467</v>
      </c>
      <c r="J26" s="795">
        <v>50.489157727565889</v>
      </c>
      <c r="K26" s="803">
        <v>7.0031286864645548E-2</v>
      </c>
      <c r="L26" s="17"/>
      <c r="M26" s="18"/>
      <c r="X26"/>
    </row>
    <row r="27" spans="1:25">
      <c r="A27" s="25"/>
      <c r="B27" s="797" t="s">
        <v>760</v>
      </c>
      <c r="C27" s="788">
        <v>128823.03725315879</v>
      </c>
      <c r="D27" s="788">
        <v>5153.0947132467472</v>
      </c>
      <c r="E27" s="789">
        <v>6645041.8869806295</v>
      </c>
      <c r="F27" s="798">
        <v>4.0001344659496382E-2</v>
      </c>
      <c r="G27" s="804">
        <v>-1.0292437383778719E-2</v>
      </c>
      <c r="H27" s="777" t="s">
        <v>467</v>
      </c>
      <c r="I27" s="778" t="s">
        <v>467</v>
      </c>
      <c r="J27" s="801">
        <v>51.582713997978573</v>
      </c>
      <c r="K27" s="804">
        <v>7.9727237457009492E-2</v>
      </c>
      <c r="L27" s="17"/>
      <c r="M27" s="18"/>
      <c r="V27" s="291" t="s">
        <v>765</v>
      </c>
      <c r="X27"/>
    </row>
    <row r="28" spans="1:25">
      <c r="A28" s="25"/>
      <c r="B28" s="17"/>
      <c r="C28" s="17"/>
      <c r="D28" s="17"/>
      <c r="E28" s="17"/>
      <c r="F28" s="17"/>
      <c r="G28" s="17"/>
      <c r="H28" s="17"/>
      <c r="I28" s="17"/>
      <c r="J28" s="17"/>
      <c r="K28" s="17"/>
      <c r="L28" s="17"/>
      <c r="M28" s="18"/>
      <c r="N28" s="31"/>
      <c r="O28" s="48"/>
      <c r="P28" s="808"/>
      <c r="Q28"/>
      <c r="R28"/>
      <c r="S28"/>
      <c r="T28"/>
      <c r="U28"/>
      <c r="V28"/>
      <c r="W28"/>
      <c r="X28"/>
    </row>
    <row r="29" spans="1:25">
      <c r="A29" s="25"/>
      <c r="B29" s="17"/>
      <c r="C29" s="17"/>
      <c r="D29" s="17"/>
      <c r="E29" s="17"/>
      <c r="F29" s="17"/>
      <c r="G29" s="17"/>
      <c r="H29" s="17"/>
      <c r="I29" s="17"/>
      <c r="J29" s="17"/>
      <c r="K29" s="17"/>
      <c r="L29" s="17"/>
      <c r="M29" s="18"/>
      <c r="N29" s="31"/>
      <c r="O29" s="48" t="s">
        <v>3</v>
      </c>
      <c r="P29" s="808" t="s">
        <v>767</v>
      </c>
      <c r="Q29"/>
      <c r="R29"/>
      <c r="S29"/>
      <c r="T29"/>
      <c r="U29"/>
      <c r="V29"/>
      <c r="W29"/>
      <c r="X29"/>
    </row>
    <row r="30" spans="1:25">
      <c r="A30" s="25" t="s">
        <v>3</v>
      </c>
      <c r="B30" s="17" t="s">
        <v>766</v>
      </c>
      <c r="C30" s="17"/>
      <c r="D30" s="17"/>
      <c r="E30" s="17"/>
      <c r="F30" s="17"/>
      <c r="G30" s="17"/>
      <c r="H30" s="17"/>
      <c r="I30" s="17"/>
      <c r="J30" s="17"/>
      <c r="K30" s="17"/>
      <c r="L30" s="17"/>
      <c r="M30" s="18"/>
      <c r="N30" s="31"/>
      <c r="O30"/>
      <c r="P30"/>
      <c r="Q30"/>
      <c r="R30"/>
      <c r="S30"/>
      <c r="T30"/>
      <c r="U30"/>
      <c r="V30"/>
      <c r="W30"/>
      <c r="X30"/>
      <c r="Y30"/>
    </row>
    <row r="31" spans="1:25" ht="15.75" thickBot="1">
      <c r="A31" s="9">
        <f>INDEX('Point Grid'!$C$8:$I$54,MATCH($A$1,'Point Grid'!$A$8:$A$54,0),MATCH(A30,'Point Grid'!$C$7:$I$7,0))</f>
        <v>0.75</v>
      </c>
      <c r="B31" s="17"/>
      <c r="C31" s="17"/>
      <c r="D31" s="17"/>
      <c r="E31" s="17"/>
      <c r="F31" s="17"/>
      <c r="G31" s="17"/>
      <c r="H31" s="17"/>
      <c r="I31" s="17"/>
      <c r="J31" s="17"/>
      <c r="K31" s="17"/>
      <c r="L31" s="17"/>
      <c r="M31" s="18"/>
      <c r="N31" s="31"/>
      <c r="O31"/>
      <c r="P31" t="s">
        <v>768</v>
      </c>
      <c r="Q31"/>
      <c r="R31"/>
      <c r="S31"/>
      <c r="T31"/>
      <c r="U31"/>
      <c r="V31"/>
      <c r="W31"/>
      <c r="X31"/>
      <c r="Y31"/>
    </row>
    <row r="32" spans="1:25" ht="15.75" thickBot="1">
      <c r="A32" s="5"/>
      <c r="B32" s="17"/>
      <c r="C32" s="17"/>
      <c r="D32" s="17"/>
      <c r="E32" s="17"/>
      <c r="F32" s="17"/>
      <c r="G32" s="17"/>
      <c r="H32" s="17"/>
      <c r="I32" s="17"/>
      <c r="J32" s="17"/>
      <c r="K32" s="17"/>
      <c r="L32" s="28"/>
      <c r="M32" s="18"/>
      <c r="N32" s="31"/>
      <c r="O32"/>
      <c r="P32"/>
      <c r="Q32"/>
      <c r="R32"/>
      <c r="S32"/>
      <c r="T32"/>
      <c r="U32"/>
      <c r="V32"/>
      <c r="W32"/>
      <c r="X32"/>
      <c r="Y32"/>
    </row>
    <row r="33" spans="1:25">
      <c r="A33" s="25"/>
      <c r="B33" s="17"/>
      <c r="C33" s="17"/>
      <c r="D33" s="17"/>
      <c r="E33" s="17"/>
      <c r="F33" s="17"/>
      <c r="G33" s="17"/>
      <c r="H33" s="17"/>
      <c r="I33" s="17"/>
      <c r="J33" s="17"/>
      <c r="K33" s="17"/>
      <c r="L33" s="28"/>
      <c r="M33" s="18"/>
      <c r="N33" s="31"/>
      <c r="O33" s="48"/>
      <c r="P33" s="1" t="s">
        <v>769</v>
      </c>
      <c r="Q33"/>
      <c r="R33"/>
      <c r="S33"/>
      <c r="T33"/>
      <c r="U33"/>
      <c r="V33"/>
      <c r="W33"/>
      <c r="X33"/>
      <c r="Y33"/>
    </row>
    <row r="34" spans="1:25">
      <c r="A34" s="25"/>
      <c r="B34" s="17"/>
      <c r="C34" s="17"/>
      <c r="D34" s="17"/>
      <c r="E34" s="17"/>
      <c r="F34" s="17"/>
      <c r="G34" s="17"/>
      <c r="H34" s="17"/>
      <c r="I34" s="17"/>
      <c r="J34" s="17"/>
      <c r="K34" s="17"/>
      <c r="L34" s="28"/>
      <c r="M34" s="18"/>
      <c r="N34" s="31"/>
      <c r="O34"/>
      <c r="P34" s="749" t="s">
        <v>772</v>
      </c>
      <c r="Q34" t="s">
        <v>770</v>
      </c>
      <c r="R34"/>
      <c r="S34"/>
      <c r="T34"/>
      <c r="U34"/>
      <c r="V34"/>
      <c r="W34"/>
      <c r="X34"/>
      <c r="Y34"/>
    </row>
    <row r="35" spans="1:25">
      <c r="A35" s="25"/>
      <c r="B35" s="17"/>
      <c r="C35" s="17"/>
      <c r="D35" s="17"/>
      <c r="E35" s="17"/>
      <c r="F35" s="17"/>
      <c r="G35" s="17"/>
      <c r="H35" s="17"/>
      <c r="I35" s="17"/>
      <c r="J35" s="17"/>
      <c r="K35" s="17"/>
      <c r="L35" s="28"/>
      <c r="M35" s="18"/>
      <c r="N35" s="31"/>
      <c r="O35"/>
      <c r="P35"/>
      <c r="Q35"/>
      <c r="R35"/>
      <c r="S35"/>
      <c r="T35"/>
      <c r="U35"/>
      <c r="V35"/>
      <c r="W35"/>
      <c r="X35"/>
      <c r="Y35"/>
    </row>
    <row r="36" spans="1:25">
      <c r="A36" s="25"/>
      <c r="B36" s="17"/>
      <c r="C36" s="17"/>
      <c r="D36" s="17"/>
      <c r="E36" s="17"/>
      <c r="F36" s="17"/>
      <c r="G36" s="17"/>
      <c r="H36" s="17"/>
      <c r="I36" s="17"/>
      <c r="J36" s="17"/>
      <c r="K36" s="17"/>
      <c r="L36" s="28"/>
      <c r="M36" s="18"/>
      <c r="N36" s="31"/>
      <c r="O36" s="48"/>
      <c r="P36" s="1" t="s">
        <v>771</v>
      </c>
      <c r="Q36"/>
      <c r="R36"/>
      <c r="S36"/>
      <c r="T36"/>
      <c r="U36"/>
      <c r="V36"/>
      <c r="W36"/>
      <c r="X36"/>
      <c r="Y36"/>
    </row>
    <row r="37" spans="1:25">
      <c r="A37" s="25"/>
      <c r="B37" s="17"/>
      <c r="C37" s="17"/>
      <c r="D37" s="17"/>
      <c r="E37" s="17"/>
      <c r="F37" s="17"/>
      <c r="G37" s="17"/>
      <c r="H37" s="17"/>
      <c r="I37" s="17"/>
      <c r="J37" s="17"/>
      <c r="K37" s="17"/>
      <c r="L37" s="28"/>
      <c r="M37" s="18"/>
      <c r="N37" s="31"/>
      <c r="O37"/>
      <c r="P37" s="749" t="s">
        <v>772</v>
      </c>
      <c r="Q37" t="s">
        <v>773</v>
      </c>
      <c r="R37"/>
      <c r="S37"/>
      <c r="T37"/>
      <c r="U37"/>
      <c r="V37"/>
      <c r="W37"/>
      <c r="X37"/>
      <c r="Y37"/>
    </row>
    <row r="38" spans="1:25" ht="15" customHeight="1">
      <c r="A38" s="25"/>
      <c r="B38" s="17"/>
      <c r="C38" s="17"/>
      <c r="D38" s="17"/>
      <c r="E38" s="17"/>
      <c r="F38" s="17"/>
      <c r="G38" s="17"/>
      <c r="H38" s="17"/>
      <c r="I38" s="17"/>
      <c r="J38" s="17"/>
      <c r="K38" s="17"/>
      <c r="L38" s="28"/>
      <c r="M38" s="18"/>
      <c r="N38" s="31"/>
      <c r="O38"/>
      <c r="P38"/>
      <c r="Q38"/>
      <c r="R38"/>
      <c r="S38"/>
      <c r="T38"/>
      <c r="U38"/>
      <c r="V38"/>
      <c r="W38"/>
      <c r="X38"/>
      <c r="Y38"/>
    </row>
    <row r="39" spans="1:25" ht="15" customHeight="1">
      <c r="A39" s="25"/>
      <c r="B39" s="17"/>
      <c r="C39" s="17"/>
      <c r="D39" s="17"/>
      <c r="E39" s="17"/>
      <c r="F39" s="17"/>
      <c r="G39" s="17"/>
      <c r="H39" s="17"/>
      <c r="I39" s="17"/>
      <c r="J39" s="17"/>
      <c r="K39" s="17"/>
      <c r="L39" s="28"/>
      <c r="M39" s="18"/>
      <c r="N39" s="31"/>
      <c r="O39"/>
      <c r="P39" t="s">
        <v>774</v>
      </c>
      <c r="Q39"/>
      <c r="R39"/>
      <c r="S39"/>
      <c r="T39"/>
      <c r="U39"/>
      <c r="V39"/>
      <c r="W39"/>
      <c r="X39"/>
      <c r="Y39"/>
    </row>
    <row r="40" spans="1:25" ht="15" customHeight="1">
      <c r="A40" s="25"/>
      <c r="B40" s="17"/>
      <c r="C40" s="17"/>
      <c r="D40" s="17"/>
      <c r="E40" s="17"/>
      <c r="F40" s="17"/>
      <c r="G40" s="17"/>
      <c r="H40" s="17"/>
      <c r="I40" s="17"/>
      <c r="J40" s="17"/>
      <c r="K40" s="17"/>
      <c r="L40" s="28"/>
      <c r="M40" s="18"/>
      <c r="N40" s="31"/>
      <c r="O40"/>
      <c r="P40" s="749" t="s">
        <v>772</v>
      </c>
      <c r="Q40" t="s">
        <v>775</v>
      </c>
      <c r="R40"/>
      <c r="S40"/>
      <c r="T40"/>
      <c r="U40"/>
      <c r="V40"/>
      <c r="W40"/>
      <c r="X40"/>
      <c r="Y40"/>
    </row>
    <row r="41" spans="1:25" ht="15" customHeight="1">
      <c r="A41" s="25"/>
      <c r="B41" s="17"/>
      <c r="C41" s="119"/>
      <c r="D41" s="119"/>
      <c r="E41" s="119"/>
      <c r="F41" s="119"/>
      <c r="G41" s="119"/>
      <c r="H41" s="119"/>
      <c r="I41" s="119"/>
      <c r="J41" s="119"/>
      <c r="K41" s="28"/>
      <c r="L41" s="28"/>
      <c r="M41" s="18"/>
      <c r="N41" s="31"/>
      <c r="O41"/>
      <c r="P41"/>
      <c r="Q41"/>
      <c r="R41"/>
      <c r="S41"/>
      <c r="T41"/>
      <c r="U41"/>
      <c r="V41"/>
      <c r="W41"/>
      <c r="X41"/>
      <c r="Y41"/>
    </row>
    <row r="42" spans="1:25" ht="15" customHeight="1">
      <c r="A42" s="25"/>
      <c r="B42" s="17"/>
      <c r="C42" s="28"/>
      <c r="D42" s="28"/>
      <c r="E42" s="28"/>
      <c r="F42" s="28"/>
      <c r="G42" s="28"/>
      <c r="H42" s="28"/>
      <c r="I42" s="28"/>
      <c r="J42" s="28"/>
      <c r="K42" s="28"/>
      <c r="L42" s="28"/>
      <c r="M42" s="18"/>
      <c r="N42" s="31"/>
      <c r="O42"/>
      <c r="P42"/>
      <c r="Q42"/>
      <c r="R42"/>
      <c r="S42"/>
      <c r="T42"/>
      <c r="U42"/>
      <c r="V42"/>
      <c r="W42"/>
      <c r="X42"/>
      <c r="Y42"/>
    </row>
    <row r="43" spans="1:25" ht="15" customHeight="1">
      <c r="A43" s="25"/>
      <c r="B43" s="17"/>
      <c r="C43" s="28"/>
      <c r="D43" s="28"/>
      <c r="E43" s="28"/>
      <c r="F43" s="28"/>
      <c r="G43" s="28"/>
      <c r="H43" s="28"/>
      <c r="I43" s="28"/>
      <c r="J43" s="28"/>
      <c r="K43" s="28"/>
      <c r="L43" s="28"/>
      <c r="M43" s="18"/>
      <c r="N43" s="31"/>
      <c r="O43"/>
      <c r="P43"/>
      <c r="Q43"/>
      <c r="R43"/>
      <c r="S43"/>
      <c r="T43"/>
      <c r="U43"/>
      <c r="V43"/>
      <c r="W43"/>
      <c r="X43"/>
      <c r="Y43"/>
    </row>
    <row r="44" spans="1:25" ht="15" customHeight="1">
      <c r="A44" s="25"/>
      <c r="B44" s="17"/>
      <c r="C44" s="28"/>
      <c r="D44" s="28"/>
      <c r="E44" s="28"/>
      <c r="F44" s="28"/>
      <c r="G44" s="28"/>
      <c r="H44" s="28"/>
      <c r="I44" s="28"/>
      <c r="J44" s="28"/>
      <c r="K44" s="28"/>
      <c r="L44" s="28"/>
      <c r="M44" s="18"/>
      <c r="N44" s="31"/>
      <c r="O44"/>
      <c r="P44"/>
      <c r="Q44"/>
      <c r="R44"/>
      <c r="S44" s="108"/>
      <c r="T44"/>
      <c r="U44"/>
      <c r="V44"/>
      <c r="W44"/>
      <c r="X44"/>
      <c r="Y44"/>
    </row>
    <row r="45" spans="1:25" ht="15" customHeight="1">
      <c r="A45" s="25"/>
      <c r="B45" s="17"/>
      <c r="C45" s="28"/>
      <c r="D45" s="28"/>
      <c r="E45" s="28"/>
      <c r="F45" s="28"/>
      <c r="G45" s="28"/>
      <c r="H45" s="28"/>
      <c r="I45" s="28"/>
      <c r="J45" s="28"/>
      <c r="K45" s="28"/>
      <c r="L45" s="28"/>
      <c r="M45" s="18"/>
      <c r="N45" s="31"/>
      <c r="O45"/>
      <c r="P45"/>
      <c r="Q45"/>
      <c r="R45"/>
      <c r="S45" s="108"/>
      <c r="T45"/>
      <c r="U45" s="108"/>
      <c r="V45"/>
      <c r="W45"/>
      <c r="X45"/>
      <c r="Y45"/>
    </row>
    <row r="46" spans="1:25" ht="15" customHeight="1">
      <c r="A46" s="25"/>
      <c r="B46" s="17"/>
      <c r="C46" s="28"/>
      <c r="D46" s="28"/>
      <c r="E46" s="28"/>
      <c r="F46" s="28"/>
      <c r="G46" s="28"/>
      <c r="H46" s="28"/>
      <c r="I46" s="28"/>
      <c r="J46" s="28"/>
      <c r="K46" s="28"/>
      <c r="L46" s="28"/>
      <c r="M46" s="18"/>
      <c r="N46" s="31"/>
      <c r="O46"/>
      <c r="P46"/>
      <c r="Q46"/>
      <c r="R46"/>
      <c r="S46"/>
      <c r="T46"/>
      <c r="U46"/>
      <c r="V46"/>
      <c r="W46"/>
      <c r="X46"/>
      <c r="Y46"/>
    </row>
    <row r="47" spans="1:25" ht="15" customHeight="1">
      <c r="A47" s="25"/>
      <c r="B47" s="17"/>
      <c r="C47" s="28"/>
      <c r="D47" s="28"/>
      <c r="E47" s="28"/>
      <c r="F47" s="28"/>
      <c r="G47" s="28"/>
      <c r="H47" s="28"/>
      <c r="I47" s="28"/>
      <c r="J47" s="28"/>
      <c r="K47" s="28"/>
      <c r="L47" s="28"/>
      <c r="M47" s="18"/>
      <c r="N47" s="31"/>
      <c r="O47"/>
      <c r="P47"/>
      <c r="Q47"/>
      <c r="R47"/>
      <c r="S47"/>
      <c r="T47"/>
      <c r="U47"/>
      <c r="V47"/>
      <c r="W47"/>
      <c r="X47"/>
      <c r="Y47"/>
    </row>
    <row r="48" spans="1:25" ht="15" customHeight="1">
      <c r="A48" s="25"/>
      <c r="B48" s="17"/>
      <c r="C48" s="28"/>
      <c r="D48" s="28"/>
      <c r="E48" s="28"/>
      <c r="F48" s="28"/>
      <c r="G48" s="28"/>
      <c r="H48" s="28"/>
      <c r="I48" s="28"/>
      <c r="J48" s="28"/>
      <c r="K48" s="28"/>
      <c r="L48" s="28"/>
      <c r="M48" s="18"/>
      <c r="N48" s="31"/>
      <c r="O48"/>
      <c r="P48"/>
      <c r="Q48"/>
      <c r="R48"/>
      <c r="S48"/>
      <c r="T48"/>
      <c r="U48"/>
      <c r="V48"/>
      <c r="W48"/>
      <c r="X48"/>
      <c r="Y48"/>
    </row>
    <row r="49" spans="1:25" ht="15" customHeight="1">
      <c r="A49" s="22"/>
      <c r="B49" s="17"/>
      <c r="C49" s="17"/>
      <c r="D49" s="17"/>
      <c r="E49" s="17"/>
      <c r="F49" s="17"/>
      <c r="G49" s="17"/>
      <c r="H49" s="17"/>
      <c r="I49" s="17"/>
      <c r="J49" s="17"/>
      <c r="K49" s="17"/>
      <c r="L49" s="17"/>
      <c r="M49" s="18"/>
      <c r="N49" s="31"/>
      <c r="O49"/>
      <c r="P49"/>
      <c r="Q49"/>
      <c r="R49"/>
      <c r="S49"/>
      <c r="T49"/>
      <c r="U49"/>
      <c r="V49"/>
      <c r="W49"/>
      <c r="X49"/>
      <c r="Y49"/>
    </row>
    <row r="50" spans="1:25" ht="15" customHeight="1" thickBot="1">
      <c r="A50" s="24"/>
      <c r="B50" s="32"/>
      <c r="C50" s="32"/>
      <c r="D50" s="32"/>
      <c r="E50" s="32"/>
      <c r="F50" s="32"/>
      <c r="G50" s="32"/>
      <c r="H50" s="32"/>
      <c r="I50" s="32"/>
      <c r="J50" s="32"/>
      <c r="K50" s="32"/>
      <c r="L50" s="32"/>
      <c r="M50" s="33"/>
      <c r="N50" s="31"/>
      <c r="O50"/>
      <c r="P50"/>
      <c r="Q50"/>
      <c r="R50"/>
      <c r="S50"/>
      <c r="T50"/>
      <c r="U50"/>
      <c r="V50"/>
      <c r="W50"/>
      <c r="X50"/>
      <c r="Y50"/>
    </row>
    <row r="51" spans="1:25" ht="15" customHeight="1">
      <c r="B51" s="31"/>
      <c r="C51" s="31"/>
      <c r="D51" s="31"/>
      <c r="E51" s="31"/>
      <c r="F51" s="31"/>
      <c r="G51" s="31"/>
      <c r="H51" s="31"/>
      <c r="I51" s="31"/>
      <c r="J51" s="31"/>
      <c r="K51" s="31"/>
      <c r="L51" s="31"/>
      <c r="M51" s="31"/>
      <c r="N51" s="31"/>
      <c r="O51"/>
      <c r="P51"/>
      <c r="Q51"/>
      <c r="R51"/>
      <c r="S51"/>
      <c r="T51"/>
      <c r="U51"/>
      <c r="V51"/>
      <c r="W51"/>
      <c r="X51"/>
      <c r="Y51"/>
    </row>
    <row r="52" spans="1:25" ht="15" customHeight="1">
      <c r="N52" s="31"/>
      <c r="O52"/>
      <c r="P52"/>
      <c r="Q52"/>
      <c r="R52"/>
      <c r="S52"/>
      <c r="T52"/>
      <c r="U52"/>
      <c r="V52"/>
      <c r="W52"/>
      <c r="X52"/>
      <c r="Y52"/>
    </row>
    <row r="53" spans="1:25" ht="15" customHeight="1">
      <c r="N53" s="31"/>
      <c r="O53" s="48"/>
      <c r="P53" s="1"/>
      <c r="Q53"/>
      <c r="R53"/>
      <c r="S53"/>
      <c r="T53"/>
      <c r="U53"/>
      <c r="V53"/>
      <c r="W53"/>
      <c r="X53"/>
      <c r="Y53"/>
    </row>
    <row r="54" spans="1:25" ht="15" customHeight="1">
      <c r="N54" s="31"/>
      <c r="O54"/>
      <c r="P54"/>
      <c r="Q54"/>
      <c r="R54"/>
      <c r="S54"/>
      <c r="T54"/>
      <c r="U54"/>
      <c r="V54"/>
      <c r="W54"/>
      <c r="X54"/>
      <c r="Y54"/>
    </row>
    <row r="55" spans="1:25" ht="15" customHeight="1">
      <c r="N55" s="31"/>
      <c r="O55" s="48"/>
      <c r="P55"/>
      <c r="Q55"/>
      <c r="R55"/>
      <c r="S55"/>
      <c r="T55"/>
      <c r="U55"/>
      <c r="V55"/>
      <c r="W55"/>
      <c r="X55"/>
      <c r="Y55"/>
    </row>
    <row r="56" spans="1:25" ht="15" customHeight="1">
      <c r="N56" s="31"/>
      <c r="O56"/>
      <c r="P56"/>
      <c r="Q56"/>
      <c r="R56"/>
      <c r="S56"/>
      <c r="T56"/>
      <c r="U56"/>
      <c r="V56"/>
      <c r="W56"/>
      <c r="X56"/>
      <c r="Y56"/>
    </row>
    <row r="57" spans="1:25" ht="15" customHeight="1">
      <c r="N57" s="31"/>
      <c r="O57"/>
      <c r="P57"/>
      <c r="Q57"/>
      <c r="R57"/>
      <c r="S57"/>
      <c r="T57"/>
      <c r="U57"/>
      <c r="V57"/>
      <c r="W57"/>
      <c r="X57"/>
      <c r="Y57"/>
    </row>
    <row r="58" spans="1:25" ht="15" customHeight="1">
      <c r="N58" s="31"/>
      <c r="O58"/>
      <c r="P58"/>
      <c r="Q58"/>
      <c r="R58"/>
      <c r="S58"/>
      <c r="T58"/>
      <c r="U58"/>
      <c r="V58"/>
      <c r="W58"/>
      <c r="X58"/>
      <c r="Y58"/>
    </row>
    <row r="59" spans="1:25" ht="15" customHeight="1">
      <c r="N59" s="31"/>
      <c r="O59"/>
      <c r="P59"/>
      <c r="Q59"/>
      <c r="R59"/>
      <c r="S59"/>
      <c r="T59"/>
      <c r="U59"/>
      <c r="V59"/>
      <c r="W59"/>
      <c r="X59"/>
      <c r="Y59"/>
    </row>
    <row r="60" spans="1:25" ht="15" customHeight="1">
      <c r="N60" s="31"/>
      <c r="O60"/>
      <c r="P60"/>
      <c r="Q60"/>
      <c r="R60"/>
      <c r="S60"/>
      <c r="T60"/>
      <c r="U60"/>
      <c r="V60"/>
      <c r="W60"/>
      <c r="X60"/>
      <c r="Y60"/>
    </row>
    <row r="61" spans="1:25" ht="15" customHeight="1">
      <c r="N61" s="31"/>
      <c r="O61"/>
      <c r="P61"/>
      <c r="Q61"/>
      <c r="R61"/>
      <c r="S61"/>
      <c r="T61"/>
      <c r="U61"/>
      <c r="V61"/>
      <c r="W61"/>
      <c r="X61"/>
      <c r="Y61"/>
    </row>
    <row r="62" spans="1:25" ht="15" customHeight="1">
      <c r="N62" s="31"/>
      <c r="O62"/>
      <c r="P62"/>
      <c r="Q62"/>
      <c r="R62"/>
      <c r="S62"/>
      <c r="T62"/>
      <c r="U62"/>
      <c r="V62"/>
      <c r="W62"/>
      <c r="X62"/>
      <c r="Y62"/>
    </row>
    <row r="63" spans="1:25" ht="15" customHeight="1">
      <c r="N63" s="31"/>
      <c r="O63"/>
      <c r="P63"/>
      <c r="Q63"/>
      <c r="R63"/>
      <c r="S63"/>
      <c r="T63"/>
      <c r="U63"/>
      <c r="V63"/>
      <c r="W63"/>
      <c r="X63"/>
      <c r="Y63"/>
    </row>
    <row r="64" spans="1:25" ht="15" customHeight="1">
      <c r="N64" s="31"/>
      <c r="O64"/>
      <c r="P64"/>
      <c r="Q64"/>
      <c r="R64"/>
      <c r="S64"/>
      <c r="T64"/>
      <c r="U64"/>
      <c r="V64"/>
      <c r="W64"/>
      <c r="X64"/>
      <c r="Y64"/>
    </row>
    <row r="65" spans="2:25" ht="15" customHeight="1">
      <c r="N65" s="31"/>
      <c r="O65"/>
      <c r="P65"/>
      <c r="Q65"/>
      <c r="R65"/>
      <c r="S65"/>
      <c r="T65"/>
      <c r="U65"/>
      <c r="V65"/>
      <c r="W65"/>
      <c r="X65"/>
      <c r="Y65"/>
    </row>
    <row r="66" spans="2:25" ht="15" customHeight="1">
      <c r="B66" s="31"/>
      <c r="C66" s="31"/>
      <c r="D66" s="31"/>
      <c r="E66" s="31"/>
      <c r="F66" s="31"/>
      <c r="G66" s="31"/>
      <c r="H66" s="31"/>
      <c r="I66" s="31"/>
      <c r="J66" s="31"/>
      <c r="K66" s="31"/>
      <c r="L66" s="31"/>
      <c r="M66" s="31"/>
      <c r="N66" s="31"/>
      <c r="O66"/>
      <c r="P66"/>
      <c r="Q66"/>
      <c r="R66"/>
      <c r="S66"/>
      <c r="T66"/>
      <c r="U66"/>
      <c r="V66"/>
      <c r="W66"/>
      <c r="X66"/>
      <c r="Y66"/>
    </row>
    <row r="67" spans="2:25" ht="15" customHeight="1">
      <c r="B67" s="31"/>
      <c r="C67" s="31"/>
      <c r="D67" s="31"/>
      <c r="E67" s="31"/>
      <c r="F67" s="31"/>
      <c r="G67" s="31"/>
      <c r="H67" s="31"/>
      <c r="I67" s="31"/>
      <c r="J67" s="31"/>
      <c r="K67" s="31"/>
      <c r="L67" s="31"/>
      <c r="M67" s="31"/>
      <c r="N67" s="31"/>
      <c r="O67"/>
      <c r="P67"/>
      <c r="Q67"/>
      <c r="R67"/>
      <c r="S67"/>
      <c r="T67"/>
      <c r="U67"/>
      <c r="V67"/>
      <c r="W67"/>
      <c r="X67"/>
      <c r="Y67"/>
    </row>
    <row r="68" spans="2:25" ht="15" customHeight="1">
      <c r="B68" s="31"/>
      <c r="C68" s="31"/>
      <c r="D68" s="31"/>
      <c r="E68" s="31"/>
      <c r="F68" s="31"/>
      <c r="G68" s="31"/>
      <c r="H68" s="31"/>
      <c r="I68" s="31"/>
      <c r="J68" s="31"/>
      <c r="K68" s="31"/>
      <c r="L68" s="31"/>
      <c r="M68" s="31"/>
      <c r="N68" s="31"/>
      <c r="O68"/>
      <c r="P68"/>
      <c r="Q68"/>
      <c r="R68"/>
      <c r="S68"/>
      <c r="T68"/>
      <c r="U68"/>
      <c r="V68"/>
      <c r="W68"/>
      <c r="X68"/>
      <c r="Y68"/>
    </row>
    <row r="69" spans="2:25" ht="15" customHeight="1">
      <c r="B69" s="31"/>
      <c r="C69" s="31"/>
      <c r="D69" s="31"/>
      <c r="E69" s="31"/>
      <c r="F69" s="31"/>
      <c r="G69" s="31"/>
      <c r="H69" s="31"/>
      <c r="I69" s="31"/>
      <c r="J69" s="31"/>
      <c r="K69" s="31"/>
      <c r="L69" s="31"/>
      <c r="M69" s="31"/>
      <c r="N69" s="31"/>
      <c r="O69"/>
      <c r="P69"/>
      <c r="Q69"/>
      <c r="R69"/>
      <c r="S69"/>
      <c r="T69"/>
      <c r="U69"/>
      <c r="V69"/>
      <c r="W69"/>
      <c r="X69"/>
      <c r="Y69"/>
    </row>
    <row r="70" spans="2:25" ht="15" customHeight="1">
      <c r="B70" s="31"/>
      <c r="C70" s="31"/>
      <c r="D70" s="31"/>
      <c r="E70" s="31"/>
      <c r="F70" s="31"/>
      <c r="G70" s="31"/>
      <c r="H70" s="31"/>
      <c r="I70" s="31"/>
      <c r="J70" s="31"/>
      <c r="K70" s="31"/>
      <c r="L70" s="31"/>
      <c r="M70" s="31"/>
      <c r="N70" s="31"/>
      <c r="O70"/>
      <c r="P70"/>
      <c r="Q70"/>
      <c r="R70"/>
      <c r="S70"/>
      <c r="T70"/>
      <c r="U70"/>
      <c r="V70"/>
      <c r="W70"/>
      <c r="X70"/>
      <c r="Y70"/>
    </row>
    <row r="71" spans="2:25" ht="15" customHeight="1">
      <c r="B71" s="31"/>
      <c r="C71" s="31"/>
      <c r="D71" s="31"/>
      <c r="E71" s="31"/>
      <c r="F71" s="31"/>
      <c r="G71" s="31"/>
      <c r="H71" s="31"/>
      <c r="I71" s="31"/>
      <c r="J71" s="31"/>
      <c r="K71" s="31"/>
      <c r="L71" s="31"/>
      <c r="M71" s="31"/>
      <c r="N71" s="31"/>
    </row>
    <row r="72" spans="2:25" ht="15" customHeight="1">
      <c r="B72" s="31"/>
      <c r="C72" s="31"/>
      <c r="D72" s="31"/>
      <c r="E72" s="31"/>
      <c r="F72" s="31"/>
      <c r="G72" s="31"/>
      <c r="H72" s="31"/>
      <c r="I72" s="31"/>
      <c r="J72" s="31"/>
      <c r="K72" s="31"/>
      <c r="L72" s="31"/>
      <c r="M72" s="31"/>
      <c r="N72" s="31"/>
    </row>
    <row r="73" spans="2:25" ht="15" customHeight="1">
      <c r="B73" s="31"/>
      <c r="C73" s="31"/>
      <c r="D73" s="31"/>
      <c r="E73" s="31"/>
      <c r="F73" s="31"/>
      <c r="G73" s="31"/>
      <c r="H73" s="31"/>
      <c r="I73" s="31"/>
      <c r="J73" s="31"/>
      <c r="K73" s="31"/>
      <c r="L73" s="31"/>
      <c r="M73" s="31"/>
      <c r="N73" s="31"/>
    </row>
    <row r="74" spans="2:25" ht="15" customHeight="1">
      <c r="B74" s="31"/>
      <c r="C74" s="31"/>
      <c r="D74" s="31"/>
      <c r="E74" s="31"/>
      <c r="F74" s="31"/>
      <c r="G74" s="31"/>
      <c r="H74" s="31"/>
      <c r="I74" s="31"/>
      <c r="J74" s="31"/>
      <c r="K74" s="31"/>
      <c r="L74" s="31"/>
      <c r="M74" s="31"/>
      <c r="N74" s="31"/>
    </row>
    <row r="75" spans="2:25" ht="15" customHeight="1">
      <c r="B75" s="31"/>
      <c r="C75" s="31"/>
      <c r="D75" s="31"/>
      <c r="E75" s="31"/>
      <c r="F75" s="31"/>
      <c r="G75" s="31"/>
      <c r="H75" s="31"/>
      <c r="I75" s="31"/>
      <c r="J75" s="31"/>
      <c r="K75" s="31"/>
      <c r="L75" s="31"/>
      <c r="M75" s="31"/>
      <c r="N75" s="31"/>
    </row>
    <row r="76" spans="2:25" ht="15" customHeight="1">
      <c r="B76" s="31"/>
      <c r="C76" s="31"/>
      <c r="D76" s="31"/>
      <c r="E76" s="31"/>
      <c r="F76" s="31"/>
      <c r="G76" s="31"/>
      <c r="H76" s="31"/>
      <c r="I76" s="31"/>
      <c r="J76" s="31"/>
      <c r="K76" s="31"/>
      <c r="L76" s="31"/>
      <c r="M76" s="31"/>
      <c r="N76" s="31"/>
    </row>
    <row r="77" spans="2:25" ht="15" customHeight="1">
      <c r="B77" s="31"/>
      <c r="C77" s="31"/>
      <c r="D77" s="31"/>
      <c r="E77" s="31"/>
      <c r="F77" s="31"/>
      <c r="G77" s="31"/>
      <c r="H77" s="31"/>
      <c r="I77" s="31"/>
      <c r="J77" s="31"/>
      <c r="K77" s="31"/>
      <c r="L77" s="31"/>
      <c r="M77" s="31"/>
      <c r="N77" s="31"/>
    </row>
    <row r="78" spans="2:25" ht="15" customHeight="1">
      <c r="B78" s="31"/>
      <c r="C78" s="31"/>
      <c r="D78" s="31"/>
      <c r="E78" s="31"/>
      <c r="F78" s="31"/>
      <c r="G78" s="31"/>
      <c r="H78" s="31"/>
      <c r="I78" s="31"/>
      <c r="J78" s="31"/>
      <c r="K78" s="31"/>
      <c r="L78" s="31"/>
      <c r="M78" s="31"/>
      <c r="N78" s="31"/>
    </row>
    <row r="79" spans="2:25" ht="15" customHeight="1">
      <c r="B79" s="31"/>
      <c r="C79" s="31"/>
      <c r="D79" s="31"/>
      <c r="E79" s="31"/>
      <c r="F79" s="31"/>
      <c r="G79" s="31"/>
      <c r="H79" s="31"/>
      <c r="I79" s="31"/>
      <c r="J79" s="31"/>
      <c r="K79" s="31"/>
      <c r="L79" s="31"/>
      <c r="M79" s="31"/>
      <c r="N79" s="31"/>
    </row>
    <row r="80" spans="2:25" ht="15" customHeight="1">
      <c r="B80" s="31"/>
      <c r="C80" s="31"/>
      <c r="D80" s="31"/>
      <c r="E80" s="31"/>
      <c r="F80" s="31"/>
      <c r="G80" s="31"/>
      <c r="H80" s="31"/>
      <c r="I80" s="31"/>
      <c r="J80" s="31"/>
      <c r="K80" s="31"/>
      <c r="L80" s="31"/>
      <c r="M80" s="31"/>
      <c r="N80" s="31"/>
    </row>
    <row r="81" spans="2:14" ht="15" customHeight="1">
      <c r="B81" s="31"/>
      <c r="C81" s="31"/>
      <c r="D81" s="31"/>
      <c r="E81" s="31"/>
      <c r="F81" s="31"/>
      <c r="G81" s="31"/>
      <c r="H81" s="31"/>
      <c r="I81" s="31"/>
      <c r="J81" s="31"/>
      <c r="K81" s="31"/>
      <c r="L81" s="31"/>
      <c r="M81" s="31"/>
      <c r="N81" s="31"/>
    </row>
    <row r="82" spans="2:14" ht="15" customHeight="1">
      <c r="B82" s="31"/>
      <c r="C82" s="31"/>
      <c r="D82" s="31"/>
      <c r="E82" s="31"/>
      <c r="F82" s="31"/>
      <c r="G82" s="31"/>
      <c r="H82" s="31"/>
      <c r="I82" s="31"/>
      <c r="J82" s="31"/>
      <c r="K82" s="31"/>
      <c r="L82" s="31"/>
      <c r="M82" s="31"/>
      <c r="N82" s="31"/>
    </row>
    <row r="83" spans="2:14" ht="15" customHeight="1">
      <c r="B83" s="31"/>
      <c r="C83" s="31"/>
      <c r="D83" s="31"/>
      <c r="E83" s="31"/>
      <c r="F83" s="31"/>
      <c r="G83" s="31"/>
      <c r="H83" s="31"/>
      <c r="I83" s="31"/>
      <c r="J83" s="31"/>
      <c r="K83" s="31"/>
      <c r="L83" s="31"/>
      <c r="M83" s="31"/>
      <c r="N83" s="31"/>
    </row>
    <row r="84" spans="2:14" ht="15" customHeight="1">
      <c r="B84" s="31"/>
      <c r="C84" s="31"/>
      <c r="D84" s="31"/>
      <c r="E84" s="31"/>
      <c r="F84" s="31"/>
      <c r="G84" s="31"/>
      <c r="H84" s="31"/>
      <c r="I84" s="31"/>
      <c r="J84" s="31"/>
      <c r="K84" s="31"/>
      <c r="L84" s="31"/>
      <c r="M84" s="31"/>
      <c r="N84" s="31"/>
    </row>
    <row r="85" spans="2:14" ht="15" customHeight="1">
      <c r="B85" s="31"/>
      <c r="C85" s="31"/>
      <c r="D85" s="31"/>
      <c r="E85" s="31"/>
      <c r="F85" s="31"/>
      <c r="G85" s="31"/>
      <c r="H85" s="31"/>
      <c r="I85" s="31"/>
      <c r="J85" s="31"/>
      <c r="K85" s="31"/>
      <c r="L85" s="31"/>
      <c r="M85" s="31"/>
      <c r="N85" s="31"/>
    </row>
    <row r="86" spans="2:14" ht="15" customHeight="1">
      <c r="B86" s="31"/>
      <c r="C86" s="31"/>
      <c r="D86" s="31"/>
      <c r="E86" s="31"/>
      <c r="F86" s="31"/>
      <c r="G86" s="31"/>
      <c r="H86" s="31"/>
      <c r="I86" s="31"/>
      <c r="J86" s="31"/>
      <c r="K86" s="31"/>
      <c r="L86" s="31"/>
      <c r="M86" s="31"/>
      <c r="N86" s="31"/>
    </row>
    <row r="87" spans="2:14" ht="15" customHeight="1">
      <c r="B87" s="31"/>
      <c r="C87" s="31"/>
      <c r="D87" s="31"/>
      <c r="E87" s="31"/>
      <c r="F87" s="31"/>
      <c r="G87" s="31"/>
      <c r="H87" s="31"/>
      <c r="I87" s="31"/>
      <c r="J87" s="31"/>
      <c r="K87" s="31"/>
      <c r="L87" s="31"/>
      <c r="M87" s="31"/>
      <c r="N87" s="31"/>
    </row>
    <row r="88" spans="2:14" ht="15" customHeight="1">
      <c r="B88" s="31"/>
      <c r="C88" s="31"/>
      <c r="D88" s="31"/>
      <c r="E88" s="31"/>
      <c r="F88" s="31"/>
      <c r="G88" s="31"/>
      <c r="H88" s="31"/>
      <c r="I88" s="31"/>
      <c r="J88" s="31"/>
      <c r="K88" s="31"/>
      <c r="L88" s="31"/>
      <c r="M88" s="31"/>
      <c r="N88" s="31"/>
    </row>
    <row r="89" spans="2:14" ht="15" customHeight="1">
      <c r="B89" s="31"/>
      <c r="C89" s="31"/>
      <c r="D89" s="31"/>
      <c r="E89" s="31"/>
      <c r="F89" s="31"/>
      <c r="G89" s="31"/>
      <c r="H89" s="31"/>
      <c r="I89" s="31"/>
      <c r="J89" s="31"/>
      <c r="K89" s="31"/>
      <c r="L89" s="31"/>
      <c r="M89" s="31"/>
      <c r="N89" s="31"/>
    </row>
    <row r="90" spans="2:14" ht="15" customHeight="1">
      <c r="B90" s="31"/>
      <c r="C90" s="31"/>
      <c r="D90" s="31"/>
      <c r="E90" s="31"/>
      <c r="F90" s="31"/>
      <c r="G90" s="31"/>
      <c r="H90" s="31"/>
      <c r="I90" s="31"/>
      <c r="J90" s="31"/>
      <c r="K90" s="31"/>
      <c r="L90" s="31"/>
      <c r="M90" s="31"/>
      <c r="N90" s="31"/>
    </row>
    <row r="91" spans="2:14" ht="15" customHeight="1">
      <c r="B91" s="31"/>
      <c r="C91" s="31"/>
      <c r="D91" s="31"/>
      <c r="E91" s="31"/>
      <c r="F91" s="31"/>
      <c r="G91" s="31"/>
      <c r="H91" s="31"/>
      <c r="I91" s="31"/>
      <c r="J91" s="31"/>
      <c r="K91" s="31"/>
      <c r="L91" s="31"/>
      <c r="M91" s="31"/>
      <c r="N91" s="31"/>
    </row>
    <row r="92" spans="2:14" ht="15" customHeight="1">
      <c r="B92" s="31"/>
      <c r="C92" s="31"/>
      <c r="D92" s="31"/>
      <c r="E92" s="31"/>
      <c r="F92" s="31"/>
      <c r="G92" s="31"/>
      <c r="H92" s="31"/>
      <c r="I92" s="31"/>
      <c r="J92" s="31"/>
      <c r="K92" s="31"/>
      <c r="L92" s="31"/>
      <c r="M92" s="31"/>
      <c r="N92" s="31"/>
    </row>
    <row r="93" spans="2:14" ht="15" customHeight="1">
      <c r="B93" s="31"/>
      <c r="C93" s="31"/>
      <c r="D93" s="31"/>
      <c r="E93" s="31"/>
      <c r="F93" s="31"/>
      <c r="G93" s="31"/>
      <c r="H93" s="31"/>
      <c r="I93" s="31"/>
      <c r="J93" s="31"/>
      <c r="K93" s="31"/>
      <c r="L93" s="31"/>
      <c r="M93" s="31"/>
      <c r="N93" s="31"/>
    </row>
    <row r="94" spans="2:14" ht="15" customHeight="1">
      <c r="B94" s="31"/>
      <c r="C94" s="31"/>
      <c r="D94" s="31"/>
      <c r="E94" s="31"/>
      <c r="F94" s="31"/>
      <c r="G94" s="31"/>
      <c r="H94" s="31"/>
      <c r="I94" s="31"/>
      <c r="J94" s="31"/>
      <c r="K94" s="31"/>
      <c r="L94" s="31"/>
      <c r="M94" s="31"/>
      <c r="N94" s="31"/>
    </row>
    <row r="95" spans="2:14" ht="15" customHeight="1">
      <c r="B95" s="31"/>
      <c r="C95" s="31"/>
      <c r="D95" s="31"/>
      <c r="E95" s="31"/>
      <c r="F95" s="31"/>
      <c r="G95" s="31"/>
      <c r="H95" s="31"/>
      <c r="I95" s="31"/>
      <c r="J95" s="31"/>
      <c r="K95" s="31"/>
      <c r="L95" s="31"/>
      <c r="M95" s="31"/>
      <c r="N95" s="31"/>
    </row>
    <row r="96" spans="2:14" ht="15" customHeight="1">
      <c r="B96" s="31"/>
      <c r="C96" s="31"/>
      <c r="D96" s="31"/>
      <c r="E96" s="31"/>
      <c r="F96" s="31"/>
      <c r="G96" s="31"/>
      <c r="H96" s="31"/>
      <c r="I96" s="31"/>
      <c r="J96" s="31"/>
      <c r="K96" s="31"/>
      <c r="L96" s="31"/>
      <c r="M96" s="31"/>
      <c r="N96" s="31"/>
    </row>
    <row r="97" spans="2:14" ht="15" customHeight="1">
      <c r="B97" s="31"/>
      <c r="C97" s="31"/>
      <c r="D97" s="31"/>
      <c r="E97" s="31"/>
      <c r="F97" s="31"/>
      <c r="G97" s="31"/>
      <c r="H97" s="31"/>
      <c r="I97" s="31"/>
      <c r="J97" s="31"/>
      <c r="K97" s="31"/>
      <c r="L97" s="31"/>
      <c r="M97" s="31"/>
      <c r="N97" s="31"/>
    </row>
    <row r="98" spans="2:14" ht="15" customHeight="1">
      <c r="B98" s="31"/>
      <c r="C98" s="31"/>
      <c r="D98" s="31"/>
      <c r="E98" s="31"/>
      <c r="F98" s="31"/>
      <c r="G98" s="31"/>
      <c r="H98" s="31"/>
      <c r="I98" s="31"/>
      <c r="J98" s="31"/>
      <c r="K98" s="31"/>
      <c r="L98" s="31"/>
      <c r="M98" s="31"/>
      <c r="N98" s="31"/>
    </row>
    <row r="99" spans="2:14" ht="15" customHeight="1">
      <c r="B99" s="31"/>
      <c r="C99" s="31"/>
      <c r="D99" s="31"/>
      <c r="E99" s="31"/>
      <c r="F99" s="31"/>
      <c r="G99" s="31"/>
      <c r="H99" s="31"/>
      <c r="I99" s="31"/>
      <c r="J99" s="31"/>
      <c r="K99" s="31"/>
      <c r="L99" s="31"/>
      <c r="M99" s="31"/>
      <c r="N99" s="31"/>
    </row>
    <row r="100" spans="2:14" ht="15" customHeight="1">
      <c r="B100" s="31"/>
      <c r="C100" s="31"/>
      <c r="D100" s="31"/>
      <c r="E100" s="31"/>
      <c r="F100" s="31"/>
      <c r="G100" s="31"/>
      <c r="H100" s="31"/>
      <c r="I100" s="31"/>
      <c r="J100" s="31"/>
      <c r="K100" s="31"/>
      <c r="L100" s="31"/>
      <c r="M100" s="31"/>
      <c r="N100" s="31"/>
    </row>
    <row r="101" spans="2:14" ht="15" customHeight="1">
      <c r="B101" s="31"/>
      <c r="C101" s="31"/>
      <c r="D101" s="31"/>
      <c r="E101" s="31"/>
      <c r="F101" s="31"/>
      <c r="G101" s="31"/>
      <c r="H101" s="31"/>
      <c r="I101" s="31"/>
      <c r="J101" s="31"/>
      <c r="K101" s="31"/>
      <c r="L101" s="31"/>
      <c r="M101" s="31"/>
      <c r="N101" s="31"/>
    </row>
    <row r="102" spans="2:14" ht="15" customHeight="1">
      <c r="B102" s="31"/>
      <c r="C102" s="31"/>
      <c r="D102" s="31"/>
      <c r="E102" s="31"/>
      <c r="F102" s="31"/>
      <c r="G102" s="31"/>
      <c r="H102" s="31"/>
      <c r="I102" s="31"/>
      <c r="J102" s="31"/>
      <c r="K102" s="31"/>
      <c r="L102" s="31"/>
      <c r="M102" s="31"/>
      <c r="N102" s="31"/>
    </row>
    <row r="103" spans="2:14" ht="15" customHeight="1">
      <c r="B103" s="31"/>
      <c r="C103" s="31"/>
      <c r="D103" s="31"/>
      <c r="E103" s="31"/>
      <c r="F103" s="31"/>
      <c r="G103" s="31"/>
      <c r="H103" s="31"/>
      <c r="I103" s="31"/>
      <c r="J103" s="31"/>
      <c r="K103" s="31"/>
      <c r="L103" s="31"/>
      <c r="M103" s="31"/>
      <c r="N103" s="31"/>
    </row>
    <row r="104" spans="2:14" ht="15" customHeight="1">
      <c r="B104" s="31"/>
      <c r="C104" s="31"/>
      <c r="D104" s="31"/>
      <c r="E104" s="31"/>
      <c r="F104" s="31"/>
      <c r="G104" s="31"/>
      <c r="H104" s="31"/>
      <c r="I104" s="31"/>
      <c r="J104" s="31"/>
      <c r="K104" s="31"/>
      <c r="L104" s="31"/>
      <c r="M104" s="31"/>
      <c r="N104" s="31"/>
    </row>
    <row r="105" spans="2:14" ht="15" customHeight="1">
      <c r="B105" s="31"/>
      <c r="C105" s="31"/>
      <c r="D105" s="31"/>
      <c r="E105" s="31"/>
      <c r="F105" s="31"/>
      <c r="G105" s="31"/>
      <c r="H105" s="31"/>
      <c r="I105" s="31"/>
      <c r="J105" s="31"/>
      <c r="K105" s="31"/>
      <c r="L105" s="31"/>
      <c r="M105" s="31"/>
      <c r="N105" s="31"/>
    </row>
    <row r="106" spans="2:14" ht="15" customHeight="1">
      <c r="B106" s="31"/>
      <c r="C106" s="31"/>
      <c r="D106" s="31"/>
      <c r="E106" s="31"/>
      <c r="F106" s="31"/>
      <c r="G106" s="31"/>
      <c r="H106" s="31"/>
      <c r="I106" s="31"/>
      <c r="J106" s="31"/>
      <c r="K106" s="31"/>
      <c r="L106" s="31"/>
      <c r="M106" s="31"/>
      <c r="N106" s="31"/>
    </row>
    <row r="107" spans="2:14" ht="15" customHeight="1">
      <c r="B107" s="31"/>
      <c r="C107" s="31"/>
      <c r="D107" s="31"/>
      <c r="E107" s="31"/>
      <c r="F107" s="31"/>
      <c r="G107" s="31"/>
      <c r="H107" s="31"/>
      <c r="I107" s="31"/>
      <c r="J107" s="31"/>
      <c r="K107" s="31"/>
      <c r="L107" s="31"/>
      <c r="M107" s="31"/>
      <c r="N107" s="31"/>
    </row>
    <row r="108" spans="2:14" ht="15" customHeight="1">
      <c r="B108" s="31"/>
      <c r="C108" s="31"/>
      <c r="D108" s="31"/>
      <c r="E108" s="31"/>
      <c r="F108" s="31"/>
      <c r="G108" s="31"/>
      <c r="H108" s="31"/>
      <c r="I108" s="31"/>
      <c r="J108" s="31"/>
      <c r="K108" s="31"/>
      <c r="L108" s="31"/>
      <c r="M108" s="31"/>
      <c r="N108" s="31"/>
    </row>
    <row r="109" spans="2:14" ht="15" customHeight="1">
      <c r="B109" s="31"/>
      <c r="C109" s="31"/>
      <c r="D109" s="31"/>
      <c r="E109" s="31"/>
      <c r="F109" s="31"/>
      <c r="G109" s="31"/>
      <c r="H109" s="31"/>
      <c r="I109" s="31"/>
      <c r="J109" s="31"/>
      <c r="K109" s="31"/>
      <c r="L109" s="31"/>
      <c r="M109" s="31"/>
      <c r="N109" s="31"/>
    </row>
    <row r="110" spans="2:14" ht="15" customHeight="1">
      <c r="B110" s="31"/>
      <c r="C110" s="31"/>
      <c r="D110" s="31"/>
      <c r="E110" s="31"/>
      <c r="F110" s="31"/>
      <c r="G110" s="31"/>
      <c r="H110" s="31"/>
      <c r="I110" s="31"/>
      <c r="J110" s="31"/>
      <c r="K110" s="31"/>
      <c r="L110" s="31"/>
      <c r="M110" s="31"/>
      <c r="N110" s="31"/>
    </row>
    <row r="111" spans="2:14" ht="15" customHeight="1">
      <c r="B111" s="31"/>
      <c r="C111" s="31"/>
      <c r="D111" s="31"/>
      <c r="E111" s="31"/>
      <c r="F111" s="31"/>
      <c r="G111" s="31"/>
      <c r="H111" s="31"/>
      <c r="I111" s="31"/>
      <c r="J111" s="31"/>
      <c r="K111" s="31"/>
      <c r="L111" s="31"/>
      <c r="M111" s="31"/>
      <c r="N111" s="31"/>
    </row>
    <row r="112" spans="2:14" ht="15" customHeight="1">
      <c r="B112" s="31"/>
      <c r="C112" s="31"/>
      <c r="D112" s="31"/>
      <c r="E112" s="31"/>
      <c r="F112" s="31"/>
      <c r="G112" s="31"/>
      <c r="H112" s="31"/>
      <c r="I112" s="31"/>
      <c r="J112" s="31"/>
      <c r="K112" s="31"/>
      <c r="L112" s="31"/>
      <c r="M112" s="31"/>
      <c r="N112" s="31"/>
    </row>
    <row r="113" spans="2:14" ht="15" customHeight="1">
      <c r="B113" s="31"/>
      <c r="C113" s="31"/>
      <c r="D113" s="31"/>
      <c r="E113" s="31"/>
      <c r="F113" s="31"/>
      <c r="G113" s="31"/>
      <c r="H113" s="31"/>
      <c r="I113" s="31"/>
      <c r="J113" s="31"/>
      <c r="K113" s="31"/>
      <c r="L113" s="31"/>
      <c r="M113" s="31"/>
      <c r="N113" s="31"/>
    </row>
    <row r="114" spans="2:14" ht="15" customHeight="1">
      <c r="B114" s="31"/>
      <c r="C114" s="31"/>
      <c r="D114" s="31"/>
      <c r="E114" s="31"/>
      <c r="F114" s="31"/>
      <c r="G114" s="31"/>
      <c r="H114" s="31"/>
      <c r="I114" s="31"/>
      <c r="J114" s="31"/>
      <c r="K114" s="31"/>
      <c r="L114" s="31"/>
      <c r="M114" s="31"/>
      <c r="N114" s="31"/>
    </row>
    <row r="115" spans="2:14" ht="15" customHeight="1">
      <c r="B115" s="31"/>
      <c r="C115" s="31"/>
      <c r="D115" s="31"/>
      <c r="E115" s="31"/>
      <c r="F115" s="31"/>
      <c r="G115" s="31"/>
      <c r="H115" s="31"/>
      <c r="I115" s="31"/>
      <c r="J115" s="31"/>
      <c r="K115" s="31"/>
      <c r="L115" s="31"/>
      <c r="M115" s="31"/>
      <c r="N115" s="31"/>
    </row>
    <row r="116" spans="2:14" ht="15" customHeight="1">
      <c r="B116" s="31"/>
      <c r="C116" s="31"/>
      <c r="D116" s="31"/>
      <c r="E116" s="31"/>
      <c r="F116" s="31"/>
      <c r="G116" s="31"/>
      <c r="H116" s="31"/>
      <c r="I116" s="31"/>
      <c r="J116" s="31"/>
      <c r="K116" s="31"/>
      <c r="L116" s="31"/>
      <c r="M116" s="31"/>
      <c r="N116" s="31"/>
    </row>
    <row r="117" spans="2:14" ht="15" customHeight="1">
      <c r="B117" s="31"/>
      <c r="C117" s="31"/>
      <c r="D117" s="31"/>
      <c r="E117" s="31"/>
      <c r="F117" s="31"/>
      <c r="G117" s="31"/>
      <c r="H117" s="31"/>
      <c r="I117" s="31"/>
      <c r="J117" s="31"/>
      <c r="K117" s="31"/>
      <c r="L117" s="31"/>
      <c r="M117" s="31"/>
      <c r="N117" s="31"/>
    </row>
    <row r="118" spans="2:14" ht="15" customHeight="1">
      <c r="B118" s="31"/>
      <c r="C118" s="31"/>
      <c r="D118" s="31"/>
      <c r="E118" s="31"/>
      <c r="F118" s="31"/>
      <c r="G118" s="31"/>
      <c r="H118" s="31"/>
      <c r="I118" s="31"/>
      <c r="J118" s="31"/>
      <c r="K118" s="31"/>
      <c r="L118" s="31"/>
      <c r="M118" s="31"/>
      <c r="N118" s="31"/>
    </row>
    <row r="119" spans="2:14" ht="15" customHeight="1">
      <c r="B119" s="31"/>
      <c r="C119" s="31"/>
      <c r="D119" s="31"/>
      <c r="E119" s="31"/>
      <c r="F119" s="31"/>
      <c r="G119" s="31"/>
      <c r="H119" s="31"/>
      <c r="I119" s="31"/>
      <c r="J119" s="31"/>
      <c r="K119" s="31"/>
      <c r="L119" s="31"/>
      <c r="M119" s="31"/>
      <c r="N119" s="31"/>
    </row>
    <row r="120" spans="2:14" ht="15" customHeight="1">
      <c r="B120" s="31"/>
      <c r="C120" s="31"/>
      <c r="D120" s="31"/>
      <c r="E120" s="31"/>
      <c r="F120" s="31"/>
      <c r="G120" s="31"/>
      <c r="H120" s="31"/>
      <c r="I120" s="31"/>
      <c r="J120" s="31"/>
      <c r="K120" s="31"/>
      <c r="L120" s="31"/>
      <c r="M120" s="31"/>
      <c r="N120" s="31"/>
    </row>
    <row r="121" spans="2:14" ht="15" customHeight="1">
      <c r="B121" s="31"/>
      <c r="C121" s="31"/>
      <c r="D121" s="31"/>
      <c r="E121" s="31"/>
      <c r="F121" s="31"/>
      <c r="G121" s="31"/>
      <c r="H121" s="31"/>
      <c r="I121" s="31"/>
      <c r="J121" s="31"/>
      <c r="K121" s="31"/>
      <c r="L121" s="31"/>
      <c r="M121" s="31"/>
      <c r="N121" s="31"/>
    </row>
  </sheetData>
  <mergeCells count="1">
    <mergeCell ref="L1:M1"/>
  </mergeCells>
  <conditionalFormatting sqref="B1">
    <cfRule type="cellIs" dxfId="65" priority="1" operator="equal">
      <formula>"Incomplete"</formula>
    </cfRule>
    <cfRule type="cellIs" dxfId="64" priority="2" operator="equal">
      <formula>"Flag for Review"</formula>
    </cfRule>
    <cfRule type="cellIs" dxfId="6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L1" location="'Point Grid'!A8" display="Return to Point Grid"/>
    <hyperlink ref="L1:M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V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2">
      <c r="A1" s="7">
        <v>10</v>
      </c>
      <c r="B1" s="27" t="s">
        <v>12</v>
      </c>
      <c r="C1" s="20"/>
      <c r="D1" s="20"/>
      <c r="E1" s="20"/>
      <c r="F1" s="20"/>
      <c r="G1" s="20"/>
      <c r="H1" s="886" t="s">
        <v>24</v>
      </c>
      <c r="I1" s="887"/>
      <c r="K1" s="1" t="s">
        <v>33</v>
      </c>
      <c r="L1" s="52" t="str">
        <f>VLOOKUP(A1,'Point Grid'!$L$8:$T$54,9,FALSE)</f>
        <v>Pricing - Chap 7: Other Expenses</v>
      </c>
      <c r="M1"/>
      <c r="N1"/>
      <c r="O1"/>
      <c r="P1"/>
      <c r="Q1"/>
      <c r="R1"/>
      <c r="S1"/>
      <c r="T1"/>
      <c r="U1"/>
    </row>
    <row r="2" spans="1:22">
      <c r="A2" s="22"/>
      <c r="B2" s="19"/>
      <c r="C2" s="19"/>
      <c r="D2" s="19"/>
      <c r="E2" s="19"/>
      <c r="F2" s="19"/>
      <c r="G2" s="19"/>
      <c r="H2" s="19"/>
      <c r="I2" s="23"/>
      <c r="K2" s="1"/>
      <c r="L2"/>
      <c r="M2"/>
      <c r="N2"/>
      <c r="O2"/>
      <c r="P2"/>
      <c r="Q2"/>
      <c r="R2"/>
      <c r="S2"/>
      <c r="T2"/>
      <c r="U2"/>
    </row>
    <row r="3" spans="1:22">
      <c r="A3" s="8" t="s">
        <v>13</v>
      </c>
      <c r="B3" s="17"/>
      <c r="C3" s="17"/>
      <c r="D3" s="17"/>
      <c r="E3" s="17"/>
      <c r="F3" s="17"/>
      <c r="G3" s="17"/>
      <c r="H3" s="17"/>
      <c r="I3" s="18"/>
      <c r="J3" s="31"/>
      <c r="K3" s="48" t="s">
        <v>2</v>
      </c>
      <c r="L3" s="1" t="s">
        <v>422</v>
      </c>
      <c r="M3"/>
      <c r="N3"/>
      <c r="O3"/>
      <c r="P3"/>
      <c r="Q3"/>
      <c r="R3"/>
      <c r="S3"/>
      <c r="T3"/>
      <c r="U3"/>
    </row>
    <row r="4" spans="1:22">
      <c r="A4" s="9">
        <f>INDEX('Point Grid'!B:B,MATCH(A1,'Point Grid'!A:A,0))</f>
        <v>2</v>
      </c>
      <c r="B4" s="17"/>
      <c r="C4" s="17"/>
      <c r="D4" s="17"/>
      <c r="E4" s="17"/>
      <c r="F4" s="17"/>
      <c r="G4" s="17"/>
      <c r="H4" s="17"/>
      <c r="I4" s="18"/>
      <c r="J4" s="31"/>
      <c r="K4" s="48"/>
      <c r="L4" s="749" t="s">
        <v>772</v>
      </c>
      <c r="M4" t="s">
        <v>777</v>
      </c>
      <c r="N4"/>
      <c r="O4"/>
      <c r="P4"/>
      <c r="Q4"/>
      <c r="R4"/>
      <c r="S4"/>
      <c r="T4"/>
      <c r="U4"/>
    </row>
    <row r="5" spans="1:22">
      <c r="A5" s="16"/>
      <c r="B5" s="17"/>
      <c r="C5" s="17"/>
      <c r="D5" s="17"/>
      <c r="E5" s="17"/>
      <c r="F5" s="17"/>
      <c r="G5" s="17"/>
      <c r="H5" s="17"/>
      <c r="I5" s="18"/>
      <c r="J5" s="31"/>
      <c r="K5" s="48"/>
      <c r="L5" s="749"/>
      <c r="M5"/>
      <c r="N5"/>
      <c r="O5"/>
      <c r="P5"/>
      <c r="Q5"/>
      <c r="R5"/>
      <c r="S5"/>
      <c r="T5"/>
      <c r="U5"/>
    </row>
    <row r="6" spans="1:22">
      <c r="A6" s="25" t="s">
        <v>2</v>
      </c>
      <c r="B6" s="17" t="s">
        <v>779</v>
      </c>
      <c r="C6" s="17"/>
      <c r="D6" s="17"/>
      <c r="E6" s="17"/>
      <c r="F6" s="17"/>
      <c r="G6" s="17"/>
      <c r="H6" s="17"/>
      <c r="I6" s="18"/>
      <c r="J6" s="31"/>
      <c r="K6" s="48"/>
      <c r="L6" s="1" t="s">
        <v>776</v>
      </c>
      <c r="M6"/>
      <c r="N6"/>
      <c r="O6"/>
      <c r="P6"/>
      <c r="Q6"/>
      <c r="R6"/>
      <c r="S6"/>
      <c r="T6"/>
      <c r="U6"/>
    </row>
    <row r="7" spans="1:22" ht="15.75" thickBot="1">
      <c r="A7" s="9">
        <f>INDEX('Point Grid'!$C$8:$I$54,MATCH($A$1,'Point Grid'!$A$8:$A$54,0),MATCH(A6,'Point Grid'!$C$7:$I$7,0))</f>
        <v>0.5</v>
      </c>
      <c r="B7" s="17"/>
      <c r="C7" s="17"/>
      <c r="D7" s="17"/>
      <c r="E7" s="17"/>
      <c r="F7" s="17"/>
      <c r="G7" s="17"/>
      <c r="H7" s="17"/>
      <c r="I7" s="18"/>
      <c r="J7" s="31"/>
      <c r="K7" s="48"/>
      <c r="L7" s="749" t="s">
        <v>772</v>
      </c>
      <c r="M7" s="49" t="s">
        <v>778</v>
      </c>
      <c r="N7" s="48"/>
      <c r="O7" s="48"/>
      <c r="P7" s="48"/>
      <c r="Q7" s="48"/>
      <c r="R7" s="48"/>
      <c r="S7" s="48"/>
      <c r="T7" s="48"/>
      <c r="U7" s="48"/>
    </row>
    <row r="8" spans="1:22" ht="15.75" thickBot="1">
      <c r="A8" s="5"/>
      <c r="B8" s="17"/>
      <c r="C8" s="28"/>
      <c r="D8" s="28"/>
      <c r="E8" s="28"/>
      <c r="F8" s="28"/>
      <c r="G8" s="28"/>
      <c r="H8" s="28"/>
      <c r="I8" s="18"/>
      <c r="J8" s="31"/>
      <c r="K8" s="48"/>
      <c r="L8" s="749"/>
      <c r="M8" s="48"/>
    </row>
    <row r="9" spans="1:22">
      <c r="A9" s="25"/>
      <c r="B9" s="17"/>
      <c r="C9" s="17"/>
      <c r="D9" s="17"/>
      <c r="E9" s="17"/>
      <c r="F9" s="17"/>
      <c r="G9" s="17"/>
      <c r="H9" s="17"/>
      <c r="I9" s="18"/>
      <c r="J9" s="31"/>
      <c r="K9" s="48"/>
      <c r="L9" s="48"/>
      <c r="M9" s="48"/>
    </row>
    <row r="10" spans="1:22">
      <c r="A10" s="25" t="s">
        <v>3</v>
      </c>
      <c r="B10" s="17" t="s">
        <v>780</v>
      </c>
      <c r="C10" s="17"/>
      <c r="D10" s="17"/>
      <c r="E10" s="17"/>
      <c r="F10" s="17"/>
      <c r="G10" s="17"/>
      <c r="H10" s="17"/>
      <c r="I10" s="18"/>
      <c r="J10" s="31"/>
      <c r="K10" s="48" t="s">
        <v>3</v>
      </c>
      <c r="L10" s="151" t="s">
        <v>107</v>
      </c>
      <c r="M10" s="37" t="s">
        <v>790</v>
      </c>
      <c r="N10" s="37"/>
      <c r="O10" s="37"/>
      <c r="P10" s="37"/>
      <c r="Q10" s="37"/>
      <c r="R10" s="37"/>
      <c r="S10" s="37"/>
      <c r="T10" s="37"/>
      <c r="U10" s="37"/>
      <c r="V10" s="37"/>
    </row>
    <row r="11" spans="1:22" ht="15.75" thickBot="1">
      <c r="A11" s="9">
        <f>INDEX('Point Grid'!$C$8:$I$54,MATCH($A$1,'Point Grid'!$A$8:$A$54,0),MATCH(A10,'Point Grid'!$C$7:$I$7,0))</f>
        <v>1.5</v>
      </c>
      <c r="B11" s="17"/>
      <c r="C11" s="17"/>
      <c r="D11" s="17"/>
      <c r="E11" s="17"/>
      <c r="F11" s="17"/>
      <c r="G11" s="17"/>
      <c r="H11" s="17"/>
      <c r="I11" s="18"/>
      <c r="J11" s="31"/>
      <c r="K11" s="48"/>
      <c r="L11" s="37"/>
      <c r="M11" s="355" t="s">
        <v>791</v>
      </c>
      <c r="N11" s="37"/>
      <c r="O11" s="37"/>
      <c r="P11" s="37"/>
      <c r="Q11" s="37"/>
      <c r="R11" s="37"/>
      <c r="S11" s="37"/>
      <c r="T11" s="37"/>
      <c r="U11" s="37"/>
      <c r="V11" s="37"/>
    </row>
    <row r="12" spans="1:22" ht="15.75" thickBot="1">
      <c r="A12" s="5"/>
      <c r="B12" s="140"/>
      <c r="C12" s="141"/>
      <c r="D12" s="141"/>
      <c r="E12" s="142"/>
      <c r="F12" s="809">
        <v>2023</v>
      </c>
      <c r="G12" s="809">
        <v>2024</v>
      </c>
      <c r="H12" s="810">
        <v>2025</v>
      </c>
      <c r="I12" s="18"/>
      <c r="J12" s="31"/>
      <c r="K12" s="48"/>
      <c r="L12" s="121"/>
      <c r="M12" s="121"/>
      <c r="N12" s="121"/>
      <c r="O12" s="121"/>
      <c r="P12" s="121"/>
      <c r="Q12" s="121"/>
      <c r="R12" s="121"/>
      <c r="S12" s="121"/>
      <c r="T12" s="121"/>
      <c r="U12" s="121"/>
      <c r="V12" s="115" t="s">
        <v>792</v>
      </c>
    </row>
    <row r="13" spans="1:22">
      <c r="A13" s="815"/>
      <c r="B13" s="141"/>
      <c r="C13" s="141"/>
      <c r="D13" s="141"/>
      <c r="E13" s="142"/>
      <c r="F13" s="269" t="s">
        <v>781</v>
      </c>
      <c r="G13" s="269" t="s">
        <v>781</v>
      </c>
      <c r="H13" s="270"/>
      <c r="I13" s="18"/>
      <c r="J13" s="31"/>
      <c r="K13" s="48"/>
      <c r="L13" s="121"/>
      <c r="M13" s="121" t="s">
        <v>793</v>
      </c>
      <c r="N13" s="172">
        <f>H17</f>
        <v>1199</v>
      </c>
      <c r="O13" s="155" t="s">
        <v>36</v>
      </c>
      <c r="P13" s="172" t="s">
        <v>794</v>
      </c>
      <c r="Q13" s="153" t="s">
        <v>34</v>
      </c>
      <c r="R13" s="172">
        <f>H17</f>
        <v>1199</v>
      </c>
      <c r="S13" s="155" t="s">
        <v>36</v>
      </c>
      <c r="T13" s="121">
        <f>H15</f>
        <v>8200</v>
      </c>
      <c r="U13" s="153" t="s">
        <v>34</v>
      </c>
      <c r="V13" s="816">
        <f>R13/T13</f>
        <v>0.14621951219512194</v>
      </c>
    </row>
    <row r="14" spans="1:22">
      <c r="A14" s="25"/>
      <c r="B14" s="148"/>
      <c r="C14" s="148"/>
      <c r="D14" s="148"/>
      <c r="E14" s="149"/>
      <c r="F14" s="271" t="s">
        <v>782</v>
      </c>
      <c r="G14" s="271" t="s">
        <v>782</v>
      </c>
      <c r="H14" s="272" t="s">
        <v>783</v>
      </c>
      <c r="I14" s="18"/>
      <c r="J14" s="31"/>
      <c r="K14" s="48"/>
      <c r="L14" s="121"/>
      <c r="M14" s="121" t="s">
        <v>795</v>
      </c>
      <c r="N14" s="172">
        <f>H18</f>
        <v>1279</v>
      </c>
      <c r="O14" s="155" t="s">
        <v>36</v>
      </c>
      <c r="P14" s="172" t="s">
        <v>794</v>
      </c>
      <c r="Q14" s="153" t="s">
        <v>34</v>
      </c>
      <c r="R14" s="172">
        <f>H18</f>
        <v>1279</v>
      </c>
      <c r="S14" s="155" t="s">
        <v>36</v>
      </c>
      <c r="T14" s="121">
        <f>H15</f>
        <v>8200</v>
      </c>
      <c r="U14" s="153" t="s">
        <v>34</v>
      </c>
      <c r="V14" s="816">
        <f>R14/T14</f>
        <v>0.15597560975609756</v>
      </c>
    </row>
    <row r="15" spans="1:22">
      <c r="A15" s="25"/>
      <c r="B15" s="140" t="s">
        <v>784</v>
      </c>
      <c r="C15" s="141"/>
      <c r="D15" s="141"/>
      <c r="E15" s="142"/>
      <c r="F15" s="811" t="s">
        <v>472</v>
      </c>
      <c r="G15" s="267" t="s">
        <v>472</v>
      </c>
      <c r="H15" s="142">
        <v>8200</v>
      </c>
      <c r="I15" s="18"/>
      <c r="J15" s="31"/>
      <c r="K15" s="48"/>
      <c r="L15" s="121"/>
      <c r="M15" s="817" t="s">
        <v>796</v>
      </c>
      <c r="N15" s="172">
        <f>H19</f>
        <v>736</v>
      </c>
      <c r="O15" s="155" t="s">
        <v>36</v>
      </c>
      <c r="P15" s="818" t="s">
        <v>797</v>
      </c>
      <c r="Q15" s="153" t="s">
        <v>34</v>
      </c>
      <c r="R15" s="172">
        <f>H19</f>
        <v>736</v>
      </c>
      <c r="S15" s="155" t="s">
        <v>36</v>
      </c>
      <c r="T15" s="817">
        <f>H16</f>
        <v>8856</v>
      </c>
      <c r="U15" s="153" t="s">
        <v>34</v>
      </c>
      <c r="V15" s="816">
        <f>R15/T15</f>
        <v>8.3107497741644082E-2</v>
      </c>
    </row>
    <row r="16" spans="1:22">
      <c r="A16" s="25"/>
      <c r="B16" s="147" t="s">
        <v>785</v>
      </c>
      <c r="C16" s="148"/>
      <c r="D16" s="148"/>
      <c r="E16" s="149"/>
      <c r="F16" s="218" t="s">
        <v>472</v>
      </c>
      <c r="G16" s="272" t="s">
        <v>472</v>
      </c>
      <c r="H16" s="149">
        <v>8856</v>
      </c>
      <c r="I16" s="18"/>
      <c r="J16" s="31"/>
      <c r="K16" s="48"/>
      <c r="L16" s="121"/>
      <c r="M16" s="121" t="s">
        <v>798</v>
      </c>
      <c r="N16" s="172">
        <f>H20</f>
        <v>175</v>
      </c>
      <c r="O16" s="155" t="s">
        <v>36</v>
      </c>
      <c r="P16" s="172" t="s">
        <v>794</v>
      </c>
      <c r="Q16" s="153" t="s">
        <v>34</v>
      </c>
      <c r="R16" s="172">
        <f>H20</f>
        <v>175</v>
      </c>
      <c r="S16" s="155" t="s">
        <v>36</v>
      </c>
      <c r="T16" s="121">
        <f>H15</f>
        <v>8200</v>
      </c>
      <c r="U16" s="153" t="s">
        <v>34</v>
      </c>
      <c r="V16" s="816">
        <f>R16/T16</f>
        <v>2.1341463414634148E-2</v>
      </c>
    </row>
    <row r="17" spans="1:22">
      <c r="A17" s="25"/>
      <c r="B17" s="140" t="s">
        <v>786</v>
      </c>
      <c r="C17" s="141"/>
      <c r="D17" s="141"/>
      <c r="E17" s="142"/>
      <c r="F17" s="812">
        <v>0.11424000000000001</v>
      </c>
      <c r="G17" s="813">
        <v>0.12794880000000003</v>
      </c>
      <c r="H17" s="142">
        <v>1199</v>
      </c>
      <c r="I17" s="18"/>
      <c r="J17" s="31"/>
      <c r="K17" s="48"/>
      <c r="L17" s="121"/>
      <c r="M17" s="121"/>
      <c r="N17" s="121"/>
      <c r="O17" s="121"/>
      <c r="P17" s="121"/>
      <c r="Q17" s="121"/>
      <c r="R17" s="121"/>
      <c r="S17" s="121"/>
      <c r="T17" s="121"/>
      <c r="U17" s="121"/>
      <c r="V17" s="121"/>
    </row>
    <row r="18" spans="1:22" ht="15" customHeight="1">
      <c r="A18" s="25"/>
      <c r="B18" s="140" t="s">
        <v>787</v>
      </c>
      <c r="C18" s="141"/>
      <c r="D18" s="141"/>
      <c r="E18" s="142"/>
      <c r="F18" s="812">
        <v>0.12443200000000001</v>
      </c>
      <c r="G18" s="813">
        <v>0.1365765632</v>
      </c>
      <c r="H18" s="142">
        <v>1279</v>
      </c>
      <c r="I18" s="18"/>
      <c r="J18" s="31"/>
      <c r="K18" s="48"/>
      <c r="L18" s="121"/>
      <c r="M18" s="121"/>
      <c r="N18" s="121"/>
      <c r="O18" s="121"/>
      <c r="P18" s="121"/>
      <c r="Q18" s="121"/>
      <c r="R18" s="121"/>
      <c r="S18" s="121"/>
      <c r="T18" s="121"/>
      <c r="U18" s="121"/>
      <c r="V18" s="121"/>
    </row>
    <row r="19" spans="1:22" ht="15" customHeight="1">
      <c r="A19" s="25"/>
      <c r="B19" s="140" t="s">
        <v>788</v>
      </c>
      <c r="C19" s="141"/>
      <c r="D19" s="141"/>
      <c r="E19" s="142"/>
      <c r="F19" s="812">
        <v>8.3160000000000012E-2</v>
      </c>
      <c r="G19" s="813">
        <v>8.232840000000001E-2</v>
      </c>
      <c r="H19" s="142">
        <v>736</v>
      </c>
      <c r="I19" s="18"/>
      <c r="J19" s="31"/>
      <c r="K19" s="48"/>
      <c r="L19" s="239" t="s">
        <v>108</v>
      </c>
      <c r="M19" s="121" t="s">
        <v>799</v>
      </c>
      <c r="N19" s="121"/>
      <c r="O19" s="121"/>
      <c r="P19" s="121"/>
      <c r="Q19" s="121"/>
      <c r="R19" s="121"/>
      <c r="S19" s="121"/>
      <c r="T19" s="121"/>
      <c r="U19" s="121"/>
      <c r="V19" s="121"/>
    </row>
    <row r="20" spans="1:22" ht="15" customHeight="1">
      <c r="A20" s="25"/>
      <c r="B20" s="147" t="s">
        <v>789</v>
      </c>
      <c r="C20" s="148"/>
      <c r="D20" s="148"/>
      <c r="E20" s="149"/>
      <c r="F20" s="814">
        <v>2.1559999999999996E-2</v>
      </c>
      <c r="G20" s="212">
        <v>2.1775599999999996E-2</v>
      </c>
      <c r="H20" s="149">
        <v>175</v>
      </c>
      <c r="I20" s="18"/>
      <c r="J20" s="31"/>
      <c r="K20" s="48"/>
      <c r="L20" s="121"/>
      <c r="M20" s="121"/>
      <c r="N20" s="121"/>
      <c r="O20" s="121"/>
      <c r="P20" s="121"/>
      <c r="Q20" s="121"/>
      <c r="R20" s="121"/>
      <c r="S20" s="121"/>
      <c r="T20" s="121"/>
      <c r="U20" s="121"/>
      <c r="V20" s="121"/>
    </row>
    <row r="21" spans="1:22" ht="15" customHeight="1">
      <c r="A21" s="25"/>
      <c r="B21" s="17"/>
      <c r="C21" s="17"/>
      <c r="D21" s="17"/>
      <c r="E21" s="17"/>
      <c r="F21" s="17"/>
      <c r="G21" s="17"/>
      <c r="H21" s="17"/>
      <c r="I21" s="18"/>
      <c r="J21" s="31"/>
      <c r="K21"/>
      <c r="L21" s="121"/>
      <c r="M21" s="134"/>
      <c r="N21" s="819">
        <f>F12</f>
        <v>2023</v>
      </c>
      <c r="O21" s="819">
        <f>G12</f>
        <v>2024</v>
      </c>
      <c r="P21" s="820">
        <f>H12</f>
        <v>2025</v>
      </c>
      <c r="Q21" s="115" t="s">
        <v>800</v>
      </c>
      <c r="R21" s="121"/>
      <c r="S21" s="121"/>
      <c r="T21" s="121"/>
      <c r="U21" s="121"/>
      <c r="V21" s="121"/>
    </row>
    <row r="22" spans="1:22" ht="15" customHeight="1">
      <c r="A22" s="25"/>
      <c r="B22" s="17"/>
      <c r="C22" s="17"/>
      <c r="D22" s="17"/>
      <c r="E22" s="17"/>
      <c r="F22" s="17"/>
      <c r="G22" s="17"/>
      <c r="H22" s="17"/>
      <c r="I22" s="18"/>
      <c r="J22" s="31"/>
      <c r="K22"/>
      <c r="L22" s="121"/>
      <c r="M22" s="129" t="s">
        <v>793</v>
      </c>
      <c r="N22" s="587">
        <f t="shared" ref="N22:O25" si="0">F17</f>
        <v>0.11424000000000001</v>
      </c>
      <c r="O22" s="587">
        <f t="shared" si="0"/>
        <v>0.12794880000000003</v>
      </c>
      <c r="P22" s="821">
        <f>V13</f>
        <v>0.14621951219512194</v>
      </c>
      <c r="Q22" s="587">
        <f>IF(AC17=1,AVERAGE(N22:P22),P22)</f>
        <v>0.14621951219512194</v>
      </c>
      <c r="R22" s="535" t="s">
        <v>801</v>
      </c>
      <c r="S22" s="121" t="s">
        <v>802</v>
      </c>
      <c r="T22" s="121"/>
      <c r="U22" s="121"/>
      <c r="V22" s="121"/>
    </row>
    <row r="23" spans="1:22" ht="15" customHeight="1">
      <c r="A23" s="25"/>
      <c r="B23" s="17"/>
      <c r="C23" s="17"/>
      <c r="D23" s="17"/>
      <c r="E23" s="17"/>
      <c r="F23" s="17"/>
      <c r="G23" s="17"/>
      <c r="H23" s="17"/>
      <c r="I23" s="18"/>
      <c r="J23" s="31"/>
      <c r="K23"/>
      <c r="L23" s="121"/>
      <c r="M23" s="129" t="s">
        <v>795</v>
      </c>
      <c r="N23" s="587">
        <f t="shared" si="0"/>
        <v>0.12443200000000001</v>
      </c>
      <c r="O23" s="587">
        <f t="shared" si="0"/>
        <v>0.1365765632</v>
      </c>
      <c r="P23" s="821">
        <f>V14</f>
        <v>0.15597560975609756</v>
      </c>
      <c r="Q23" s="822">
        <f>IF(AC18=1,AVERAGE(N23:P23),P23)</f>
        <v>0.15597560975609756</v>
      </c>
      <c r="R23" s="535" t="s">
        <v>801</v>
      </c>
      <c r="S23" s="121" t="s">
        <v>802</v>
      </c>
      <c r="T23" s="121"/>
      <c r="U23" s="121"/>
      <c r="V23" s="121"/>
    </row>
    <row r="24" spans="1:22" ht="15" customHeight="1">
      <c r="A24" s="25"/>
      <c r="B24" s="17"/>
      <c r="C24" s="17"/>
      <c r="D24" s="17"/>
      <c r="E24" s="17"/>
      <c r="F24" s="17"/>
      <c r="G24" s="17"/>
      <c r="H24" s="17"/>
      <c r="I24" s="18"/>
      <c r="J24" s="31"/>
      <c r="K24"/>
      <c r="L24" s="121"/>
      <c r="M24" s="129" t="s">
        <v>796</v>
      </c>
      <c r="N24" s="587">
        <f t="shared" si="0"/>
        <v>8.3160000000000012E-2</v>
      </c>
      <c r="O24" s="587">
        <f t="shared" si="0"/>
        <v>8.232840000000001E-2</v>
      </c>
      <c r="P24" s="821">
        <f>V15</f>
        <v>8.3107497741644082E-2</v>
      </c>
      <c r="Q24" s="822">
        <f>IF(AC19=1,AVERAGE(N24:P24),P24)</f>
        <v>8.3107497741644082E-2</v>
      </c>
      <c r="R24" s="535" t="s">
        <v>801</v>
      </c>
      <c r="S24" s="121" t="s">
        <v>803</v>
      </c>
      <c r="T24" s="121"/>
      <c r="U24" s="121"/>
      <c r="V24" s="121"/>
    </row>
    <row r="25" spans="1:22" ht="15" customHeight="1">
      <c r="A25" s="25"/>
      <c r="B25" s="17"/>
      <c r="C25" s="28"/>
      <c r="D25" s="28"/>
      <c r="E25" s="28"/>
      <c r="F25" s="28"/>
      <c r="G25" s="28"/>
      <c r="H25" s="28"/>
      <c r="I25" s="18"/>
      <c r="J25" s="31"/>
      <c r="K25"/>
      <c r="L25" s="121"/>
      <c r="M25" s="129" t="s">
        <v>798</v>
      </c>
      <c r="N25" s="587">
        <f t="shared" si="0"/>
        <v>2.1559999999999996E-2</v>
      </c>
      <c r="O25" s="587">
        <f t="shared" si="0"/>
        <v>2.1775599999999996E-2</v>
      </c>
      <c r="P25" s="821">
        <f>V16</f>
        <v>2.1341463414634148E-2</v>
      </c>
      <c r="Q25" s="822">
        <f>IF(AC20=1,AVERAGE(N25:P25),P25)</f>
        <v>2.1341463414634148E-2</v>
      </c>
      <c r="R25" s="535" t="s">
        <v>801</v>
      </c>
      <c r="S25" s="121" t="s">
        <v>803</v>
      </c>
      <c r="T25" s="121"/>
      <c r="U25" s="121"/>
      <c r="V25" s="121"/>
    </row>
    <row r="26" spans="1:22" ht="15" customHeight="1">
      <c r="A26" s="25"/>
      <c r="B26" s="17"/>
      <c r="C26" s="28"/>
      <c r="D26" s="28"/>
      <c r="E26" s="28"/>
      <c r="F26" s="28"/>
      <c r="G26" s="28"/>
      <c r="H26" s="28"/>
      <c r="I26" s="18"/>
      <c r="J26" s="31"/>
      <c r="K26"/>
      <c r="L26" s="121"/>
      <c r="M26" s="126"/>
      <c r="N26" s="125"/>
      <c r="O26" s="125"/>
      <c r="P26" s="126"/>
      <c r="Q26" s="823">
        <f>SUM(Q22:Q25)</f>
        <v>0.40664408310749778</v>
      </c>
      <c r="R26" s="121"/>
      <c r="S26" s="121"/>
      <c r="T26" s="121"/>
      <c r="U26" s="121"/>
      <c r="V26" s="121"/>
    </row>
    <row r="27" spans="1:22" ht="15" customHeight="1">
      <c r="A27" s="25"/>
      <c r="B27" s="17"/>
      <c r="C27" s="28"/>
      <c r="D27" s="28"/>
      <c r="E27" s="28"/>
      <c r="F27" s="28"/>
      <c r="G27" s="28"/>
      <c r="H27" s="28"/>
      <c r="I27" s="18"/>
      <c r="J27" s="31"/>
      <c r="K27"/>
      <c r="L27" s="121"/>
      <c r="M27" s="121"/>
      <c r="N27" s="121"/>
      <c r="O27" s="121"/>
      <c r="P27" s="121"/>
      <c r="Q27" s="159" t="s">
        <v>110</v>
      </c>
      <c r="R27" s="121"/>
      <c r="S27" s="121"/>
      <c r="T27" s="121"/>
      <c r="U27" s="121"/>
      <c r="V27" s="121"/>
    </row>
    <row r="28" spans="1:22" ht="15" customHeight="1">
      <c r="A28" s="25"/>
      <c r="B28" s="17"/>
      <c r="C28" s="28"/>
      <c r="D28" s="28"/>
      <c r="E28" s="28"/>
      <c r="F28" s="28"/>
      <c r="G28" s="28"/>
      <c r="H28" s="28"/>
      <c r="I28" s="18"/>
      <c r="J28" s="31"/>
      <c r="K28"/>
      <c r="L28" s="121"/>
      <c r="M28" s="121"/>
      <c r="N28" s="121"/>
      <c r="O28" s="121"/>
      <c r="P28" s="121"/>
      <c r="Q28" s="121"/>
      <c r="R28" s="121"/>
      <c r="S28" s="121"/>
      <c r="T28" s="121"/>
      <c r="U28" s="121"/>
      <c r="V28" s="121"/>
    </row>
    <row r="29" spans="1:22" ht="15" customHeight="1">
      <c r="A29" s="22"/>
      <c r="B29" s="17"/>
      <c r="C29" s="17"/>
      <c r="D29" s="17"/>
      <c r="E29" s="17"/>
      <c r="F29" s="17"/>
      <c r="G29" s="17"/>
      <c r="H29" s="17"/>
      <c r="I29" s="18"/>
      <c r="J29" s="31"/>
      <c r="K29"/>
      <c r="L29" s="121"/>
      <c r="M29" s="121"/>
      <c r="N29" s="121"/>
      <c r="O29" s="121"/>
      <c r="P29" s="121"/>
      <c r="Q29" s="121"/>
      <c r="R29" s="121"/>
      <c r="S29" s="121"/>
      <c r="T29" s="121"/>
      <c r="U29" s="121"/>
      <c r="V29" s="121"/>
    </row>
    <row r="30" spans="1:22" ht="15" customHeight="1" thickBot="1">
      <c r="A30" s="24"/>
      <c r="B30" s="32"/>
      <c r="C30" s="32"/>
      <c r="D30" s="32"/>
      <c r="E30" s="32"/>
      <c r="F30" s="32"/>
      <c r="G30" s="32"/>
      <c r="H30" s="32"/>
      <c r="I30" s="33"/>
      <c r="J30" s="31"/>
      <c r="K30"/>
      <c r="L30"/>
      <c r="M30"/>
      <c r="N30"/>
      <c r="O30"/>
      <c r="P30"/>
      <c r="Q30"/>
      <c r="R30"/>
      <c r="S30"/>
      <c r="T30"/>
      <c r="U30"/>
    </row>
    <row r="31" spans="1:22" ht="15" customHeight="1">
      <c r="B31" s="31"/>
      <c r="C31" s="31"/>
      <c r="D31" s="31"/>
      <c r="E31" s="31"/>
      <c r="F31" s="31"/>
      <c r="G31" s="31"/>
      <c r="H31" s="31"/>
      <c r="I31" s="31"/>
      <c r="J31" s="31"/>
      <c r="K31"/>
      <c r="L31"/>
      <c r="M31"/>
      <c r="N31"/>
      <c r="O31"/>
      <c r="P31"/>
      <c r="Q31"/>
      <c r="R31"/>
      <c r="S31"/>
      <c r="T31"/>
      <c r="U31"/>
    </row>
    <row r="32" spans="1:22"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62" priority="1" operator="equal">
      <formula>"Incomplete"</formula>
    </cfRule>
    <cfRule type="cellIs" dxfId="61" priority="2" operator="equal">
      <formula>"Flag for Review"</formula>
    </cfRule>
    <cfRule type="cellIs" dxfId="60"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101"/>
  <sheetViews>
    <sheetView zoomScaleNormal="100" workbookViewId="0">
      <selection activeCell="K17" sqref="K17"/>
    </sheetView>
  </sheetViews>
  <sheetFormatPr defaultColWidth="9.140625" defaultRowHeight="15"/>
  <cols>
    <col min="1" max="1" width="9.140625" style="21"/>
    <col min="2" max="2" width="16" style="21" bestFit="1" customWidth="1"/>
    <col min="3" max="9" width="11.140625" style="21" customWidth="1"/>
    <col min="10" max="17" width="9.140625" style="21"/>
    <col min="18" max="18" width="9.7109375" style="21" customWidth="1"/>
    <col min="19" max="16384" width="9.140625" style="21"/>
  </cols>
  <sheetData>
    <row r="1" spans="1:21">
      <c r="A1" s="7">
        <v>11</v>
      </c>
      <c r="B1" s="27" t="s">
        <v>12</v>
      </c>
      <c r="C1" s="20"/>
      <c r="D1" s="20"/>
      <c r="E1" s="20"/>
      <c r="F1" s="20"/>
      <c r="G1" s="20"/>
      <c r="H1" s="886" t="s">
        <v>24</v>
      </c>
      <c r="I1" s="887"/>
      <c r="K1" s="1" t="s">
        <v>33</v>
      </c>
      <c r="L1" s="52" t="str">
        <f>VLOOKUP(A1,'Point Grid'!$L$8:$T$54,9,FALSE)</f>
        <v>Pricing - Chap 8: Indication</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s="151" t="s">
        <v>107</v>
      </c>
      <c r="M3" s="37" t="s">
        <v>115</v>
      </c>
      <c r="N3" s="37"/>
      <c r="O3" s="37"/>
      <c r="P3" s="37"/>
      <c r="Q3" s="37"/>
      <c r="R3" s="37"/>
      <c r="S3" s="37"/>
      <c r="T3" s="37"/>
      <c r="U3"/>
    </row>
    <row r="4" spans="1:21">
      <c r="A4" s="9">
        <f>INDEX('Point Grid'!B:B,MATCH(A1,'Point Grid'!A:A,0))</f>
        <v>1.5</v>
      </c>
      <c r="B4" s="17"/>
      <c r="C4" s="17"/>
      <c r="D4" s="17"/>
      <c r="E4" s="17"/>
      <c r="F4" s="17"/>
      <c r="G4" s="17"/>
      <c r="H4" s="17"/>
      <c r="I4" s="18"/>
      <c r="J4" s="31"/>
      <c r="K4" s="48"/>
      <c r="L4" s="37"/>
      <c r="M4" s="37"/>
      <c r="N4" s="37"/>
      <c r="O4" s="37"/>
      <c r="P4" s="37"/>
      <c r="Q4" s="37"/>
      <c r="R4" s="37"/>
      <c r="S4" s="37"/>
      <c r="T4" s="37"/>
      <c r="U4"/>
    </row>
    <row r="5" spans="1:21">
      <c r="A5" s="16"/>
      <c r="B5" s="17"/>
      <c r="C5" s="17"/>
      <c r="D5" s="17"/>
      <c r="E5" s="17"/>
      <c r="F5" s="17"/>
      <c r="G5" s="17"/>
      <c r="H5" s="17"/>
      <c r="I5" s="18"/>
      <c r="J5" s="31"/>
      <c r="K5" s="48"/>
      <c r="L5" s="121"/>
      <c r="M5" s="168" t="s">
        <v>116</v>
      </c>
      <c r="N5" s="153" t="s">
        <v>34</v>
      </c>
      <c r="O5" s="153">
        <f>H9</f>
        <v>228191</v>
      </c>
      <c r="P5" s="155" t="s">
        <v>36</v>
      </c>
      <c r="Q5" s="153">
        <f>H8</f>
        <v>349272</v>
      </c>
      <c r="R5" s="153" t="s">
        <v>34</v>
      </c>
      <c r="S5" s="169">
        <f>O5/Q5</f>
        <v>0.65333321880940931</v>
      </c>
      <c r="T5" s="155"/>
      <c r="U5"/>
    </row>
    <row r="6" spans="1:21">
      <c r="A6" s="25" t="s">
        <v>2</v>
      </c>
      <c r="B6" s="17" t="s">
        <v>111</v>
      </c>
      <c r="C6" s="17"/>
      <c r="D6" s="17"/>
      <c r="E6" s="17"/>
      <c r="F6" s="17"/>
      <c r="G6" s="17"/>
      <c r="H6" s="17"/>
      <c r="I6" s="18"/>
      <c r="J6" s="31"/>
      <c r="K6" s="48"/>
      <c r="L6" s="121"/>
      <c r="M6" s="170" t="s">
        <v>27</v>
      </c>
      <c r="N6" s="153" t="s">
        <v>34</v>
      </c>
      <c r="O6" s="153">
        <f>H10</f>
        <v>8749</v>
      </c>
      <c r="P6" s="155" t="s">
        <v>36</v>
      </c>
      <c r="Q6" s="153">
        <f>H8</f>
        <v>349272</v>
      </c>
      <c r="R6" s="153" t="s">
        <v>34</v>
      </c>
      <c r="S6" s="169">
        <f>O6/Q6</f>
        <v>2.5049245287340524E-2</v>
      </c>
      <c r="T6" s="121"/>
      <c r="U6"/>
    </row>
    <row r="7" spans="1:21" ht="15.75" thickBot="1">
      <c r="A7" s="9">
        <f>INDEX('Point Grid'!$C$8:$I$54,MATCH($A$1,'Point Grid'!$A$8:$A$54,0),MATCH(A6,'Point Grid'!$C$7:$I$7,0))</f>
        <v>1</v>
      </c>
      <c r="B7" s="17"/>
      <c r="C7" s="17"/>
      <c r="D7" s="17"/>
      <c r="E7" s="17"/>
      <c r="F7" s="17"/>
      <c r="G7" s="17"/>
      <c r="H7" s="17"/>
      <c r="I7" s="18"/>
      <c r="J7" s="31"/>
      <c r="K7" s="48"/>
      <c r="L7" s="121"/>
      <c r="M7" s="121"/>
      <c r="N7" s="153"/>
      <c r="O7" s="154"/>
      <c r="P7" s="121"/>
      <c r="Q7" s="121"/>
      <c r="R7" s="121"/>
      <c r="S7" s="171">
        <f>SUM(S5:S6)</f>
        <v>0.67838246409674985</v>
      </c>
      <c r="T7" s="121"/>
      <c r="U7"/>
    </row>
    <row r="8" spans="1:21" ht="15.75" thickBot="1">
      <c r="A8" s="5"/>
      <c r="B8" s="17"/>
      <c r="C8" s="135" t="s">
        <v>112</v>
      </c>
      <c r="D8" s="136"/>
      <c r="E8" s="137"/>
      <c r="F8" s="162"/>
      <c r="G8" s="163"/>
      <c r="H8" s="138">
        <v>349272</v>
      </c>
      <c r="I8" s="18"/>
      <c r="J8" s="31"/>
      <c r="K8"/>
      <c r="L8" s="121"/>
      <c r="M8" s="121"/>
      <c r="N8" s="121"/>
      <c r="O8" s="121"/>
      <c r="P8" s="121"/>
      <c r="Q8" s="121"/>
      <c r="R8" s="121"/>
      <c r="S8" s="121"/>
      <c r="T8" s="121"/>
      <c r="U8"/>
    </row>
    <row r="9" spans="1:21">
      <c r="A9" s="25"/>
      <c r="B9" s="17"/>
      <c r="C9" s="140" t="s">
        <v>113</v>
      </c>
      <c r="D9" s="141"/>
      <c r="E9" s="142"/>
      <c r="F9" s="144"/>
      <c r="G9" s="145"/>
      <c r="H9" s="143">
        <v>228191</v>
      </c>
      <c r="I9" s="18"/>
      <c r="J9" s="31"/>
      <c r="K9" s="48"/>
      <c r="L9" s="121"/>
      <c r="M9" s="121"/>
      <c r="N9" s="121"/>
      <c r="O9" s="121"/>
      <c r="P9" s="121"/>
      <c r="Q9" s="121"/>
      <c r="R9" s="121"/>
      <c r="S9" s="121"/>
      <c r="T9" s="121"/>
    </row>
    <row r="10" spans="1:21">
      <c r="A10" s="25"/>
      <c r="B10" s="17"/>
      <c r="C10" s="147" t="s">
        <v>114</v>
      </c>
      <c r="D10" s="148"/>
      <c r="E10" s="148"/>
      <c r="F10" s="164"/>
      <c r="G10" s="165"/>
      <c r="H10" s="166">
        <v>8749</v>
      </c>
      <c r="I10" s="18"/>
      <c r="J10" s="31"/>
      <c r="K10"/>
      <c r="L10" s="156" t="s">
        <v>108</v>
      </c>
      <c r="M10" s="37" t="s">
        <v>117</v>
      </c>
      <c r="N10" s="121"/>
      <c r="O10" s="121"/>
      <c r="P10" s="121"/>
      <c r="Q10" s="121"/>
      <c r="R10" s="121"/>
      <c r="S10" s="121"/>
      <c r="T10" s="121"/>
      <c r="U10"/>
    </row>
    <row r="11" spans="1:21">
      <c r="A11" s="25"/>
      <c r="B11" s="17"/>
      <c r="C11" s="140" t="s">
        <v>105</v>
      </c>
      <c r="D11" s="141"/>
      <c r="E11" s="141"/>
      <c r="F11" s="144"/>
      <c r="G11" s="145"/>
      <c r="H11" s="167">
        <v>0.18</v>
      </c>
      <c r="I11" s="18"/>
      <c r="J11" s="31"/>
      <c r="K11"/>
      <c r="L11" s="121"/>
      <c r="M11" s="121"/>
      <c r="N11" s="121"/>
      <c r="O11" s="121"/>
      <c r="P11" s="121"/>
      <c r="Q11" s="121"/>
      <c r="R11" s="121"/>
      <c r="S11" s="121"/>
      <c r="T11" s="121"/>
      <c r="U11"/>
    </row>
    <row r="12" spans="1:21">
      <c r="A12" s="25"/>
      <c r="B12" s="17"/>
      <c r="C12" s="147" t="s">
        <v>106</v>
      </c>
      <c r="D12" s="148"/>
      <c r="E12" s="148"/>
      <c r="F12" s="164"/>
      <c r="G12" s="165"/>
      <c r="H12" s="150">
        <v>0.05</v>
      </c>
      <c r="I12" s="18"/>
      <c r="J12" s="31"/>
      <c r="K12"/>
      <c r="L12" s="121"/>
      <c r="M12" s="172" t="s">
        <v>66</v>
      </c>
      <c r="N12" s="153" t="s">
        <v>34</v>
      </c>
      <c r="O12" s="121" t="s">
        <v>118</v>
      </c>
      <c r="P12" s="121"/>
      <c r="Q12" s="155" t="s">
        <v>36</v>
      </c>
      <c r="R12" s="121" t="s">
        <v>109</v>
      </c>
      <c r="S12" s="173" t="s">
        <v>119</v>
      </c>
      <c r="T12" s="174">
        <v>1</v>
      </c>
      <c r="U12"/>
    </row>
    <row r="13" spans="1:21">
      <c r="A13" s="25"/>
      <c r="B13" s="17"/>
      <c r="C13" s="28"/>
      <c r="D13" s="28"/>
      <c r="E13" s="28"/>
      <c r="F13" s="28"/>
      <c r="G13" s="28"/>
      <c r="H13" s="28"/>
      <c r="I13" s="18"/>
      <c r="J13" s="31"/>
      <c r="K13" s="48"/>
      <c r="L13" s="121"/>
      <c r="M13" s="37"/>
      <c r="N13" s="153" t="s">
        <v>34</v>
      </c>
      <c r="O13" s="175">
        <f>S7</f>
        <v>0.67838246409674985</v>
      </c>
      <c r="P13" s="37"/>
      <c r="Q13" s="155" t="s">
        <v>36</v>
      </c>
      <c r="R13" s="157">
        <f>1-H11-H12</f>
        <v>0.77</v>
      </c>
      <c r="S13" s="173" t="s">
        <v>119</v>
      </c>
      <c r="T13" s="174">
        <v>1</v>
      </c>
      <c r="U13"/>
    </row>
    <row r="14" spans="1:21">
      <c r="A14" s="25" t="s">
        <v>3</v>
      </c>
      <c r="B14" s="17" t="s">
        <v>808</v>
      </c>
      <c r="C14" s="28"/>
      <c r="D14" s="28"/>
      <c r="E14" s="28"/>
      <c r="F14" s="28"/>
      <c r="G14" s="28"/>
      <c r="H14" s="28"/>
      <c r="I14" s="18"/>
      <c r="J14" s="31"/>
      <c r="K14"/>
      <c r="L14" s="121"/>
      <c r="M14" s="121"/>
      <c r="N14" s="153" t="s">
        <v>34</v>
      </c>
      <c r="O14" s="176">
        <f>O13/R13-T13</f>
        <v>-0.11898381286136384</v>
      </c>
      <c r="P14" s="121"/>
      <c r="Q14" s="121"/>
      <c r="R14" s="121"/>
      <c r="S14" s="121"/>
      <c r="T14" s="121"/>
      <c r="U14"/>
    </row>
    <row r="15" spans="1:21" ht="15.75" thickBot="1">
      <c r="A15" s="9">
        <f>INDEX('Point Grid'!$C$8:$I$54,MATCH($A$1,'Point Grid'!$A$8:$A$54,0),MATCH(A14,'Point Grid'!$C$7:$I$7,0))</f>
        <v>0.5</v>
      </c>
      <c r="B15" s="17"/>
      <c r="C15" s="28"/>
      <c r="D15" s="28"/>
      <c r="E15" s="28"/>
      <c r="F15" s="28"/>
      <c r="G15" s="28"/>
      <c r="H15" s="28"/>
      <c r="I15" s="18"/>
      <c r="J15" s="31"/>
      <c r="K15"/>
      <c r="L15" s="121"/>
      <c r="M15" s="121"/>
      <c r="N15" s="121"/>
      <c r="O15" s="159" t="s">
        <v>110</v>
      </c>
      <c r="P15" s="121"/>
      <c r="Q15" s="121"/>
      <c r="R15" s="121"/>
      <c r="S15" s="121"/>
      <c r="T15" s="121"/>
      <c r="U15"/>
    </row>
    <row r="16" spans="1:21" ht="15.75" thickBot="1">
      <c r="A16" s="5"/>
      <c r="B16" s="17"/>
      <c r="C16" s="28"/>
      <c r="D16" s="28"/>
      <c r="E16" s="28"/>
      <c r="F16" s="28"/>
      <c r="G16" s="28"/>
      <c r="H16" s="28"/>
      <c r="I16" s="18"/>
      <c r="J16" s="31"/>
      <c r="K16" s="48"/>
      <c r="L16" s="1"/>
      <c r="M16"/>
      <c r="N16"/>
      <c r="O16"/>
      <c r="P16"/>
      <c r="Q16"/>
      <c r="R16"/>
      <c r="S16"/>
      <c r="T16"/>
      <c r="U16"/>
    </row>
    <row r="17" spans="1:21">
      <c r="A17" s="25"/>
      <c r="B17" s="17"/>
      <c r="C17" s="28"/>
      <c r="D17" s="28"/>
      <c r="E17" s="28"/>
      <c r="F17" s="28"/>
      <c r="G17" s="28"/>
      <c r="H17" s="28"/>
      <c r="I17" s="18"/>
      <c r="J17" s="31"/>
      <c r="K17" s="48" t="s">
        <v>3</v>
      </c>
      <c r="L17" s="1" t="s">
        <v>814</v>
      </c>
      <c r="M17"/>
      <c r="N17"/>
      <c r="O17"/>
      <c r="P17"/>
      <c r="Q17"/>
      <c r="R17"/>
      <c r="S17"/>
      <c r="T17"/>
      <c r="U17"/>
    </row>
    <row r="18" spans="1:21" ht="15" customHeight="1">
      <c r="A18" s="25"/>
      <c r="B18" s="17"/>
      <c r="C18" s="28"/>
      <c r="D18" s="28"/>
      <c r="E18" s="28"/>
      <c r="F18" s="28"/>
      <c r="G18" s="28"/>
      <c r="H18" s="28"/>
      <c r="I18" s="18"/>
      <c r="J18" s="31"/>
      <c r="K18"/>
      <c r="L18" t="s">
        <v>809</v>
      </c>
      <c r="M18"/>
      <c r="N18"/>
      <c r="O18"/>
      <c r="P18"/>
      <c r="Q18"/>
      <c r="R18"/>
      <c r="S18"/>
      <c r="T18"/>
      <c r="U18"/>
    </row>
    <row r="19" spans="1:21" ht="15" customHeight="1">
      <c r="A19" s="25"/>
      <c r="B19" s="17"/>
      <c r="C19" s="28"/>
      <c r="D19" s="28"/>
      <c r="E19" s="28"/>
      <c r="F19" s="28"/>
      <c r="G19" s="28"/>
      <c r="H19" s="28"/>
      <c r="I19" s="18"/>
      <c r="J19" s="31"/>
      <c r="K19"/>
      <c r="L19" t="s">
        <v>810</v>
      </c>
      <c r="M19"/>
      <c r="N19"/>
      <c r="O19"/>
      <c r="P19"/>
      <c r="Q19"/>
      <c r="R19"/>
      <c r="S19"/>
      <c r="T19"/>
      <c r="U19"/>
    </row>
    <row r="20" spans="1:21" ht="15" customHeight="1">
      <c r="A20" s="25"/>
      <c r="B20" s="17"/>
      <c r="C20" s="28"/>
      <c r="D20" s="28"/>
      <c r="E20" s="28"/>
      <c r="F20" s="28"/>
      <c r="G20" s="28"/>
      <c r="H20" s="28"/>
      <c r="I20" s="18"/>
      <c r="J20" s="31"/>
      <c r="K20"/>
      <c r="L20"/>
      <c r="M20"/>
      <c r="N20"/>
      <c r="O20"/>
      <c r="P20"/>
      <c r="Q20"/>
      <c r="R20"/>
      <c r="S20"/>
      <c r="T20"/>
      <c r="U20"/>
    </row>
    <row r="21" spans="1:21" ht="15" customHeight="1">
      <c r="A21" s="25"/>
      <c r="B21" s="17"/>
      <c r="C21" s="28"/>
      <c r="D21" s="28"/>
      <c r="E21" s="28"/>
      <c r="F21" s="28"/>
      <c r="G21" s="28"/>
      <c r="H21" s="28"/>
      <c r="I21" s="18"/>
      <c r="J21" s="31"/>
      <c r="K21"/>
      <c r="L21" s="1" t="s">
        <v>815</v>
      </c>
      <c r="M21"/>
      <c r="N21"/>
      <c r="O21"/>
      <c r="P21"/>
      <c r="Q21"/>
      <c r="R21"/>
      <c r="S21"/>
      <c r="T21"/>
      <c r="U21"/>
    </row>
    <row r="22" spans="1:21" ht="15" customHeight="1">
      <c r="A22" s="25"/>
      <c r="B22" s="17"/>
      <c r="C22" s="28"/>
      <c r="D22" s="28"/>
      <c r="E22" s="28"/>
      <c r="F22" s="28"/>
      <c r="G22" s="28"/>
      <c r="H22" s="28"/>
      <c r="I22" s="18"/>
      <c r="J22" s="31"/>
      <c r="K22"/>
      <c r="L22" t="s">
        <v>811</v>
      </c>
      <c r="M22"/>
      <c r="N22"/>
      <c r="O22"/>
      <c r="P22"/>
      <c r="Q22"/>
      <c r="R22"/>
      <c r="S22"/>
      <c r="T22"/>
      <c r="U22"/>
    </row>
    <row r="23" spans="1:21" ht="15" customHeight="1">
      <c r="A23" s="25"/>
      <c r="B23" s="17"/>
      <c r="C23" s="28"/>
      <c r="D23" s="28"/>
      <c r="E23" s="28"/>
      <c r="F23" s="28"/>
      <c r="G23" s="28"/>
      <c r="H23" s="28"/>
      <c r="I23" s="18"/>
      <c r="J23" s="31"/>
      <c r="K23"/>
      <c r="L23" t="s">
        <v>812</v>
      </c>
      <c r="M23"/>
      <c r="N23"/>
      <c r="O23"/>
      <c r="P23"/>
      <c r="Q23"/>
      <c r="R23"/>
      <c r="S23"/>
      <c r="T23"/>
      <c r="U23"/>
    </row>
    <row r="24" spans="1:21" ht="15" customHeight="1">
      <c r="A24" s="25"/>
      <c r="B24" s="17"/>
      <c r="C24" s="28"/>
      <c r="D24" s="28"/>
      <c r="E24" s="28"/>
      <c r="F24" s="28"/>
      <c r="G24" s="28"/>
      <c r="H24" s="28"/>
      <c r="I24" s="18"/>
      <c r="J24" s="31"/>
      <c r="K24"/>
      <c r="L24" t="s">
        <v>813</v>
      </c>
      <c r="M24"/>
      <c r="N24"/>
      <c r="O24"/>
      <c r="P24"/>
      <c r="Q24"/>
      <c r="R24"/>
      <c r="S24"/>
      <c r="T24"/>
      <c r="U24"/>
    </row>
    <row r="25" spans="1:21" ht="15" customHeight="1">
      <c r="A25" s="25"/>
      <c r="B25" s="17"/>
      <c r="C25" s="28"/>
      <c r="D25" s="28"/>
      <c r="E25" s="28"/>
      <c r="F25" s="28"/>
      <c r="G25" s="28"/>
      <c r="H25" s="28"/>
      <c r="I25" s="18"/>
      <c r="J25" s="31"/>
      <c r="K25"/>
      <c r="L25"/>
      <c r="M25"/>
      <c r="N25"/>
      <c r="O25"/>
      <c r="P25"/>
      <c r="Q25"/>
      <c r="R25"/>
      <c r="S25"/>
      <c r="T25"/>
      <c r="U25"/>
    </row>
    <row r="26" spans="1:21" ht="15" customHeight="1">
      <c r="A26" s="25"/>
      <c r="B26" s="17"/>
      <c r="C26" s="28"/>
      <c r="D26" s="28"/>
      <c r="E26" s="28"/>
      <c r="F26" s="28"/>
      <c r="G26" s="28"/>
      <c r="H26" s="28"/>
      <c r="I26" s="18"/>
      <c r="J26" s="31"/>
      <c r="K26"/>
      <c r="L26"/>
      <c r="M26"/>
      <c r="N26"/>
      <c r="O26"/>
      <c r="P26"/>
      <c r="Q26"/>
      <c r="R26"/>
      <c r="S26"/>
      <c r="T26"/>
      <c r="U26"/>
    </row>
    <row r="27" spans="1:21" ht="15" customHeight="1">
      <c r="A27" s="25"/>
      <c r="B27" s="17"/>
      <c r="C27" s="28"/>
      <c r="D27" s="28"/>
      <c r="E27" s="28"/>
      <c r="F27" s="28"/>
      <c r="G27" s="28"/>
      <c r="H27" s="28"/>
      <c r="I27" s="18"/>
      <c r="J27" s="31"/>
      <c r="K27"/>
      <c r="L27"/>
      <c r="M27"/>
      <c r="N27"/>
      <c r="O27"/>
      <c r="P27"/>
      <c r="Q27"/>
      <c r="R27"/>
      <c r="S27"/>
      <c r="T27"/>
      <c r="U27"/>
    </row>
    <row r="28" spans="1:21" ht="15" customHeight="1">
      <c r="A28" s="25"/>
      <c r="B28" s="17"/>
      <c r="C28" s="28"/>
      <c r="D28" s="28"/>
      <c r="E28" s="28"/>
      <c r="F28" s="28"/>
      <c r="G28" s="28"/>
      <c r="H28" s="28"/>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sortState ref="K46:Q179">
    <sortCondition ref="K46:K179"/>
  </sortState>
  <mergeCells count="1">
    <mergeCell ref="H1:I1"/>
  </mergeCells>
  <conditionalFormatting sqref="B1">
    <cfRule type="cellIs" dxfId="59" priority="1" operator="equal">
      <formula>"Incomplete"</formula>
    </cfRule>
    <cfRule type="cellIs" dxfId="58" priority="2" operator="equal">
      <formula>"Flag for Review"</formula>
    </cfRule>
    <cfRule type="cellIs" dxfId="5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N101"/>
  <sheetViews>
    <sheetView zoomScaleNormal="100" workbookViewId="0"/>
  </sheetViews>
  <sheetFormatPr defaultColWidth="9.140625" defaultRowHeight="15"/>
  <cols>
    <col min="1" max="1" width="9.140625" style="21"/>
    <col min="2" max="2" width="16" style="21" bestFit="1" customWidth="1"/>
    <col min="3" max="4" width="11.140625" style="21" customWidth="1"/>
    <col min="5" max="5" width="4.7109375" style="21" customWidth="1"/>
    <col min="6" max="7" width="11.140625" style="21" customWidth="1"/>
    <col min="8" max="8" width="4.7109375" style="21" customWidth="1"/>
    <col min="9" max="13" width="11.140625" style="21" customWidth="1"/>
    <col min="14" max="16" width="9.140625" style="21"/>
    <col min="17" max="17" width="10.7109375" style="21" customWidth="1"/>
    <col min="18" max="21" width="9.140625" style="21"/>
    <col min="22" max="22" width="10.7109375" style="21" customWidth="1"/>
    <col min="23" max="16384" width="9.140625" style="21"/>
  </cols>
  <sheetData>
    <row r="1" spans="1:40">
      <c r="A1" s="7">
        <v>12</v>
      </c>
      <c r="B1" s="27" t="s">
        <v>12</v>
      </c>
      <c r="C1" s="20"/>
      <c r="D1" s="20"/>
      <c r="E1" s="20"/>
      <c r="F1" s="20"/>
      <c r="G1" s="20"/>
      <c r="H1" s="20"/>
      <c r="I1" s="20"/>
      <c r="J1" s="20"/>
      <c r="K1" s="20"/>
      <c r="L1" s="886" t="s">
        <v>24</v>
      </c>
      <c r="M1" s="887"/>
      <c r="O1" s="1" t="s">
        <v>33</v>
      </c>
      <c r="P1" s="52" t="str">
        <f>VLOOKUP(A1,'Point Grid'!$L$8:$T$54,9,FALSE)</f>
        <v>Pricing - Chap 8: Indication</v>
      </c>
      <c r="Q1"/>
      <c r="R1"/>
      <c r="S1"/>
      <c r="T1"/>
      <c r="U1"/>
      <c r="V1"/>
      <c r="W1"/>
      <c r="X1"/>
      <c r="Y1"/>
    </row>
    <row r="2" spans="1:40">
      <c r="A2" s="22"/>
      <c r="B2" s="19"/>
      <c r="C2" s="19"/>
      <c r="D2" s="19"/>
      <c r="E2" s="19"/>
      <c r="F2" s="19"/>
      <c r="G2" s="19"/>
      <c r="H2" s="19"/>
      <c r="I2" s="19"/>
      <c r="J2" s="19"/>
      <c r="K2" s="19"/>
      <c r="L2" s="19"/>
      <c r="M2" s="23"/>
      <c r="O2" s="1"/>
      <c r="P2"/>
      <c r="Q2"/>
      <c r="R2"/>
      <c r="S2"/>
      <c r="T2"/>
      <c r="U2"/>
      <c r="V2"/>
      <c r="W2"/>
      <c r="X2"/>
      <c r="Y2"/>
    </row>
    <row r="3" spans="1:40">
      <c r="A3" s="8" t="s">
        <v>13</v>
      </c>
      <c r="B3" s="17"/>
      <c r="C3" s="17"/>
      <c r="D3" s="17"/>
      <c r="E3" s="17"/>
      <c r="F3" s="17"/>
      <c r="G3" s="17"/>
      <c r="H3" s="17"/>
      <c r="I3" s="17"/>
      <c r="J3" s="17"/>
      <c r="K3" s="17"/>
      <c r="L3" s="17"/>
      <c r="M3" s="18"/>
      <c r="N3" s="31"/>
      <c r="O3" s="224" t="s">
        <v>149</v>
      </c>
      <c r="P3" s="37" t="s">
        <v>150</v>
      </c>
      <c r="Q3" s="37"/>
      <c r="R3" s="37"/>
      <c r="S3" s="37"/>
      <c r="T3" s="37"/>
      <c r="U3" s="37"/>
      <c r="V3" s="37"/>
      <c r="W3" s="37"/>
      <c r="X3" s="37"/>
      <c r="Y3" s="37"/>
      <c r="Z3" s="37"/>
      <c r="AA3" s="37"/>
      <c r="AB3" s="50" t="s">
        <v>151</v>
      </c>
      <c r="AC3" s="37"/>
      <c r="AD3" s="37"/>
      <c r="AE3" s="37"/>
      <c r="AF3" s="37"/>
      <c r="AG3" s="37"/>
      <c r="AH3" s="37"/>
      <c r="AI3" s="37"/>
      <c r="AJ3" s="37"/>
      <c r="AK3" s="37"/>
      <c r="AL3" s="37"/>
      <c r="AM3" s="37"/>
      <c r="AN3" s="37"/>
    </row>
    <row r="4" spans="1:40">
      <c r="A4" s="9">
        <f>INDEX('Point Grid'!B:B,MATCH(A1,'Point Grid'!A:A,0))</f>
        <v>3.25</v>
      </c>
      <c r="B4" s="17"/>
      <c r="C4" s="17"/>
      <c r="D4" s="17"/>
      <c r="E4" s="17"/>
      <c r="F4" s="17"/>
      <c r="G4" s="17"/>
      <c r="H4" s="17"/>
      <c r="I4" s="17"/>
      <c r="J4" s="17"/>
      <c r="K4" s="17"/>
      <c r="L4" s="17"/>
      <c r="M4" s="18"/>
      <c r="N4" s="31"/>
      <c r="O4" s="37"/>
      <c r="P4" s="37" t="s">
        <v>152</v>
      </c>
      <c r="Q4" s="37"/>
      <c r="R4" s="37"/>
      <c r="S4" s="37"/>
      <c r="T4" s="37"/>
      <c r="U4" s="37"/>
      <c r="V4" s="37"/>
      <c r="W4" s="37"/>
      <c r="X4" s="37"/>
      <c r="Y4" s="37"/>
      <c r="Z4" s="37"/>
      <c r="AA4" s="37"/>
      <c r="AB4" s="50" t="s">
        <v>151</v>
      </c>
      <c r="AC4" s="1" t="s">
        <v>153</v>
      </c>
      <c r="AD4" s="37"/>
      <c r="AE4" s="37"/>
      <c r="AF4" s="37"/>
      <c r="AG4" s="37"/>
      <c r="AH4" s="37"/>
      <c r="AI4" s="37"/>
      <c r="AJ4" s="37"/>
      <c r="AK4" s="37"/>
      <c r="AL4" s="37"/>
      <c r="AM4" s="37"/>
      <c r="AN4" s="37"/>
    </row>
    <row r="5" spans="1:40">
      <c r="A5" s="16"/>
      <c r="B5" s="17"/>
      <c r="C5" s="17"/>
      <c r="D5" s="17"/>
      <c r="E5" s="17"/>
      <c r="F5" s="17"/>
      <c r="G5" s="17"/>
      <c r="H5" s="17"/>
      <c r="I5" s="17"/>
      <c r="J5" s="17"/>
      <c r="K5" s="17"/>
      <c r="L5" s="17"/>
      <c r="M5" s="18"/>
      <c r="N5" s="31"/>
      <c r="O5" s="37"/>
      <c r="P5" s="225" t="s">
        <v>154</v>
      </c>
      <c r="Q5" s="37"/>
      <c r="R5" s="37"/>
      <c r="S5" s="37"/>
      <c r="T5" s="37"/>
      <c r="U5" s="37"/>
      <c r="V5" s="37"/>
      <c r="W5" s="37"/>
      <c r="X5" s="37"/>
      <c r="Y5" s="37"/>
      <c r="Z5" s="37"/>
      <c r="AA5" s="37"/>
      <c r="AB5" s="50" t="s">
        <v>151</v>
      </c>
      <c r="AC5" s="37"/>
      <c r="AD5" s="37"/>
      <c r="AE5" s="37"/>
      <c r="AF5" s="37"/>
      <c r="AG5" s="37"/>
      <c r="AH5" s="37"/>
      <c r="AI5" s="37"/>
      <c r="AJ5" s="37"/>
      <c r="AK5" s="37"/>
      <c r="AL5" s="37"/>
      <c r="AM5" s="37"/>
      <c r="AN5" s="37"/>
    </row>
    <row r="6" spans="1:40">
      <c r="A6" s="25" t="s">
        <v>2</v>
      </c>
      <c r="B6" s="17" t="s">
        <v>121</v>
      </c>
      <c r="C6" s="17"/>
      <c r="D6" s="17"/>
      <c r="E6" s="17"/>
      <c r="F6" s="17"/>
      <c r="G6" s="17"/>
      <c r="H6" s="17"/>
      <c r="I6" s="17"/>
      <c r="J6" s="17"/>
      <c r="K6" s="17"/>
      <c r="L6" s="17"/>
      <c r="M6" s="18"/>
      <c r="N6" s="31"/>
      <c r="O6" s="37"/>
      <c r="P6" s="37"/>
      <c r="Q6" s="37"/>
      <c r="R6" s="37"/>
      <c r="S6" s="37"/>
      <c r="T6" s="37"/>
      <c r="U6" s="37"/>
      <c r="V6" s="37"/>
      <c r="W6" s="37"/>
      <c r="X6" s="37"/>
      <c r="Y6" s="37"/>
      <c r="Z6" s="37"/>
      <c r="AA6" s="37"/>
      <c r="AB6" s="153" t="s">
        <v>151</v>
      </c>
      <c r="AC6" s="37"/>
      <c r="AD6" s="37"/>
      <c r="AE6" s="37"/>
      <c r="AF6" s="37"/>
      <c r="AG6" s="37"/>
      <c r="AH6" s="37"/>
      <c r="AI6" s="37"/>
      <c r="AJ6" s="37"/>
      <c r="AK6" s="37"/>
      <c r="AL6" s="37"/>
      <c r="AM6" s="37"/>
      <c r="AN6" s="37"/>
    </row>
    <row r="7" spans="1:40" ht="15.75" thickBot="1">
      <c r="A7" s="9">
        <f>INDEX('Point Grid'!$C$8:$I$54,MATCH($A$1,'Point Grid'!$A$8:$A$54,0),MATCH(A6,'Point Grid'!$C$7:$I$7,0))</f>
        <v>2</v>
      </c>
      <c r="B7" s="17" t="s">
        <v>122</v>
      </c>
      <c r="C7" s="17"/>
      <c r="D7" s="17"/>
      <c r="E7" s="17"/>
      <c r="F7" s="17"/>
      <c r="G7" s="17"/>
      <c r="H7" s="17"/>
      <c r="I7" s="17"/>
      <c r="J7" s="17"/>
      <c r="K7" s="17"/>
      <c r="L7" s="17"/>
      <c r="M7" s="18"/>
      <c r="N7" s="31"/>
      <c r="O7" s="151" t="s">
        <v>155</v>
      </c>
      <c r="P7" s="37" t="s">
        <v>156</v>
      </c>
      <c r="Q7" s="37"/>
      <c r="R7" s="37"/>
      <c r="S7" s="37"/>
      <c r="T7" s="226">
        <f>B25</f>
        <v>2023</v>
      </c>
      <c r="U7" s="37"/>
      <c r="V7" s="37"/>
      <c r="W7" s="37"/>
      <c r="X7" s="37"/>
      <c r="Y7" s="37"/>
      <c r="Z7" s="37"/>
      <c r="AA7" s="37"/>
      <c r="AB7" s="153" t="s">
        <v>151</v>
      </c>
      <c r="AC7" s="37"/>
      <c r="AD7" s="37"/>
      <c r="AE7" s="37"/>
      <c r="AF7" s="37"/>
      <c r="AG7" s="37"/>
      <c r="AH7" s="37"/>
      <c r="AI7" s="37"/>
      <c r="AJ7" s="37"/>
      <c r="AK7" s="37"/>
      <c r="AL7" s="37"/>
      <c r="AM7" s="37"/>
      <c r="AN7" s="37"/>
    </row>
    <row r="8" spans="1:40" ht="15.75" thickBot="1">
      <c r="A8" s="5"/>
      <c r="B8" s="17"/>
      <c r="C8" s="28"/>
      <c r="D8" s="28"/>
      <c r="E8" s="28"/>
      <c r="F8" s="28"/>
      <c r="G8" s="28"/>
      <c r="H8" s="28"/>
      <c r="I8" s="28"/>
      <c r="J8" s="28"/>
      <c r="K8" s="28"/>
      <c r="L8" s="28"/>
      <c r="M8" s="18"/>
      <c r="N8" s="31"/>
      <c r="O8" s="37"/>
      <c r="P8" s="37"/>
      <c r="Q8" s="37"/>
      <c r="R8" s="37"/>
      <c r="S8" s="37"/>
      <c r="T8" s="37"/>
      <c r="U8" s="37"/>
      <c r="V8" s="37"/>
      <c r="W8" s="37"/>
      <c r="X8" s="37"/>
      <c r="Y8" s="37"/>
      <c r="Z8" s="37"/>
      <c r="AA8" s="37"/>
      <c r="AB8" s="153" t="s">
        <v>151</v>
      </c>
      <c r="AC8" s="151" t="s">
        <v>157</v>
      </c>
      <c r="AD8" s="1" t="s">
        <v>158</v>
      </c>
      <c r="AE8" s="37"/>
      <c r="AF8" s="37"/>
      <c r="AG8" s="37"/>
      <c r="AH8" s="37"/>
      <c r="AI8" s="37"/>
      <c r="AJ8" s="37"/>
      <c r="AK8" s="37"/>
      <c r="AL8" s="227" t="s">
        <v>159</v>
      </c>
      <c r="AM8" s="227" t="s">
        <v>160</v>
      </c>
      <c r="AN8" s="227" t="s">
        <v>161</v>
      </c>
    </row>
    <row r="9" spans="1:40">
      <c r="A9" s="25"/>
      <c r="B9" s="17"/>
      <c r="C9" s="17"/>
      <c r="D9" s="17"/>
      <c r="E9" s="17"/>
      <c r="F9" s="17"/>
      <c r="G9" s="17"/>
      <c r="H9" s="17"/>
      <c r="I9" s="17"/>
      <c r="J9" s="17"/>
      <c r="K9" s="17"/>
      <c r="L9" s="17"/>
      <c r="M9" s="18"/>
      <c r="N9" s="31"/>
      <c r="O9" s="121"/>
      <c r="P9" s="121" t="s">
        <v>162</v>
      </c>
      <c r="Q9" s="153" t="s">
        <v>34</v>
      </c>
      <c r="R9" s="121" t="str">
        <f>"(mid-point of AY " &amp;T7&amp; " historical period)"</f>
        <v>(mid-point of AY 2023 historical period)</v>
      </c>
      <c r="S9" s="121"/>
      <c r="T9" s="121"/>
      <c r="U9" s="121"/>
      <c r="V9" s="121"/>
      <c r="W9" s="153" t="s">
        <v>34</v>
      </c>
      <c r="X9" s="226">
        <f>B25</f>
        <v>2023</v>
      </c>
      <c r="Y9" s="155" t="s">
        <v>163</v>
      </c>
      <c r="Z9" s="155" t="s">
        <v>164</v>
      </c>
      <c r="AA9" s="121"/>
      <c r="AB9" s="153" t="s">
        <v>151</v>
      </c>
      <c r="AC9" s="121"/>
      <c r="AD9" s="153" t="s">
        <v>165</v>
      </c>
      <c r="AE9" s="153" t="s">
        <v>34</v>
      </c>
      <c r="AF9" s="121" t="s">
        <v>166</v>
      </c>
      <c r="AG9" s="121"/>
      <c r="AH9" s="121"/>
      <c r="AI9" s="121"/>
      <c r="AJ9" s="121"/>
      <c r="AK9" s="153" t="s">
        <v>34</v>
      </c>
      <c r="AL9" s="228">
        <f>X9+INT((Y9-0.5*D36)/12)</f>
        <v>2023</v>
      </c>
      <c r="AM9" s="153" t="str">
        <f>RIGHT("0"&amp;MOD(Y9-0.5*D36,12),2)</f>
        <v>04</v>
      </c>
      <c r="AN9" s="153" t="str">
        <f>Z9</f>
        <v>01</v>
      </c>
    </row>
    <row r="10" spans="1:40">
      <c r="A10" s="25" t="s">
        <v>3</v>
      </c>
      <c r="B10" s="17" t="s">
        <v>124</v>
      </c>
      <c r="C10" s="17"/>
      <c r="D10" s="17"/>
      <c r="E10" s="17"/>
      <c r="F10" s="17"/>
      <c r="G10" s="17"/>
      <c r="H10" s="17"/>
      <c r="I10" s="17"/>
      <c r="J10" s="17"/>
      <c r="K10" s="17"/>
      <c r="L10" s="17"/>
      <c r="M10" s="18"/>
      <c r="O10" s="121"/>
      <c r="P10" s="121" t="s">
        <v>167</v>
      </c>
      <c r="Q10" s="153" t="s">
        <v>34</v>
      </c>
      <c r="R10" s="121" t="s">
        <v>168</v>
      </c>
      <c r="S10" s="121"/>
      <c r="T10" s="121"/>
      <c r="U10" s="121"/>
      <c r="V10" s="121"/>
      <c r="W10" s="153" t="s">
        <v>34</v>
      </c>
      <c r="X10" s="228">
        <f>AL10+INT((AM10+0.5*D36)/12)</f>
        <v>2027</v>
      </c>
      <c r="Y10" s="155" t="str">
        <f>RIGHT("0"&amp;MOD(AM10+0.5*D36,12),2)</f>
        <v>01</v>
      </c>
      <c r="Z10" s="155" t="str">
        <f>AN10</f>
        <v>01</v>
      </c>
      <c r="AA10" s="121"/>
      <c r="AB10" s="153" t="s">
        <v>151</v>
      </c>
      <c r="AC10" s="121"/>
      <c r="AD10" s="153" t="s">
        <v>169</v>
      </c>
      <c r="AE10" s="153" t="s">
        <v>34</v>
      </c>
      <c r="AF10" s="121" t="s">
        <v>170</v>
      </c>
      <c r="AG10" s="121"/>
      <c r="AH10" s="121"/>
      <c r="AI10" s="121"/>
      <c r="AJ10" s="121"/>
      <c r="AK10" s="153" t="s">
        <v>34</v>
      </c>
      <c r="AL10" s="228">
        <f>D34+INT((E34+D35/2)/12)</f>
        <v>2026</v>
      </c>
      <c r="AM10" s="153" t="str">
        <f>RIGHT("0"&amp;MOD(E34+D35/2,12),2)</f>
        <v>10</v>
      </c>
      <c r="AN10" s="153" t="str">
        <f>RIGHT("0"&amp;F34,2)</f>
        <v>01</v>
      </c>
    </row>
    <row r="11" spans="1:40" ht="15.75" thickBot="1">
      <c r="A11" s="9">
        <f>INDEX('Point Grid'!$C$8:$I$54,MATCH($A$1,'Point Grid'!$A$8:$A$54,0),MATCH(A10,'Point Grid'!$C$7:$I$7,0))</f>
        <v>0.5</v>
      </c>
      <c r="B11" s="17"/>
      <c r="C11" s="17"/>
      <c r="D11" s="17"/>
      <c r="E11" s="17"/>
      <c r="F11" s="17"/>
      <c r="G11" s="17"/>
      <c r="H11" s="17"/>
      <c r="I11" s="17"/>
      <c r="J11" s="17"/>
      <c r="K11" s="17"/>
      <c r="L11" s="17"/>
      <c r="M11" s="18"/>
      <c r="O11" s="121"/>
      <c r="P11" s="121"/>
      <c r="Q11" s="121"/>
      <c r="R11" s="121"/>
      <c r="S11" s="121"/>
      <c r="T11" s="121"/>
      <c r="U11" s="121"/>
      <c r="V11" s="121"/>
      <c r="W11" s="121"/>
      <c r="X11" s="121"/>
      <c r="Y11" s="121"/>
      <c r="Z11" s="121"/>
      <c r="AA11" s="121"/>
      <c r="AB11" s="153" t="s">
        <v>151</v>
      </c>
      <c r="AC11" s="37"/>
      <c r="AD11" s="37"/>
      <c r="AE11" s="37"/>
      <c r="AF11" s="37"/>
      <c r="AG11" s="37"/>
      <c r="AH11" s="37"/>
      <c r="AI11" s="37"/>
      <c r="AJ11" s="37"/>
      <c r="AK11" s="37"/>
      <c r="AL11" s="37"/>
      <c r="AM11" s="37"/>
      <c r="AN11" s="37"/>
    </row>
    <row r="12" spans="1:40" ht="15.75" thickBot="1">
      <c r="A12" s="5"/>
      <c r="B12" s="17"/>
      <c r="C12" s="28"/>
      <c r="D12" s="28"/>
      <c r="E12" s="28"/>
      <c r="F12" s="28"/>
      <c r="G12" s="28"/>
      <c r="H12" s="28"/>
      <c r="I12" s="28"/>
      <c r="J12" s="28"/>
      <c r="K12" s="28"/>
      <c r="L12" s="28"/>
      <c r="M12" s="18"/>
      <c r="O12" s="121"/>
      <c r="P12" s="172" t="s">
        <v>171</v>
      </c>
      <c r="Q12" s="153" t="s">
        <v>34</v>
      </c>
      <c r="R12" s="153" t="s">
        <v>167</v>
      </c>
      <c r="S12" s="155" t="s">
        <v>119</v>
      </c>
      <c r="T12" s="153" t="s">
        <v>162</v>
      </c>
      <c r="U12" s="121"/>
      <c r="V12" s="120"/>
      <c r="W12" s="121"/>
      <c r="X12" s="121"/>
      <c r="Y12" s="121"/>
      <c r="Z12" s="121"/>
      <c r="AA12" s="121"/>
      <c r="AB12" s="153" t="s">
        <v>151</v>
      </c>
      <c r="AC12" s="108"/>
      <c r="AD12" s="37"/>
      <c r="AE12" s="37"/>
      <c r="AF12" s="37"/>
      <c r="AG12" s="37"/>
      <c r="AH12" s="37"/>
      <c r="AI12" s="37"/>
      <c r="AJ12" s="37"/>
      <c r="AK12" s="37"/>
      <c r="AL12" s="37"/>
      <c r="AM12" s="37"/>
      <c r="AN12" s="37"/>
    </row>
    <row r="13" spans="1:40">
      <c r="A13" s="25"/>
      <c r="B13" s="17"/>
      <c r="C13" s="28"/>
      <c r="D13" s="28"/>
      <c r="E13" s="28"/>
      <c r="F13" s="28"/>
      <c r="G13" s="28"/>
      <c r="H13" s="28"/>
      <c r="I13" s="28"/>
      <c r="J13" s="28"/>
      <c r="K13" s="28"/>
      <c r="L13" s="28"/>
      <c r="M13" s="18"/>
      <c r="O13" s="187"/>
      <c r="P13" s="187"/>
      <c r="Q13" s="153" t="s">
        <v>34</v>
      </c>
      <c r="R13" s="151">
        <f>ROUND(((X10*12)+Y10-(X9*12+Y9))/12+IF(Z9=Z10,0,1/24),3)</f>
        <v>3.5</v>
      </c>
      <c r="S13" s="229" t="s">
        <v>172</v>
      </c>
      <c r="T13" s="225"/>
      <c r="U13" s="121"/>
      <c r="V13" s="121"/>
      <c r="W13" s="121"/>
      <c r="X13" s="121"/>
      <c r="Y13" s="121"/>
      <c r="Z13" s="121"/>
      <c r="AA13" s="121"/>
      <c r="AB13" s="153" t="s">
        <v>151</v>
      </c>
      <c r="AC13" s="108"/>
      <c r="AD13" s="37"/>
      <c r="AE13" s="37"/>
      <c r="AF13" s="37"/>
      <c r="AG13" s="37"/>
      <c r="AH13" s="37"/>
      <c r="AI13" s="37"/>
      <c r="AJ13" s="37"/>
      <c r="AK13" s="37"/>
      <c r="AL13" s="37"/>
      <c r="AM13" s="37"/>
      <c r="AN13" s="37"/>
    </row>
    <row r="14" spans="1:40">
      <c r="A14" s="25" t="s">
        <v>4</v>
      </c>
      <c r="B14" s="17" t="s">
        <v>123</v>
      </c>
      <c r="C14" s="17"/>
      <c r="D14" s="17"/>
      <c r="E14" s="17"/>
      <c r="F14" s="17"/>
      <c r="G14" s="17"/>
      <c r="H14" s="17"/>
      <c r="I14" s="17"/>
      <c r="J14" s="17"/>
      <c r="K14" s="17"/>
      <c r="L14" s="17"/>
      <c r="M14" s="18"/>
      <c r="O14" s="121"/>
      <c r="P14" s="121"/>
      <c r="Q14" s="121"/>
      <c r="R14" s="121"/>
      <c r="S14" s="121"/>
      <c r="T14" s="121"/>
      <c r="U14" s="121"/>
      <c r="V14" s="121"/>
      <c r="W14" s="121"/>
      <c r="X14" s="121"/>
      <c r="Y14" s="121"/>
      <c r="Z14" s="121"/>
      <c r="AA14" s="121"/>
      <c r="AB14" s="153" t="s">
        <v>151</v>
      </c>
      <c r="AC14" s="37"/>
      <c r="AD14" s="37"/>
      <c r="AE14" s="37"/>
      <c r="AF14" s="37"/>
      <c r="AG14" s="37"/>
      <c r="AH14" s="37"/>
      <c r="AI14" s="37"/>
      <c r="AJ14" s="37"/>
      <c r="AK14" s="37"/>
      <c r="AL14" s="37"/>
      <c r="AM14" s="37"/>
      <c r="AN14" s="37"/>
    </row>
    <row r="15" spans="1:40" ht="15.75" thickBot="1">
      <c r="A15" s="9">
        <f>INDEX('Point Grid'!$C$8:$I$54,MATCH($A$1,'Point Grid'!$A$8:$A$54,0),MATCH(A14,'Point Grid'!$C$7:$I$7,0))</f>
        <v>0.75</v>
      </c>
      <c r="B15" s="17"/>
      <c r="C15" s="17"/>
      <c r="D15" s="17"/>
      <c r="E15" s="17"/>
      <c r="F15" s="17"/>
      <c r="G15" s="17"/>
      <c r="H15" s="17"/>
      <c r="I15" s="17"/>
      <c r="J15" s="17"/>
      <c r="K15" s="17"/>
      <c r="L15" s="17"/>
      <c r="M15" s="18"/>
      <c r="O15" s="121"/>
      <c r="P15" s="187" t="s">
        <v>173</v>
      </c>
      <c r="Q15" s="121"/>
      <c r="R15" s="121"/>
      <c r="S15" s="121"/>
      <c r="T15" s="121"/>
      <c r="U15" s="121"/>
      <c r="V15" s="121"/>
      <c r="W15" s="121"/>
      <c r="X15" s="121"/>
      <c r="Y15" s="121"/>
      <c r="Z15" s="121"/>
      <c r="AA15" s="121"/>
      <c r="AB15" s="153" t="s">
        <v>151</v>
      </c>
      <c r="AC15" s="37"/>
      <c r="AD15" s="37"/>
      <c r="AE15" s="37"/>
      <c r="AF15" s="37"/>
      <c r="AG15" s="37"/>
      <c r="AH15" s="37"/>
      <c r="AI15" s="37"/>
      <c r="AJ15" s="37"/>
      <c r="AK15" s="37"/>
      <c r="AL15" s="37"/>
      <c r="AM15" s="37"/>
      <c r="AN15" s="37"/>
    </row>
    <row r="16" spans="1:40" ht="15.75" thickBot="1">
      <c r="A16" s="5"/>
      <c r="B16" s="17"/>
      <c r="C16" s="17"/>
      <c r="D16" s="17"/>
      <c r="E16" s="17"/>
      <c r="F16" s="17"/>
      <c r="G16" s="17"/>
      <c r="H16" s="17"/>
      <c r="I16" s="17"/>
      <c r="J16" s="17"/>
      <c r="K16" s="17"/>
      <c r="L16" s="17"/>
      <c r="M16" s="18"/>
      <c r="O16" s="37"/>
      <c r="P16" s="37"/>
      <c r="Q16" s="37"/>
      <c r="R16" s="37"/>
      <c r="S16" s="37"/>
      <c r="T16" s="37"/>
      <c r="U16" s="37"/>
      <c r="V16" s="37"/>
      <c r="W16" s="37"/>
      <c r="X16" s="121"/>
      <c r="Y16" s="121"/>
      <c r="Z16" s="121"/>
      <c r="AA16" s="121"/>
      <c r="AB16" s="153" t="s">
        <v>151</v>
      </c>
      <c r="AC16" s="37"/>
      <c r="AD16" s="37"/>
      <c r="AE16" s="37"/>
      <c r="AF16" s="37"/>
      <c r="AG16" s="37"/>
      <c r="AH16" s="37"/>
      <c r="AI16" s="37"/>
      <c r="AJ16" s="37"/>
      <c r="AK16" s="37"/>
      <c r="AL16" s="37"/>
      <c r="AM16" s="37"/>
      <c r="AN16" s="37"/>
    </row>
    <row r="17" spans="1:40">
      <c r="A17" s="22"/>
      <c r="B17" s="17"/>
      <c r="C17" s="17"/>
      <c r="D17" s="17"/>
      <c r="E17" s="17"/>
      <c r="F17" s="17"/>
      <c r="G17" s="17"/>
      <c r="H17" s="17"/>
      <c r="I17" s="17"/>
      <c r="J17" s="17"/>
      <c r="K17" s="17"/>
      <c r="L17" s="17"/>
      <c r="M17" s="18"/>
      <c r="O17" s="37"/>
      <c r="P17" s="37"/>
      <c r="Q17" s="37"/>
      <c r="R17" s="37"/>
      <c r="S17" s="37"/>
      <c r="T17" s="37"/>
      <c r="U17" s="37"/>
      <c r="V17" s="37"/>
      <c r="W17" s="37"/>
      <c r="X17" s="121"/>
      <c r="Y17" s="121"/>
      <c r="Z17" s="121"/>
      <c r="AA17" s="121"/>
      <c r="AB17" s="153" t="s">
        <v>151</v>
      </c>
      <c r="AC17" s="37"/>
      <c r="AD17" s="37"/>
      <c r="AE17" s="37"/>
      <c r="AF17" s="37"/>
      <c r="AG17" s="37"/>
      <c r="AH17" s="37"/>
      <c r="AI17" s="37"/>
      <c r="AJ17" s="37"/>
      <c r="AK17" s="37"/>
      <c r="AL17" s="37"/>
      <c r="AM17" s="37"/>
      <c r="AN17" s="37"/>
    </row>
    <row r="18" spans="1:40" ht="15" customHeight="1">
      <c r="A18" s="22"/>
      <c r="B18" s="220" t="s">
        <v>125</v>
      </c>
      <c r="C18" s="221"/>
      <c r="D18" s="222">
        <v>2024</v>
      </c>
      <c r="E18" s="189"/>
      <c r="F18" s="188" t="s">
        <v>126</v>
      </c>
      <c r="G18" s="139"/>
      <c r="H18" s="139"/>
      <c r="I18" s="188" t="s">
        <v>127</v>
      </c>
      <c r="J18" s="139"/>
      <c r="K18" s="139"/>
      <c r="L18" s="17"/>
      <c r="M18" s="18"/>
      <c r="O18" s="151" t="s">
        <v>174</v>
      </c>
      <c r="P18" s="37" t="s">
        <v>175</v>
      </c>
      <c r="Q18" s="37"/>
      <c r="R18" s="37"/>
      <c r="S18" s="37"/>
      <c r="T18" s="37"/>
      <c r="U18" s="37"/>
      <c r="V18" s="37"/>
      <c r="W18" s="37"/>
      <c r="X18" s="121"/>
      <c r="Y18" s="121"/>
      <c r="Z18" s="121"/>
      <c r="AA18" s="121"/>
      <c r="AB18" s="153" t="s">
        <v>151</v>
      </c>
      <c r="AC18" s="37"/>
      <c r="AD18" s="37"/>
      <c r="AE18" s="37"/>
      <c r="AF18" s="37"/>
      <c r="AG18" s="37"/>
      <c r="AH18" s="37"/>
      <c r="AI18" s="37"/>
      <c r="AJ18" s="37"/>
      <c r="AK18" s="37"/>
      <c r="AL18" s="37"/>
      <c r="AM18" s="37"/>
      <c r="AN18" s="37"/>
    </row>
    <row r="19" spans="1:40" ht="15" customHeight="1">
      <c r="A19" s="22"/>
      <c r="B19" s="190"/>
      <c r="C19" s="190"/>
      <c r="D19" s="190"/>
      <c r="E19" s="190"/>
      <c r="F19" s="190"/>
      <c r="G19" s="190"/>
      <c r="H19" s="190"/>
      <c r="I19" s="190"/>
      <c r="J19" s="190"/>
      <c r="K19" s="139"/>
      <c r="L19" s="17"/>
      <c r="M19" s="18"/>
      <c r="O19" s="121"/>
      <c r="P19" s="121"/>
      <c r="Q19" s="121"/>
      <c r="R19" s="121"/>
      <c r="S19" s="121"/>
      <c r="T19" s="121"/>
      <c r="U19" s="121"/>
      <c r="V19" s="121"/>
      <c r="W19" s="121"/>
      <c r="X19" s="121"/>
      <c r="Y19" s="121"/>
      <c r="Z19" s="121"/>
      <c r="AA19" s="121"/>
      <c r="AB19" s="153" t="s">
        <v>151</v>
      </c>
      <c r="AC19" s="37"/>
      <c r="AD19" s="37"/>
      <c r="AE19" s="37"/>
      <c r="AF19" s="37"/>
      <c r="AG19" s="37"/>
      <c r="AH19" s="37"/>
      <c r="AI19" s="37"/>
      <c r="AJ19" s="37"/>
      <c r="AK19" s="37"/>
      <c r="AL19" s="37"/>
      <c r="AM19" s="37"/>
      <c r="AN19" s="37"/>
    </row>
    <row r="20" spans="1:40" ht="15" customHeight="1">
      <c r="A20" s="22"/>
      <c r="B20" s="191"/>
      <c r="C20" s="192" t="s">
        <v>93</v>
      </c>
      <c r="D20" s="193" t="s">
        <v>128</v>
      </c>
      <c r="E20" s="139"/>
      <c r="F20" s="188"/>
      <c r="G20" s="139"/>
      <c r="H20" s="189"/>
      <c r="I20" s="139"/>
      <c r="J20" s="139"/>
      <c r="K20" s="139"/>
      <c r="L20" s="17"/>
      <c r="M20" s="18"/>
      <c r="O20" s="121"/>
      <c r="P20" s="178"/>
      <c r="Q20" s="179"/>
      <c r="R20" s="126"/>
      <c r="S20" s="125"/>
      <c r="T20" s="125"/>
      <c r="U20" s="126"/>
      <c r="V20" s="178" t="s">
        <v>176</v>
      </c>
      <c r="W20" s="121"/>
      <c r="X20" s="121"/>
      <c r="Y20" s="121"/>
      <c r="Z20" s="121"/>
      <c r="AA20" s="121"/>
      <c r="AB20" s="153" t="s">
        <v>151</v>
      </c>
      <c r="AC20" s="37"/>
      <c r="AD20" s="37"/>
      <c r="AE20" s="37"/>
      <c r="AF20" s="37"/>
      <c r="AG20" s="37"/>
      <c r="AH20" s="37"/>
      <c r="AI20" s="37"/>
      <c r="AJ20" s="37"/>
      <c r="AK20" s="37"/>
      <c r="AL20" s="37"/>
      <c r="AM20" s="37"/>
      <c r="AN20" s="37"/>
    </row>
    <row r="21" spans="1:40" ht="15" customHeight="1">
      <c r="A21" s="22"/>
      <c r="B21" s="194" t="s">
        <v>129</v>
      </c>
      <c r="C21" s="195" t="s">
        <v>130</v>
      </c>
      <c r="D21" s="196" t="s">
        <v>131</v>
      </c>
      <c r="E21" s="139"/>
      <c r="F21" s="197" t="s">
        <v>132</v>
      </c>
      <c r="G21" s="198">
        <v>2.27</v>
      </c>
      <c r="H21" s="189"/>
      <c r="I21" s="135" t="s">
        <v>133</v>
      </c>
      <c r="J21" s="137"/>
      <c r="K21" s="146">
        <v>0.11</v>
      </c>
      <c r="L21" s="17"/>
      <c r="M21" s="18"/>
      <c r="O21" s="121"/>
      <c r="P21" s="110"/>
      <c r="Q21" s="230" t="s">
        <v>93</v>
      </c>
      <c r="R21" s="129"/>
      <c r="S21" s="128"/>
      <c r="T21" s="128"/>
      <c r="U21" s="129"/>
      <c r="V21" s="110" t="s">
        <v>177</v>
      </c>
      <c r="W21" s="121"/>
      <c r="X21" s="121"/>
      <c r="Y21" s="121"/>
      <c r="Z21" s="121"/>
      <c r="AA21" s="121"/>
      <c r="AB21" s="153" t="s">
        <v>151</v>
      </c>
      <c r="AC21" s="37"/>
      <c r="AD21" s="37"/>
      <c r="AE21" s="37"/>
      <c r="AF21" s="37"/>
      <c r="AG21" s="37"/>
      <c r="AH21" s="37"/>
      <c r="AI21" s="37"/>
      <c r="AJ21" s="37"/>
      <c r="AK21" s="37"/>
      <c r="AL21" s="37"/>
      <c r="AM21" s="37"/>
      <c r="AN21" s="37"/>
    </row>
    <row r="22" spans="1:40" ht="15" customHeight="1">
      <c r="A22" s="22"/>
      <c r="B22" s="199">
        <v>2020</v>
      </c>
      <c r="C22" s="141">
        <v>4082000</v>
      </c>
      <c r="D22" s="142">
        <v>20300</v>
      </c>
      <c r="E22" s="139"/>
      <c r="F22" s="200" t="s">
        <v>134</v>
      </c>
      <c r="G22" s="201">
        <v>1.5</v>
      </c>
      <c r="H22" s="189"/>
      <c r="I22" s="140" t="s">
        <v>135</v>
      </c>
      <c r="J22" s="142"/>
      <c r="K22" s="167">
        <v>0.03</v>
      </c>
      <c r="L22" s="17"/>
      <c r="M22" s="18"/>
      <c r="O22" s="121"/>
      <c r="P22" s="114" t="s">
        <v>129</v>
      </c>
      <c r="Q22" s="180" t="s">
        <v>130</v>
      </c>
      <c r="R22" s="116" t="s">
        <v>178</v>
      </c>
      <c r="S22" s="133" t="s">
        <v>179</v>
      </c>
      <c r="T22" s="133"/>
      <c r="U22" s="134"/>
      <c r="V22" s="114" t="s">
        <v>130</v>
      </c>
      <c r="W22" s="121"/>
      <c r="X22" s="121"/>
      <c r="Y22" s="121"/>
      <c r="Z22" s="121"/>
      <c r="AA22" s="121"/>
      <c r="AB22" s="153" t="s">
        <v>151</v>
      </c>
      <c r="AC22" s="37"/>
      <c r="AD22" s="37"/>
      <c r="AE22" s="37"/>
      <c r="AF22" s="37"/>
      <c r="AG22" s="37"/>
      <c r="AH22" s="37"/>
      <c r="AI22" s="37"/>
      <c r="AJ22" s="37"/>
      <c r="AK22" s="37"/>
      <c r="AL22" s="37"/>
      <c r="AM22" s="37"/>
      <c r="AN22" s="37"/>
    </row>
    <row r="23" spans="1:40" ht="15" customHeight="1">
      <c r="A23" s="22"/>
      <c r="B23" s="199">
        <v>2021</v>
      </c>
      <c r="C23" s="141">
        <v>4245000</v>
      </c>
      <c r="D23" s="142">
        <v>21900</v>
      </c>
      <c r="E23" s="139"/>
      <c r="F23" s="200" t="s">
        <v>136</v>
      </c>
      <c r="G23" s="201">
        <v>1.1399999999999999</v>
      </c>
      <c r="H23" s="189"/>
      <c r="I23" s="140" t="s">
        <v>804</v>
      </c>
      <c r="J23" s="142"/>
      <c r="K23" s="167">
        <v>0.12</v>
      </c>
      <c r="L23" s="17"/>
      <c r="M23" s="18"/>
      <c r="O23" s="121"/>
      <c r="P23" s="181">
        <v>1992</v>
      </c>
      <c r="Q23" s="231">
        <f>C22</f>
        <v>4082000</v>
      </c>
      <c r="R23" s="232">
        <f>VLOOKUP((D18-B22+1) * 12 &amp; "-Ult", F21:G25,2,FALSE)</f>
        <v>1</v>
      </c>
      <c r="S23" s="128" t="str">
        <f>"( " &amp; 1+D29 &amp; " x " &amp; 1+D30 &amp; " ) ^ " &amp; (P26-P23+R13)</f>
        <v>( 1.0448 x 1.0165 ) ^ 6.5</v>
      </c>
      <c r="T23" s="128"/>
      <c r="U23" s="129"/>
      <c r="V23" s="233">
        <f>Q23*R23*((1+D29)*(1+D30)) ^ (P26-P23+R13)</f>
        <v>6036518.7685233606</v>
      </c>
      <c r="W23" s="121"/>
      <c r="X23" s="121"/>
      <c r="Y23" s="121"/>
      <c r="Z23" s="121"/>
      <c r="AA23" s="121"/>
      <c r="AB23" s="153" t="s">
        <v>151</v>
      </c>
      <c r="AC23" s="37"/>
      <c r="AD23" s="37"/>
      <c r="AE23" s="37"/>
      <c r="AF23" s="37"/>
      <c r="AG23" s="37"/>
      <c r="AH23" s="37"/>
      <c r="AI23" s="37"/>
      <c r="AJ23" s="37"/>
      <c r="AK23" s="37"/>
      <c r="AL23" s="37"/>
      <c r="AM23" s="37"/>
      <c r="AN23" s="37"/>
    </row>
    <row r="24" spans="1:40" ht="15" customHeight="1">
      <c r="A24" s="22"/>
      <c r="B24" s="199">
        <v>2022</v>
      </c>
      <c r="C24" s="141">
        <v>4542000</v>
      </c>
      <c r="D24" s="142">
        <v>23000</v>
      </c>
      <c r="E24" s="139"/>
      <c r="F24" s="200" t="s">
        <v>137</v>
      </c>
      <c r="G24" s="201">
        <v>1.03</v>
      </c>
      <c r="H24" s="189"/>
      <c r="I24" s="140" t="s">
        <v>138</v>
      </c>
      <c r="J24" s="142"/>
      <c r="K24" s="202">
        <v>25</v>
      </c>
      <c r="L24" s="17"/>
      <c r="M24" s="18"/>
      <c r="O24" s="121"/>
      <c r="P24" s="181">
        <f>P23+1</f>
        <v>1993</v>
      </c>
      <c r="Q24" s="231">
        <f>C23</f>
        <v>4245000</v>
      </c>
      <c r="R24" s="232">
        <f>VLOOKUP((D18-B23+1) * 12 &amp; "-Ult", F21:G25,2,FALSE)</f>
        <v>1.03</v>
      </c>
      <c r="S24" s="128" t="str">
        <f>"( " &amp; 1+D29 &amp; " x " &amp; 1+D30 &amp; " ) ^ " &amp; (P26-P24+R13)</f>
        <v>( 1.0448 x 1.0165 ) ^ 5.5</v>
      </c>
      <c r="T24" s="128"/>
      <c r="U24" s="129"/>
      <c r="V24" s="233">
        <f>Q24*R24*((1+D29)*(1+D30)) ^ (P26-P24+R13)</f>
        <v>6088186.2127906149</v>
      </c>
      <c r="W24" s="121"/>
      <c r="X24" s="121"/>
      <c r="Y24" s="121"/>
      <c r="Z24" s="121"/>
      <c r="AA24" s="121"/>
      <c r="AB24" s="153" t="s">
        <v>151</v>
      </c>
      <c r="AC24" s="37"/>
      <c r="AD24" s="37"/>
      <c r="AE24" s="37"/>
      <c r="AF24" s="37"/>
      <c r="AG24" s="37"/>
      <c r="AH24" s="37"/>
      <c r="AI24" s="37"/>
      <c r="AJ24" s="37"/>
      <c r="AK24" s="37"/>
      <c r="AL24" s="37"/>
      <c r="AM24" s="37"/>
      <c r="AN24" s="37"/>
    </row>
    <row r="25" spans="1:40" ht="15" customHeight="1">
      <c r="A25" s="22"/>
      <c r="B25" s="203">
        <v>2023</v>
      </c>
      <c r="C25" s="148">
        <v>4905000</v>
      </c>
      <c r="D25" s="149">
        <v>23700</v>
      </c>
      <c r="E25" s="139"/>
      <c r="F25" s="204" t="s">
        <v>139</v>
      </c>
      <c r="G25" s="205">
        <v>1</v>
      </c>
      <c r="H25" s="189"/>
      <c r="I25" s="206" t="s">
        <v>140</v>
      </c>
      <c r="J25" s="207"/>
      <c r="K25" s="208">
        <v>0.05</v>
      </c>
      <c r="L25" s="17"/>
      <c r="M25" s="18"/>
      <c r="O25" s="121"/>
      <c r="P25" s="181">
        <f>P24+1</f>
        <v>1994</v>
      </c>
      <c r="Q25" s="231">
        <f>C24</f>
        <v>4542000</v>
      </c>
      <c r="R25" s="232">
        <f>VLOOKUP((D18-B24+1) * 12 &amp; "-Ult", F21:G25,2,FALSE)</f>
        <v>1.1399999999999999</v>
      </c>
      <c r="S25" s="128" t="str">
        <f>"( " &amp; 1+D29 &amp; " x " &amp; 1+D30 &amp; " ) ^ " &amp; (P26-P25+R13)</f>
        <v>( 1.0448 x 1.0165 ) ^ 4.5</v>
      </c>
      <c r="T25" s="128"/>
      <c r="U25" s="129"/>
      <c r="V25" s="233">
        <f>Q25*R25*((1+D29)*(1+D30)) ^ (P26-P25+R13)</f>
        <v>6788666.0035954174</v>
      </c>
      <c r="W25" s="121"/>
      <c r="X25" s="121"/>
      <c r="Y25" s="121"/>
      <c r="Z25" s="121"/>
      <c r="AA25" s="121"/>
      <c r="AB25" s="153" t="s">
        <v>151</v>
      </c>
      <c r="AC25" s="37"/>
      <c r="AD25" s="37"/>
      <c r="AE25" s="37"/>
      <c r="AF25" s="37"/>
      <c r="AG25" s="37"/>
      <c r="AH25" s="37"/>
      <c r="AI25" s="37"/>
      <c r="AJ25" s="37"/>
      <c r="AK25" s="37"/>
      <c r="AL25" s="37"/>
      <c r="AM25" s="37"/>
      <c r="AN25" s="37"/>
    </row>
    <row r="26" spans="1:40" ht="15" customHeight="1">
      <c r="A26" s="22"/>
      <c r="B26" s="139"/>
      <c r="C26" s="139"/>
      <c r="D26" s="139"/>
      <c r="E26" s="139"/>
      <c r="F26" s="139"/>
      <c r="G26" s="139"/>
      <c r="H26" s="139"/>
      <c r="I26" s="139"/>
      <c r="J26" s="139"/>
      <c r="K26" s="139"/>
      <c r="L26" s="17"/>
      <c r="M26" s="18"/>
      <c r="O26" s="121"/>
      <c r="P26" s="183">
        <f>P25+1</f>
        <v>1995</v>
      </c>
      <c r="Q26" s="234">
        <f>C25</f>
        <v>4905000</v>
      </c>
      <c r="R26" s="235">
        <f>VLOOKUP((D18-B25+1) * 12 &amp; "-Ult", F21:G25,2,FALSE)</f>
        <v>1.5</v>
      </c>
      <c r="S26" s="133" t="str">
        <f>"( " &amp; 1+D29 &amp; " x " &amp; 1+D30 &amp; " ) ^ " &amp; (P26-P26+R13)</f>
        <v>( 1.0448 x 1.0165 ) ^ 3.5</v>
      </c>
      <c r="T26" s="133"/>
      <c r="U26" s="134"/>
      <c r="V26" s="236">
        <f>Q26*R26*((1+D29)*(1+D30)) ^ (P26-P26+R13)</f>
        <v>9082850.8973974828</v>
      </c>
      <c r="W26" s="121"/>
      <c r="X26" s="121"/>
      <c r="Y26" s="121"/>
      <c r="Z26" s="121"/>
      <c r="AA26" s="121"/>
      <c r="AB26" s="153" t="s">
        <v>151</v>
      </c>
      <c r="AC26" s="37"/>
      <c r="AD26" s="37"/>
      <c r="AE26" s="37"/>
      <c r="AF26" s="37"/>
      <c r="AG26" s="37"/>
      <c r="AH26" s="37"/>
      <c r="AI26" s="37"/>
      <c r="AJ26" s="37"/>
      <c r="AK26" s="37"/>
      <c r="AL26" s="37"/>
      <c r="AM26" s="37"/>
      <c r="AN26" s="37"/>
    </row>
    <row r="27" spans="1:40" ht="15" customHeight="1">
      <c r="A27" s="22"/>
      <c r="B27" s="209" t="s">
        <v>141</v>
      </c>
      <c r="C27" s="189"/>
      <c r="D27" s="189"/>
      <c r="E27" s="139"/>
      <c r="F27" s="188"/>
      <c r="G27" s="139"/>
      <c r="H27" s="139"/>
      <c r="I27" s="139" t="s">
        <v>805</v>
      </c>
      <c r="J27" s="139"/>
      <c r="K27" s="139"/>
      <c r="L27" s="17"/>
      <c r="M27" s="18"/>
      <c r="O27" s="121"/>
      <c r="P27" s="121"/>
      <c r="Q27" s="121"/>
      <c r="R27" s="121"/>
      <c r="S27" s="121"/>
      <c r="T27" s="121"/>
      <c r="U27" s="121"/>
      <c r="V27" s="159" t="s">
        <v>180</v>
      </c>
      <c r="W27" s="121"/>
      <c r="X27" s="121"/>
      <c r="Y27" s="121"/>
      <c r="Z27" s="121"/>
      <c r="AA27" s="121"/>
      <c r="AB27" s="153" t="s">
        <v>151</v>
      </c>
      <c r="AC27" s="108"/>
      <c r="AD27" s="37"/>
      <c r="AE27" s="37"/>
      <c r="AF27" s="37"/>
      <c r="AG27" s="37"/>
      <c r="AH27" s="37"/>
      <c r="AI27" s="37"/>
      <c r="AJ27" s="37"/>
      <c r="AK27" s="37"/>
      <c r="AL27" s="37"/>
      <c r="AM27" s="37"/>
      <c r="AN27" s="37"/>
    </row>
    <row r="28" spans="1:40" ht="15" customHeight="1">
      <c r="A28" s="22"/>
      <c r="B28" s="189"/>
      <c r="C28" s="189"/>
      <c r="D28" s="189"/>
      <c r="E28" s="139"/>
      <c r="F28" s="139"/>
      <c r="G28" s="139"/>
      <c r="H28" s="139"/>
      <c r="I28" s="210" t="s">
        <v>143</v>
      </c>
      <c r="J28" s="139"/>
      <c r="K28" s="139"/>
      <c r="L28" s="17"/>
      <c r="M28" s="18"/>
      <c r="O28" s="121"/>
      <c r="P28" s="121"/>
      <c r="Q28" s="121"/>
      <c r="R28" s="121"/>
      <c r="S28" s="121"/>
      <c r="T28" s="121"/>
      <c r="U28" s="121"/>
      <c r="V28" s="121"/>
      <c r="W28" s="121"/>
      <c r="X28" s="121"/>
      <c r="Y28" s="121"/>
      <c r="Z28" s="121"/>
      <c r="AA28" s="121"/>
      <c r="AB28" s="153" t="s">
        <v>151</v>
      </c>
      <c r="AC28" s="121"/>
      <c r="AD28" s="37"/>
      <c r="AE28" s="37"/>
      <c r="AF28" s="37"/>
      <c r="AG28" s="37"/>
      <c r="AH28" s="37"/>
      <c r="AI28" s="37"/>
      <c r="AJ28" s="37"/>
      <c r="AK28" s="37"/>
      <c r="AL28" s="37"/>
      <c r="AM28" s="37"/>
      <c r="AN28" s="37"/>
    </row>
    <row r="29" spans="1:40" ht="15" customHeight="1">
      <c r="A29" s="22"/>
      <c r="B29" s="135" t="s">
        <v>144</v>
      </c>
      <c r="C29" s="137"/>
      <c r="D29" s="211">
        <v>4.48E-2</v>
      </c>
      <c r="E29" s="139"/>
      <c r="F29" s="139"/>
      <c r="G29" s="139"/>
      <c r="H29" s="139"/>
      <c r="I29" s="139"/>
      <c r="J29" s="139"/>
      <c r="K29" s="189"/>
      <c r="L29" s="17"/>
      <c r="M29" s="18"/>
      <c r="O29" s="237" t="s">
        <v>181</v>
      </c>
      <c r="P29" s="37" t="s">
        <v>182</v>
      </c>
      <c r="Q29" s="37"/>
      <c r="R29" s="37"/>
      <c r="S29" s="37"/>
      <c r="T29" s="37"/>
      <c r="U29" s="37"/>
      <c r="V29" s="37"/>
      <c r="W29" s="37"/>
      <c r="X29" s="37"/>
      <c r="Y29" s="37"/>
      <c r="Z29" s="37"/>
      <c r="AA29" s="121"/>
      <c r="AB29" s="153" t="s">
        <v>151</v>
      </c>
      <c r="AC29" s="121"/>
      <c r="AD29" s="37"/>
      <c r="AE29" s="37"/>
      <c r="AF29" s="37"/>
      <c r="AG29" s="37"/>
      <c r="AH29" s="37"/>
      <c r="AI29" s="37"/>
      <c r="AJ29" s="37"/>
      <c r="AK29" s="37"/>
      <c r="AL29" s="37"/>
      <c r="AM29" s="37"/>
      <c r="AN29" s="37"/>
    </row>
    <row r="30" spans="1:40" ht="15" customHeight="1">
      <c r="A30" s="22"/>
      <c r="B30" s="147" t="s">
        <v>145</v>
      </c>
      <c r="C30" s="149"/>
      <c r="D30" s="212">
        <v>1.6500000000000001E-2</v>
      </c>
      <c r="E30" s="139"/>
      <c r="F30" s="139"/>
      <c r="G30" s="139"/>
      <c r="H30" s="139"/>
      <c r="I30" s="139"/>
      <c r="J30" s="139"/>
      <c r="K30" s="189"/>
      <c r="L30" s="17"/>
      <c r="M30" s="18"/>
      <c r="O30" s="121"/>
      <c r="P30" s="37" t="s">
        <v>183</v>
      </c>
      <c r="Q30" s="37"/>
      <c r="R30" s="37"/>
      <c r="S30" s="37"/>
      <c r="T30" s="37"/>
      <c r="U30" s="37"/>
      <c r="V30" s="37"/>
      <c r="W30" s="37"/>
      <c r="X30" s="37"/>
      <c r="Y30" s="37"/>
      <c r="Z30" s="37"/>
      <c r="AA30" s="121"/>
      <c r="AB30" s="153" t="s">
        <v>151</v>
      </c>
      <c r="AC30" s="121"/>
      <c r="AD30" s="37"/>
      <c r="AE30" s="37"/>
      <c r="AF30" s="37"/>
      <c r="AG30" s="37"/>
      <c r="AH30" s="37"/>
      <c r="AI30" s="37"/>
      <c r="AJ30" s="37"/>
      <c r="AK30" s="37"/>
      <c r="AL30" s="37"/>
      <c r="AM30" s="37"/>
      <c r="AN30" s="37"/>
    </row>
    <row r="31" spans="1:40" ht="15" customHeight="1">
      <c r="A31" s="22"/>
      <c r="B31" s="189"/>
      <c r="C31" s="189"/>
      <c r="D31" s="189"/>
      <c r="E31" s="189"/>
      <c r="F31" s="139"/>
      <c r="G31" s="139"/>
      <c r="H31" s="139"/>
      <c r="I31" s="139"/>
      <c r="J31" s="139"/>
      <c r="K31" s="189"/>
      <c r="L31" s="17"/>
      <c r="M31" s="18"/>
      <c r="O31" s="121"/>
      <c r="P31" s="37"/>
      <c r="Q31" s="37"/>
      <c r="R31" s="37"/>
      <c r="S31" s="37"/>
      <c r="T31" s="37"/>
      <c r="U31" s="37"/>
      <c r="V31" s="37"/>
      <c r="W31" s="37"/>
      <c r="X31" s="37"/>
      <c r="Y31" s="37"/>
      <c r="Z31" s="37"/>
      <c r="AA31" s="121"/>
      <c r="AB31" s="153" t="s">
        <v>151</v>
      </c>
      <c r="AC31" s="121"/>
      <c r="AD31" s="37"/>
      <c r="AE31" s="37"/>
      <c r="AF31" s="37"/>
      <c r="AG31" s="37"/>
      <c r="AH31" s="37"/>
      <c r="AI31" s="37"/>
      <c r="AJ31" s="37"/>
      <c r="AK31" s="37"/>
      <c r="AL31" s="37"/>
      <c r="AM31" s="37"/>
      <c r="AN31" s="37"/>
    </row>
    <row r="32" spans="1:40" ht="15" customHeight="1">
      <c r="A32" s="22"/>
      <c r="B32" s="188" t="s">
        <v>142</v>
      </c>
      <c r="C32" s="139"/>
      <c r="D32" s="139"/>
      <c r="E32" s="139"/>
      <c r="F32" s="139"/>
      <c r="G32" s="139"/>
      <c r="H32" s="139"/>
      <c r="I32" s="139"/>
      <c r="J32" s="139"/>
      <c r="K32" s="139"/>
      <c r="L32" s="17"/>
      <c r="M32" s="18"/>
      <c r="O32" s="121"/>
      <c r="P32" s="121" t="s">
        <v>184</v>
      </c>
      <c r="Q32" s="121"/>
      <c r="R32" s="121"/>
      <c r="S32" s="121"/>
      <c r="T32" s="121"/>
      <c r="U32" s="121"/>
      <c r="V32" s="121"/>
      <c r="W32" s="155"/>
      <c r="X32" s="121"/>
      <c r="Y32" s="121"/>
      <c r="Z32" s="121"/>
      <c r="AA32" s="121"/>
      <c r="AB32" s="153" t="s">
        <v>151</v>
      </c>
      <c r="AC32" s="121"/>
      <c r="AD32" s="37"/>
      <c r="AE32" s="37"/>
      <c r="AF32" s="37"/>
      <c r="AG32" s="37"/>
      <c r="AH32" s="37"/>
      <c r="AI32" s="37"/>
      <c r="AJ32" s="37"/>
      <c r="AK32" s="37"/>
      <c r="AL32" s="37"/>
      <c r="AM32" s="37"/>
      <c r="AN32" s="37"/>
    </row>
    <row r="33" spans="1:40" ht="15" customHeight="1">
      <c r="A33" s="22"/>
      <c r="B33" s="139"/>
      <c r="C33" s="139"/>
      <c r="D33" s="139"/>
      <c r="E33" s="139"/>
      <c r="F33" s="139"/>
      <c r="G33" s="139"/>
      <c r="H33" s="139"/>
      <c r="I33" s="139"/>
      <c r="J33" s="139"/>
      <c r="K33" s="139"/>
      <c r="L33" s="17"/>
      <c r="M33" s="18"/>
      <c r="O33" s="121"/>
      <c r="P33" s="153" t="s">
        <v>34</v>
      </c>
      <c r="Q33" s="121" t="s">
        <v>185</v>
      </c>
      <c r="R33" s="121"/>
      <c r="S33" s="121"/>
      <c r="T33" s="155" t="s">
        <v>36</v>
      </c>
      <c r="U33" s="121" t="s">
        <v>186</v>
      </c>
      <c r="V33" s="121"/>
      <c r="W33" s="121"/>
      <c r="X33" s="121"/>
      <c r="Y33" s="121"/>
      <c r="Z33" s="121"/>
      <c r="AA33" s="121"/>
      <c r="AB33" s="153" t="s">
        <v>151</v>
      </c>
      <c r="AC33" s="121"/>
      <c r="AD33" s="37"/>
      <c r="AE33" s="37"/>
      <c r="AF33" s="37"/>
      <c r="AG33" s="37"/>
      <c r="AH33" s="37"/>
      <c r="AI33" s="37"/>
      <c r="AJ33" s="37"/>
      <c r="AK33" s="37"/>
      <c r="AL33" s="37"/>
      <c r="AM33" s="37"/>
      <c r="AN33" s="37"/>
    </row>
    <row r="34" spans="1:40" ht="15" customHeight="1">
      <c r="A34" s="22"/>
      <c r="B34" s="206" t="s">
        <v>146</v>
      </c>
      <c r="C34" s="207"/>
      <c r="D34" s="213">
        <v>2025</v>
      </c>
      <c r="E34" s="214">
        <v>10</v>
      </c>
      <c r="F34" s="215">
        <v>1</v>
      </c>
      <c r="G34" s="247" t="s">
        <v>806</v>
      </c>
      <c r="H34" s="142"/>
      <c r="I34" s="139"/>
      <c r="J34" s="139"/>
      <c r="K34" s="139"/>
      <c r="L34" s="17"/>
      <c r="M34" s="18"/>
      <c r="O34" s="121"/>
      <c r="P34" s="153" t="s">
        <v>34</v>
      </c>
      <c r="Q34" s="152">
        <f>SUM(V23:V26)</f>
        <v>27996221.882306874</v>
      </c>
      <c r="R34" s="121"/>
      <c r="S34" s="121"/>
      <c r="T34" s="155" t="s">
        <v>36</v>
      </c>
      <c r="U34" s="152">
        <f>SUM(D22:D25)</f>
        <v>88900</v>
      </c>
      <c r="V34" s="49"/>
      <c r="W34" s="121"/>
      <c r="X34" s="121"/>
      <c r="Y34" s="121"/>
      <c r="Z34" s="121"/>
      <c r="AA34" s="121"/>
      <c r="AB34" s="153" t="s">
        <v>151</v>
      </c>
      <c r="AC34" s="121"/>
      <c r="AD34" s="37"/>
      <c r="AE34" s="37"/>
      <c r="AF34" s="37"/>
      <c r="AG34" s="37"/>
      <c r="AH34" s="37"/>
      <c r="AI34" s="37"/>
      <c r="AJ34" s="37"/>
      <c r="AK34" s="37"/>
      <c r="AL34" s="37"/>
      <c r="AM34" s="37"/>
      <c r="AN34" s="37"/>
    </row>
    <row r="35" spans="1:40" ht="15" customHeight="1">
      <c r="A35" s="22"/>
      <c r="B35" s="140" t="s">
        <v>807</v>
      </c>
      <c r="C35" s="142"/>
      <c r="D35" s="216">
        <v>24</v>
      </c>
      <c r="E35" s="141" t="s">
        <v>147</v>
      </c>
      <c r="F35" s="217"/>
      <c r="G35" s="223"/>
      <c r="H35" s="141"/>
      <c r="I35" s="139"/>
      <c r="J35" s="139"/>
      <c r="K35" s="139"/>
      <c r="L35" s="17"/>
      <c r="M35" s="18"/>
      <c r="O35" s="121"/>
      <c r="P35" s="153" t="s">
        <v>34</v>
      </c>
      <c r="Q35" s="238">
        <f>Q34/U34</f>
        <v>314.91813140952615</v>
      </c>
      <c r="R35" s="121"/>
      <c r="S35" s="121"/>
      <c r="T35" s="121"/>
      <c r="U35" s="121"/>
      <c r="V35" s="121"/>
      <c r="W35" s="121"/>
      <c r="X35" s="121"/>
      <c r="Y35" s="121"/>
      <c r="Z35" s="121"/>
      <c r="AA35" s="121"/>
      <c r="AB35" s="153" t="s">
        <v>151</v>
      </c>
      <c r="AC35" s="121"/>
      <c r="AD35" s="37"/>
      <c r="AE35" s="37"/>
      <c r="AF35" s="37"/>
      <c r="AG35" s="37"/>
      <c r="AH35" s="37"/>
      <c r="AI35" s="37"/>
      <c r="AJ35" s="37"/>
      <c r="AK35" s="37"/>
      <c r="AL35" s="37"/>
      <c r="AM35" s="37"/>
      <c r="AN35" s="37"/>
    </row>
    <row r="36" spans="1:40" ht="15" customHeight="1">
      <c r="A36" s="22"/>
      <c r="B36" s="147" t="s">
        <v>148</v>
      </c>
      <c r="C36" s="149"/>
      <c r="D36" s="218">
        <v>6</v>
      </c>
      <c r="E36" s="148" t="s">
        <v>147</v>
      </c>
      <c r="F36" s="219"/>
      <c r="G36" s="223"/>
      <c r="H36" s="141"/>
      <c r="I36" s="139"/>
      <c r="J36" s="139"/>
      <c r="K36" s="139"/>
      <c r="L36" s="17"/>
      <c r="M36" s="18"/>
      <c r="O36" s="121"/>
      <c r="P36" s="121"/>
      <c r="Q36" s="159" t="s">
        <v>187</v>
      </c>
      <c r="R36" s="121"/>
      <c r="S36" s="121"/>
      <c r="T36" s="121"/>
      <c r="U36" s="121"/>
      <c r="V36" s="121"/>
      <c r="W36" s="121"/>
      <c r="X36" s="121"/>
      <c r="Y36" s="121"/>
      <c r="Z36" s="121"/>
      <c r="AA36" s="121"/>
      <c r="AB36" s="153" t="s">
        <v>151</v>
      </c>
      <c r="AC36" s="121"/>
      <c r="AD36" s="37"/>
      <c r="AE36" s="37"/>
      <c r="AF36" s="37"/>
      <c r="AG36" s="37"/>
      <c r="AH36" s="37"/>
      <c r="AI36" s="37"/>
      <c r="AJ36" s="37"/>
      <c r="AK36" s="37"/>
      <c r="AL36" s="37"/>
      <c r="AM36" s="37"/>
      <c r="AN36" s="37"/>
    </row>
    <row r="37" spans="1:40" ht="15" customHeight="1" thickBot="1">
      <c r="A37" s="24"/>
      <c r="B37" s="32"/>
      <c r="C37" s="32"/>
      <c r="D37" s="32"/>
      <c r="E37" s="32"/>
      <c r="F37" s="32"/>
      <c r="G37" s="32"/>
      <c r="H37" s="32"/>
      <c r="I37" s="32"/>
      <c r="J37" s="32"/>
      <c r="K37" s="32"/>
      <c r="L37" s="32"/>
      <c r="M37" s="33"/>
      <c r="O37" s="121"/>
      <c r="P37" s="121"/>
      <c r="Q37" s="121"/>
      <c r="R37" s="121"/>
      <c r="S37" s="121"/>
      <c r="T37" s="121"/>
      <c r="U37" s="121"/>
      <c r="V37" s="121"/>
      <c r="W37" s="121"/>
      <c r="X37" s="121"/>
      <c r="Y37" s="121"/>
      <c r="Z37" s="121"/>
      <c r="AA37" s="121"/>
      <c r="AB37" s="153" t="s">
        <v>151</v>
      </c>
      <c r="AC37" s="121"/>
      <c r="AD37" s="37"/>
      <c r="AE37" s="37"/>
      <c r="AF37" s="37"/>
      <c r="AG37" s="37"/>
      <c r="AH37" s="37"/>
      <c r="AI37" s="37"/>
      <c r="AJ37" s="37"/>
      <c r="AK37" s="37"/>
      <c r="AL37" s="37"/>
      <c r="AM37" s="37"/>
      <c r="AN37" s="37"/>
    </row>
    <row r="38" spans="1:40" ht="15" customHeight="1">
      <c r="B38" s="31"/>
      <c r="C38" s="31"/>
      <c r="D38" s="31"/>
      <c r="E38" s="31"/>
      <c r="F38" s="31"/>
      <c r="G38" s="31"/>
      <c r="H38" s="31"/>
      <c r="I38" s="31"/>
      <c r="J38" s="31"/>
      <c r="K38" s="31"/>
      <c r="L38" s="31"/>
      <c r="O38" s="239" t="s">
        <v>188</v>
      </c>
      <c r="P38" s="121" t="s">
        <v>189</v>
      </c>
      <c r="Q38" s="121"/>
      <c r="R38" s="121"/>
      <c r="S38" s="121"/>
      <c r="T38" s="121"/>
      <c r="U38" s="121"/>
      <c r="V38" s="121"/>
      <c r="W38" s="121"/>
      <c r="X38" s="121"/>
      <c r="Y38" s="121"/>
      <c r="Z38" s="121"/>
      <c r="AA38" s="121"/>
      <c r="AB38" s="153" t="s">
        <v>151</v>
      </c>
      <c r="AC38" s="121"/>
      <c r="AD38" s="37"/>
      <c r="AE38" s="37"/>
      <c r="AF38" s="37"/>
      <c r="AG38" s="37"/>
      <c r="AH38" s="37"/>
      <c r="AI38" s="37"/>
      <c r="AJ38" s="37"/>
      <c r="AK38" s="37"/>
      <c r="AL38" s="37"/>
      <c r="AM38" s="37"/>
      <c r="AN38" s="37"/>
    </row>
    <row r="39" spans="1:40" ht="15" customHeight="1">
      <c r="O39" s="121"/>
      <c r="P39" s="121"/>
      <c r="Q39" s="121"/>
      <c r="R39" s="121"/>
      <c r="S39" s="121"/>
      <c r="T39" s="121"/>
      <c r="U39" s="121"/>
      <c r="V39" s="121"/>
      <c r="W39" s="121"/>
      <c r="X39" s="121"/>
      <c r="Y39" s="121"/>
      <c r="Z39" s="121"/>
      <c r="AA39" s="121"/>
      <c r="AB39" s="153" t="s">
        <v>151</v>
      </c>
      <c r="AC39" s="121"/>
      <c r="AD39" s="37"/>
      <c r="AE39" s="37"/>
      <c r="AF39" s="37"/>
      <c r="AG39" s="37"/>
      <c r="AH39" s="37"/>
      <c r="AI39" s="37"/>
      <c r="AJ39" s="37"/>
      <c r="AK39" s="37"/>
      <c r="AL39" s="37"/>
      <c r="AM39" s="37"/>
      <c r="AN39" s="37"/>
    </row>
    <row r="40" spans="1:40" ht="15" customHeight="1">
      <c r="O40" s="185"/>
      <c r="P40" s="240" t="s">
        <v>190</v>
      </c>
      <c r="Q40" s="123" t="s">
        <v>34</v>
      </c>
      <c r="R40" s="241" t="s">
        <v>191</v>
      </c>
      <c r="S40" s="241"/>
      <c r="T40" s="241"/>
      <c r="U40" s="241"/>
      <c r="V40" s="241"/>
      <c r="W40" s="242" t="s">
        <v>36</v>
      </c>
      <c r="X40" s="241" t="s">
        <v>192</v>
      </c>
      <c r="Y40" s="186"/>
      <c r="Z40" s="121"/>
      <c r="AA40" s="121"/>
      <c r="AB40" s="153" t="s">
        <v>151</v>
      </c>
      <c r="AC40" s="121"/>
      <c r="AD40" s="37"/>
      <c r="AE40" s="37"/>
      <c r="AF40" s="37"/>
      <c r="AG40" s="37"/>
      <c r="AH40" s="37"/>
      <c r="AI40" s="37"/>
      <c r="AJ40" s="37"/>
      <c r="AK40" s="37"/>
      <c r="AL40" s="37"/>
      <c r="AM40" s="37"/>
      <c r="AN40" s="37"/>
    </row>
    <row r="41" spans="1:40" ht="15" customHeight="1">
      <c r="O41" s="121"/>
      <c r="P41" s="121"/>
      <c r="Q41" s="121"/>
      <c r="R41" s="121"/>
      <c r="S41" s="121"/>
      <c r="T41" s="121"/>
      <c r="U41" s="121"/>
      <c r="V41" s="121"/>
      <c r="W41" s="121"/>
      <c r="X41" s="121"/>
      <c r="Y41" s="121"/>
      <c r="Z41" s="121"/>
      <c r="AA41" s="121"/>
      <c r="AB41" s="153" t="s">
        <v>151</v>
      </c>
      <c r="AC41" s="121"/>
      <c r="AD41" s="37"/>
      <c r="AE41" s="37"/>
      <c r="AF41" s="37"/>
      <c r="AG41" s="37"/>
      <c r="AH41" s="37"/>
      <c r="AI41" s="37"/>
      <c r="AJ41" s="37"/>
      <c r="AK41" s="37"/>
      <c r="AL41" s="37"/>
      <c r="AM41" s="37"/>
      <c r="AN41" s="37"/>
    </row>
    <row r="42" spans="1:40" ht="15" customHeight="1">
      <c r="O42" s="121"/>
      <c r="P42" s="121" t="s">
        <v>193</v>
      </c>
      <c r="Q42" s="121"/>
      <c r="R42" s="121"/>
      <c r="S42" s="121"/>
      <c r="T42" s="121"/>
      <c r="U42" s="121"/>
      <c r="V42" s="121"/>
      <c r="W42" s="121"/>
      <c r="X42" s="121"/>
      <c r="Y42" s="121"/>
      <c r="Z42" s="121"/>
      <c r="AA42" s="121"/>
      <c r="AB42" s="153" t="s">
        <v>151</v>
      </c>
      <c r="AC42" s="121"/>
      <c r="AD42" s="37"/>
      <c r="AE42" s="37"/>
      <c r="AF42" s="37"/>
      <c r="AG42" s="37"/>
      <c r="AH42" s="37"/>
      <c r="AI42" s="37"/>
      <c r="AJ42" s="37"/>
      <c r="AK42" s="37"/>
      <c r="AL42" s="37"/>
      <c r="AM42" s="37"/>
      <c r="AN42" s="37"/>
    </row>
    <row r="43" spans="1:40" ht="15" customHeight="1">
      <c r="O43" s="121"/>
      <c r="P43" s="121"/>
      <c r="Q43" s="121"/>
      <c r="R43" s="121"/>
      <c r="S43" s="121"/>
      <c r="T43" s="121"/>
      <c r="U43" s="121"/>
      <c r="V43" s="121"/>
      <c r="W43" s="121"/>
      <c r="X43" s="121"/>
      <c r="Y43" s="121"/>
      <c r="Z43" s="121"/>
      <c r="AA43" s="121"/>
      <c r="AB43" s="153" t="s">
        <v>151</v>
      </c>
      <c r="AC43" s="121"/>
      <c r="AD43" s="37"/>
      <c r="AE43" s="37"/>
      <c r="AF43" s="37"/>
      <c r="AG43" s="37"/>
      <c r="AH43" s="37"/>
      <c r="AI43" s="37"/>
      <c r="AJ43" s="37"/>
      <c r="AK43" s="37"/>
      <c r="AL43" s="37"/>
      <c r="AM43" s="37"/>
      <c r="AN43" s="37"/>
    </row>
    <row r="44" spans="1:40" ht="15" customHeight="1">
      <c r="O44" s="121"/>
      <c r="P44" s="153" t="s">
        <v>194</v>
      </c>
      <c r="Q44" s="153" t="s">
        <v>34</v>
      </c>
      <c r="R44" s="121" t="s">
        <v>195</v>
      </c>
      <c r="S44" s="121"/>
      <c r="T44" s="121"/>
      <c r="U44" s="121"/>
      <c r="V44" s="121"/>
      <c r="W44" s="121"/>
      <c r="X44" s="121"/>
      <c r="Y44" s="121"/>
      <c r="Z44" s="121"/>
      <c r="AA44" s="121"/>
      <c r="AB44" s="153" t="s">
        <v>151</v>
      </c>
      <c r="AC44" s="121"/>
      <c r="AD44" s="37"/>
      <c r="AE44" s="37"/>
      <c r="AF44" s="37"/>
      <c r="AG44" s="37"/>
      <c r="AH44" s="37"/>
      <c r="AI44" s="37"/>
      <c r="AJ44" s="37"/>
      <c r="AK44" s="37"/>
      <c r="AL44" s="37"/>
      <c r="AM44" s="37"/>
      <c r="AN44" s="37"/>
    </row>
    <row r="45" spans="1:40" ht="15" customHeight="1">
      <c r="O45" s="121"/>
      <c r="P45" s="121"/>
      <c r="Q45" s="153" t="s">
        <v>34</v>
      </c>
      <c r="R45" s="121" t="s">
        <v>202</v>
      </c>
      <c r="S45" s="153" t="s">
        <v>35</v>
      </c>
      <c r="T45" s="152" t="s">
        <v>135</v>
      </c>
      <c r="U45" s="153" t="s">
        <v>35</v>
      </c>
      <c r="V45" s="121" t="s">
        <v>196</v>
      </c>
      <c r="W45" s="121"/>
      <c r="X45" s="121"/>
      <c r="Y45" s="121"/>
      <c r="Z45" s="121"/>
      <c r="AA45" s="121"/>
      <c r="AB45" s="153" t="s">
        <v>151</v>
      </c>
      <c r="AC45" s="121"/>
      <c r="AD45" s="37"/>
      <c r="AE45" s="37"/>
      <c r="AF45" s="37"/>
      <c r="AG45" s="37"/>
      <c r="AH45" s="37"/>
      <c r="AI45" s="37"/>
      <c r="AJ45" s="37"/>
      <c r="AK45" s="37"/>
      <c r="AL45" s="37"/>
      <c r="AM45" s="37"/>
      <c r="AN45" s="37"/>
    </row>
    <row r="46" spans="1:40" ht="15" customHeight="1">
      <c r="B46" s="31"/>
      <c r="C46" s="31"/>
      <c r="D46" s="31"/>
      <c r="E46" s="31"/>
      <c r="F46" s="31"/>
      <c r="G46" s="31"/>
      <c r="H46" s="31"/>
      <c r="I46" s="31"/>
      <c r="J46" s="31"/>
      <c r="K46" s="31"/>
      <c r="L46" s="31"/>
      <c r="O46" s="121"/>
      <c r="P46" s="121"/>
      <c r="Q46" s="153" t="s">
        <v>34</v>
      </c>
      <c r="R46" s="243">
        <f>K21</f>
        <v>0.11</v>
      </c>
      <c r="S46" s="153" t="s">
        <v>35</v>
      </c>
      <c r="T46" s="243">
        <f>K22</f>
        <v>0.03</v>
      </c>
      <c r="U46" s="153" t="s">
        <v>35</v>
      </c>
      <c r="V46" s="243">
        <f>K23</f>
        <v>0.12</v>
      </c>
      <c r="W46" s="121"/>
      <c r="X46" s="121"/>
      <c r="Y46" s="121"/>
      <c r="Z46" s="121"/>
      <c r="AA46" s="121"/>
      <c r="AB46" s="153" t="s">
        <v>151</v>
      </c>
      <c r="AC46" s="121"/>
      <c r="AD46" s="37"/>
      <c r="AE46" s="37"/>
      <c r="AF46" s="37"/>
      <c r="AG46" s="37"/>
      <c r="AH46" s="37"/>
      <c r="AI46" s="37"/>
      <c r="AJ46" s="37"/>
      <c r="AK46" s="37"/>
      <c r="AL46" s="37"/>
      <c r="AM46" s="37"/>
      <c r="AN46" s="37"/>
    </row>
    <row r="47" spans="1:40" ht="15" customHeight="1">
      <c r="B47" s="31"/>
      <c r="C47" s="31"/>
      <c r="D47" s="31"/>
      <c r="E47" s="31"/>
      <c r="F47" s="31"/>
      <c r="G47" s="31"/>
      <c r="H47" s="31"/>
      <c r="I47" s="31"/>
      <c r="J47" s="31"/>
      <c r="K47" s="31"/>
      <c r="L47" s="31"/>
      <c r="O47" s="121"/>
      <c r="P47" s="121"/>
      <c r="Q47" s="153" t="s">
        <v>34</v>
      </c>
      <c r="R47" s="244">
        <f>R46+T46+V46</f>
        <v>0.26</v>
      </c>
      <c r="S47" s="121"/>
      <c r="T47" s="121"/>
      <c r="U47" s="121"/>
      <c r="V47" s="121"/>
      <c r="W47" s="121"/>
      <c r="X47" s="121"/>
      <c r="Y47" s="121"/>
      <c r="Z47" s="121"/>
      <c r="AA47" s="121"/>
      <c r="AB47" s="153" t="s">
        <v>151</v>
      </c>
      <c r="AC47" s="121"/>
      <c r="AD47" s="37"/>
      <c r="AE47" s="37"/>
      <c r="AF47" s="37"/>
      <c r="AG47" s="37"/>
      <c r="AH47" s="37"/>
      <c r="AI47" s="37"/>
      <c r="AJ47" s="37"/>
      <c r="AK47" s="37"/>
      <c r="AL47" s="37"/>
      <c r="AM47" s="37"/>
      <c r="AN47" s="37"/>
    </row>
    <row r="48" spans="1:40" ht="15" customHeight="1">
      <c r="B48" s="31"/>
      <c r="C48" s="31"/>
      <c r="D48" s="31"/>
      <c r="E48" s="31"/>
      <c r="F48" s="31"/>
      <c r="G48" s="31"/>
      <c r="H48" s="31"/>
      <c r="I48" s="31"/>
      <c r="J48" s="31"/>
      <c r="K48" s="31"/>
      <c r="L48" s="31"/>
      <c r="O48" s="121"/>
      <c r="P48" s="121"/>
      <c r="Q48" s="121"/>
      <c r="R48" s="121"/>
      <c r="S48" s="121"/>
      <c r="T48" s="121"/>
      <c r="U48" s="121"/>
      <c r="V48" s="121"/>
      <c r="W48" s="121"/>
      <c r="X48" s="121"/>
      <c r="Y48" s="121"/>
      <c r="Z48" s="121"/>
      <c r="AA48" s="121"/>
      <c r="AB48" s="153" t="s">
        <v>151</v>
      </c>
      <c r="AC48" s="121"/>
      <c r="AD48" s="37"/>
      <c r="AE48" s="37"/>
      <c r="AF48" s="37"/>
      <c r="AG48" s="37"/>
      <c r="AH48" s="37"/>
      <c r="AI48" s="37"/>
      <c r="AJ48" s="37"/>
      <c r="AK48" s="37"/>
      <c r="AL48" s="37"/>
      <c r="AM48" s="37"/>
      <c r="AN48" s="37"/>
    </row>
    <row r="49" spans="2:40" ht="15" customHeight="1">
      <c r="B49" s="31"/>
      <c r="C49" s="31"/>
      <c r="D49" s="31"/>
      <c r="E49" s="31"/>
      <c r="F49" s="31"/>
      <c r="G49" s="31"/>
      <c r="H49" s="31"/>
      <c r="I49" s="31"/>
      <c r="J49" s="31"/>
      <c r="K49" s="31"/>
      <c r="L49" s="31"/>
      <c r="O49" s="121"/>
      <c r="P49" s="153" t="s">
        <v>197</v>
      </c>
      <c r="Q49" s="153" t="s">
        <v>34</v>
      </c>
      <c r="R49" s="152" t="s">
        <v>198</v>
      </c>
      <c r="S49" s="121"/>
      <c r="T49" s="121"/>
      <c r="U49" s="121"/>
      <c r="V49" s="121"/>
      <c r="W49" s="121"/>
      <c r="X49" s="121"/>
      <c r="Y49" s="121"/>
      <c r="Z49" s="121"/>
      <c r="AA49" s="121"/>
      <c r="AB49" s="153" t="s">
        <v>151</v>
      </c>
      <c r="AC49" s="121"/>
      <c r="AD49" s="37"/>
      <c r="AE49" s="37"/>
      <c r="AF49" s="37"/>
      <c r="AG49" s="37"/>
      <c r="AH49" s="37"/>
      <c r="AI49" s="37"/>
      <c r="AJ49" s="37"/>
      <c r="AK49" s="37"/>
      <c r="AL49" s="37"/>
      <c r="AM49" s="37"/>
      <c r="AN49" s="37"/>
    </row>
    <row r="50" spans="2:40" ht="15" customHeight="1">
      <c r="B50" s="31"/>
      <c r="C50" s="31"/>
      <c r="D50" s="31"/>
      <c r="E50" s="31"/>
      <c r="F50" s="31"/>
      <c r="G50" s="31"/>
      <c r="H50" s="31"/>
      <c r="I50" s="31"/>
      <c r="J50" s="31"/>
      <c r="K50" s="31"/>
      <c r="L50" s="31"/>
      <c r="O50" s="121"/>
      <c r="P50" s="121"/>
      <c r="Q50" s="153" t="s">
        <v>34</v>
      </c>
      <c r="R50" s="244">
        <f>K25</f>
        <v>0.05</v>
      </c>
      <c r="S50" s="121"/>
      <c r="T50" s="121"/>
      <c r="U50" s="121"/>
      <c r="V50" s="121"/>
      <c r="W50" s="121"/>
      <c r="X50" s="121"/>
      <c r="Y50" s="121"/>
      <c r="Z50" s="121"/>
      <c r="AA50" s="121"/>
      <c r="AB50" s="153" t="s">
        <v>151</v>
      </c>
      <c r="AC50" s="121"/>
      <c r="AD50" s="37"/>
      <c r="AE50" s="37"/>
      <c r="AF50" s="37"/>
      <c r="AG50" s="37"/>
      <c r="AH50" s="37"/>
      <c r="AI50" s="37"/>
      <c r="AJ50" s="37"/>
      <c r="AK50" s="37"/>
      <c r="AL50" s="37"/>
      <c r="AM50" s="37"/>
      <c r="AN50" s="37"/>
    </row>
    <row r="51" spans="2:40" ht="15" customHeight="1">
      <c r="B51" s="31"/>
      <c r="C51" s="31"/>
      <c r="D51" s="31"/>
      <c r="E51" s="31"/>
      <c r="F51" s="31"/>
      <c r="G51" s="31"/>
      <c r="H51" s="31"/>
      <c r="I51" s="31"/>
      <c r="J51" s="31"/>
      <c r="K51" s="31"/>
      <c r="L51" s="31"/>
      <c r="O51" s="121"/>
      <c r="P51" s="121"/>
      <c r="Q51" s="172"/>
      <c r="R51" s="121"/>
      <c r="S51" s="121"/>
      <c r="T51" s="121"/>
      <c r="U51" s="121"/>
      <c r="V51" s="121"/>
      <c r="W51" s="121"/>
      <c r="X51" s="121"/>
      <c r="Y51" s="121"/>
      <c r="Z51" s="121"/>
      <c r="AA51" s="121"/>
      <c r="AB51" s="153" t="s">
        <v>151</v>
      </c>
      <c r="AC51" s="121"/>
      <c r="AD51" s="37"/>
      <c r="AE51" s="37"/>
      <c r="AF51" s="37"/>
      <c r="AG51" s="37"/>
      <c r="AH51" s="37"/>
      <c r="AI51" s="37"/>
      <c r="AJ51" s="37"/>
      <c r="AK51" s="37"/>
      <c r="AL51" s="37"/>
      <c r="AM51" s="37"/>
      <c r="AN51" s="37"/>
    </row>
    <row r="52" spans="2:40" ht="15" customHeight="1">
      <c r="B52" s="31"/>
      <c r="C52" s="31"/>
      <c r="D52" s="31"/>
      <c r="E52" s="31"/>
      <c r="F52" s="31"/>
      <c r="G52" s="31"/>
      <c r="H52" s="31"/>
      <c r="I52" s="31"/>
      <c r="J52" s="31"/>
      <c r="K52" s="31"/>
      <c r="L52" s="31"/>
      <c r="O52" s="121"/>
      <c r="P52" s="172"/>
      <c r="Q52" s="172" t="s">
        <v>199</v>
      </c>
      <c r="R52" s="37"/>
      <c r="S52" s="37"/>
      <c r="T52" s="121"/>
      <c r="U52" s="121"/>
      <c r="V52" s="121"/>
      <c r="W52" s="121"/>
      <c r="X52" s="121"/>
      <c r="Y52" s="121"/>
      <c r="Z52" s="121"/>
      <c r="AA52" s="121"/>
      <c r="AB52" s="153" t="s">
        <v>151</v>
      </c>
      <c r="AC52" s="121"/>
      <c r="AD52" s="37"/>
      <c r="AE52" s="37"/>
      <c r="AF52" s="37"/>
      <c r="AG52" s="37"/>
      <c r="AH52" s="37"/>
      <c r="AI52" s="37"/>
      <c r="AJ52" s="37"/>
      <c r="AK52" s="37"/>
      <c r="AL52" s="37"/>
      <c r="AM52" s="37"/>
      <c r="AN52" s="37"/>
    </row>
    <row r="53" spans="2:40" ht="15" customHeight="1">
      <c r="B53" s="31"/>
      <c r="C53" s="31"/>
      <c r="D53" s="31"/>
      <c r="E53" s="31"/>
      <c r="F53" s="31"/>
      <c r="G53" s="31"/>
      <c r="H53" s="31"/>
      <c r="I53" s="31"/>
      <c r="J53" s="31"/>
      <c r="K53" s="31"/>
      <c r="L53" s="31"/>
      <c r="O53" s="121"/>
      <c r="P53" s="121"/>
      <c r="Q53" s="153" t="s">
        <v>34</v>
      </c>
      <c r="R53" s="245">
        <f>K24</f>
        <v>25</v>
      </c>
      <c r="S53" s="121"/>
      <c r="T53" s="121"/>
      <c r="U53" s="121"/>
      <c r="V53" s="121"/>
      <c r="W53" s="121"/>
      <c r="X53" s="121"/>
      <c r="Y53" s="121"/>
      <c r="Z53" s="121"/>
      <c r="AA53" s="121"/>
      <c r="AB53" s="153" t="s">
        <v>151</v>
      </c>
      <c r="AC53" s="37"/>
      <c r="AD53" s="37"/>
      <c r="AE53" s="37"/>
      <c r="AF53" s="37"/>
      <c r="AG53" s="37"/>
      <c r="AH53" s="37"/>
      <c r="AI53" s="37"/>
      <c r="AJ53" s="37"/>
      <c r="AK53" s="37"/>
      <c r="AL53" s="37"/>
      <c r="AM53" s="37"/>
      <c r="AN53" s="37"/>
    </row>
    <row r="54" spans="2:40" ht="15" customHeight="1">
      <c r="B54" s="31"/>
      <c r="C54" s="31"/>
      <c r="D54" s="31"/>
      <c r="E54" s="31"/>
      <c r="F54" s="31"/>
      <c r="G54" s="31"/>
      <c r="H54" s="31"/>
      <c r="I54" s="31"/>
      <c r="J54" s="31"/>
      <c r="K54" s="31"/>
      <c r="L54" s="31"/>
      <c r="O54" s="121"/>
      <c r="P54" s="121"/>
      <c r="Q54" s="121"/>
      <c r="R54" s="121"/>
      <c r="S54" s="121"/>
      <c r="T54" s="121"/>
      <c r="U54" s="121"/>
      <c r="V54" s="121"/>
      <c r="W54" s="121"/>
      <c r="X54" s="121"/>
      <c r="Y54" s="121"/>
      <c r="Z54" s="121"/>
      <c r="AA54" s="121"/>
      <c r="AB54" s="153" t="s">
        <v>151</v>
      </c>
      <c r="AC54" s="37"/>
      <c r="AD54" s="37"/>
      <c r="AE54" s="37"/>
      <c r="AF54" s="37"/>
      <c r="AG54" s="37"/>
      <c r="AH54" s="37"/>
      <c r="AI54" s="37"/>
      <c r="AJ54" s="37"/>
      <c r="AK54" s="37"/>
      <c r="AL54" s="37"/>
      <c r="AM54" s="37"/>
      <c r="AN54" s="37"/>
    </row>
    <row r="55" spans="2:40" ht="15" customHeight="1">
      <c r="B55" s="31"/>
      <c r="C55" s="31"/>
      <c r="D55" s="31"/>
      <c r="E55" s="31"/>
      <c r="F55" s="31"/>
      <c r="G55" s="31"/>
      <c r="H55" s="31"/>
      <c r="I55" s="31"/>
      <c r="J55" s="31"/>
      <c r="K55" s="31"/>
      <c r="L55" s="31"/>
      <c r="O55" s="121"/>
      <c r="P55" s="121" t="s">
        <v>200</v>
      </c>
      <c r="Q55" s="121"/>
      <c r="R55" s="121"/>
      <c r="S55" s="121"/>
      <c r="T55" s="121"/>
      <c r="U55" s="121"/>
      <c r="V55" s="121"/>
      <c r="W55" s="121"/>
      <c r="X55" s="121"/>
      <c r="Y55" s="121"/>
      <c r="Z55" s="121"/>
      <c r="AA55" s="121"/>
      <c r="AB55" s="153" t="s">
        <v>151</v>
      </c>
      <c r="AC55" s="37"/>
      <c r="AD55" s="37"/>
      <c r="AE55" s="37"/>
      <c r="AF55" s="37"/>
      <c r="AG55" s="37"/>
      <c r="AH55" s="37"/>
      <c r="AI55" s="37"/>
      <c r="AJ55" s="37"/>
      <c r="AK55" s="37"/>
      <c r="AL55" s="37"/>
      <c r="AM55" s="37"/>
      <c r="AN55" s="37"/>
    </row>
    <row r="56" spans="2:40" ht="15" customHeight="1">
      <c r="B56" s="31"/>
      <c r="C56" s="31"/>
      <c r="D56" s="31"/>
      <c r="E56" s="31"/>
      <c r="F56" s="31"/>
      <c r="G56" s="31"/>
      <c r="H56" s="31"/>
      <c r="I56" s="31"/>
      <c r="J56" s="31"/>
      <c r="K56" s="31"/>
      <c r="L56" s="31"/>
      <c r="O56" s="121"/>
      <c r="P56" s="121"/>
      <c r="Q56" s="121"/>
      <c r="R56" s="121"/>
      <c r="S56" s="121"/>
      <c r="T56" s="121"/>
      <c r="U56" s="121"/>
      <c r="V56" s="121"/>
      <c r="W56" s="121"/>
      <c r="X56" s="121"/>
      <c r="Y56" s="121"/>
      <c r="Z56" s="121"/>
      <c r="AA56" s="121"/>
      <c r="AB56" s="153" t="s">
        <v>151</v>
      </c>
      <c r="AC56" s="37"/>
      <c r="AD56" s="37"/>
      <c r="AE56" s="37"/>
      <c r="AF56" s="37"/>
      <c r="AG56" s="37"/>
      <c r="AH56" s="37"/>
      <c r="AI56" s="37"/>
      <c r="AJ56" s="37"/>
      <c r="AK56" s="37"/>
      <c r="AL56" s="37"/>
      <c r="AM56" s="37"/>
      <c r="AN56" s="37"/>
    </row>
    <row r="57" spans="2:40" ht="15" customHeight="1">
      <c r="B57" s="31"/>
      <c r="C57" s="31"/>
      <c r="D57" s="31"/>
      <c r="E57" s="31"/>
      <c r="F57" s="31"/>
      <c r="G57" s="31"/>
      <c r="H57" s="31"/>
      <c r="I57" s="31"/>
      <c r="J57" s="31"/>
      <c r="K57" s="31"/>
      <c r="L57" s="31"/>
      <c r="O57" s="121"/>
      <c r="P57" s="172" t="s">
        <v>190</v>
      </c>
      <c r="Q57" s="153" t="s">
        <v>34</v>
      </c>
      <c r="R57" s="246">
        <f>(Q35+R53) / (1 - R47 - R50)</f>
        <v>492.6349730572843</v>
      </c>
      <c r="S57" s="121"/>
      <c r="T57" s="121"/>
      <c r="U57" s="121"/>
      <c r="V57" s="121"/>
      <c r="W57" s="121"/>
      <c r="X57" s="121"/>
      <c r="Y57" s="121"/>
      <c r="Z57" s="121"/>
      <c r="AA57" s="121"/>
      <c r="AB57" s="153" t="s">
        <v>151</v>
      </c>
      <c r="AC57" s="37"/>
      <c r="AD57" s="37"/>
      <c r="AE57" s="37"/>
      <c r="AF57" s="37"/>
      <c r="AG57" s="37"/>
      <c r="AH57" s="37"/>
      <c r="AI57" s="37"/>
      <c r="AJ57" s="37"/>
      <c r="AK57" s="37"/>
      <c r="AL57" s="37"/>
      <c r="AM57" s="37"/>
      <c r="AN57" s="37"/>
    </row>
    <row r="58" spans="2:40" ht="15" customHeight="1">
      <c r="B58" s="31"/>
      <c r="C58" s="31"/>
      <c r="D58" s="31"/>
      <c r="E58" s="31"/>
      <c r="F58" s="31"/>
      <c r="G58" s="31"/>
      <c r="H58" s="31"/>
      <c r="I58" s="31"/>
      <c r="J58" s="31"/>
      <c r="K58" s="31"/>
      <c r="L58" s="31"/>
      <c r="O58" s="121"/>
      <c r="P58" s="121"/>
      <c r="Q58" s="121"/>
      <c r="R58" s="159" t="s">
        <v>201</v>
      </c>
      <c r="S58" s="121"/>
      <c r="T58" s="121"/>
      <c r="U58" s="121"/>
      <c r="V58" s="121"/>
      <c r="W58" s="121"/>
      <c r="X58" s="121"/>
      <c r="Y58" s="121"/>
      <c r="Z58" s="121"/>
      <c r="AA58" s="121"/>
      <c r="AB58" s="153" t="s">
        <v>151</v>
      </c>
      <c r="AC58" s="37"/>
      <c r="AD58" s="37"/>
      <c r="AE58" s="37"/>
      <c r="AF58" s="37"/>
      <c r="AG58" s="37"/>
      <c r="AH58" s="37"/>
      <c r="AI58" s="37"/>
      <c r="AJ58" s="37"/>
      <c r="AK58" s="37"/>
      <c r="AL58" s="37"/>
      <c r="AM58" s="37"/>
      <c r="AN58" s="37"/>
    </row>
    <row r="59" spans="2:40" ht="15" customHeight="1">
      <c r="B59" s="31"/>
      <c r="C59" s="31"/>
      <c r="D59" s="31"/>
      <c r="E59" s="31"/>
      <c r="F59" s="31"/>
      <c r="G59" s="31"/>
      <c r="H59" s="31"/>
      <c r="I59" s="31"/>
      <c r="J59" s="31"/>
      <c r="K59" s="31"/>
      <c r="L59" s="31"/>
    </row>
    <row r="60" spans="2:40" ht="15" customHeight="1">
      <c r="B60" s="31"/>
      <c r="C60" s="31"/>
      <c r="D60" s="31"/>
      <c r="E60" s="31"/>
      <c r="F60" s="31"/>
      <c r="G60" s="31"/>
      <c r="H60" s="31"/>
      <c r="I60" s="31"/>
      <c r="J60" s="31"/>
      <c r="K60" s="31"/>
      <c r="L60" s="31"/>
    </row>
    <row r="61" spans="2:40" ht="15" customHeight="1">
      <c r="B61" s="31"/>
      <c r="C61" s="31"/>
      <c r="D61" s="31"/>
      <c r="E61" s="31"/>
      <c r="F61" s="31"/>
      <c r="G61" s="31"/>
      <c r="H61" s="31"/>
      <c r="I61" s="31"/>
      <c r="J61" s="31"/>
      <c r="K61" s="31"/>
      <c r="L61" s="31"/>
    </row>
    <row r="62" spans="2:40" ht="15" customHeight="1">
      <c r="B62" s="31"/>
      <c r="C62" s="31"/>
      <c r="D62" s="31"/>
      <c r="E62" s="31"/>
      <c r="F62" s="31"/>
      <c r="G62" s="31"/>
      <c r="H62" s="31"/>
      <c r="I62" s="31"/>
      <c r="J62" s="31"/>
      <c r="K62" s="31"/>
      <c r="L62" s="31"/>
    </row>
    <row r="63" spans="2:40" ht="15" customHeight="1">
      <c r="B63" s="31"/>
      <c r="C63" s="31"/>
      <c r="D63" s="31"/>
      <c r="E63" s="31"/>
      <c r="F63" s="31"/>
      <c r="G63" s="31"/>
      <c r="H63" s="31"/>
      <c r="I63" s="31"/>
      <c r="J63" s="31"/>
      <c r="K63" s="31"/>
      <c r="L63" s="31"/>
    </row>
    <row r="64" spans="2:40" ht="15" customHeight="1">
      <c r="B64" s="31"/>
      <c r="C64" s="31"/>
      <c r="D64" s="31"/>
      <c r="E64" s="31"/>
      <c r="F64" s="31"/>
      <c r="G64" s="31"/>
      <c r="H64" s="31"/>
      <c r="I64" s="31"/>
      <c r="J64" s="31"/>
      <c r="K64" s="31"/>
      <c r="L64" s="31"/>
    </row>
    <row r="65" spans="2:14" ht="15" customHeight="1">
      <c r="B65" s="31"/>
      <c r="C65" s="31"/>
      <c r="D65" s="31"/>
      <c r="E65" s="31"/>
      <c r="F65" s="31"/>
      <c r="G65" s="31"/>
      <c r="H65" s="31"/>
      <c r="I65" s="31"/>
      <c r="J65" s="31"/>
      <c r="K65" s="31"/>
      <c r="L65" s="31"/>
    </row>
    <row r="66" spans="2:14" ht="15" customHeight="1">
      <c r="B66" s="31"/>
      <c r="C66" s="31"/>
      <c r="D66" s="31"/>
      <c r="E66" s="31"/>
      <c r="F66" s="31"/>
      <c r="G66" s="31"/>
      <c r="H66" s="31"/>
      <c r="I66" s="31"/>
      <c r="J66" s="31"/>
      <c r="K66" s="31"/>
      <c r="L66" s="31"/>
      <c r="M66" s="31"/>
      <c r="N66" s="31"/>
    </row>
    <row r="67" spans="2:14" ht="15" customHeight="1">
      <c r="B67" s="31"/>
      <c r="C67" s="31"/>
      <c r="D67" s="31"/>
      <c r="E67" s="31"/>
      <c r="F67" s="31"/>
      <c r="G67" s="31"/>
      <c r="H67" s="31"/>
      <c r="I67" s="31"/>
      <c r="J67" s="31"/>
      <c r="K67" s="31"/>
      <c r="L67" s="31"/>
      <c r="M67" s="31"/>
      <c r="N67" s="31"/>
    </row>
    <row r="68" spans="2:14" ht="15" customHeight="1">
      <c r="B68" s="31"/>
      <c r="C68" s="31"/>
      <c r="D68" s="31"/>
      <c r="E68" s="31"/>
      <c r="F68" s="31"/>
      <c r="G68" s="31"/>
      <c r="H68" s="31"/>
      <c r="I68" s="31"/>
      <c r="J68" s="31"/>
      <c r="K68" s="31"/>
      <c r="L68" s="31"/>
      <c r="M68" s="31"/>
      <c r="N68" s="31"/>
    </row>
    <row r="69" spans="2:14" ht="15" customHeight="1">
      <c r="B69" s="31"/>
      <c r="C69" s="31"/>
      <c r="D69" s="31"/>
      <c r="E69" s="31"/>
      <c r="F69" s="31"/>
      <c r="G69" s="31"/>
      <c r="H69" s="31"/>
      <c r="I69" s="31"/>
      <c r="J69" s="31"/>
      <c r="K69" s="31"/>
      <c r="L69" s="31"/>
      <c r="M69" s="31"/>
      <c r="N69" s="31"/>
    </row>
    <row r="70" spans="2:14" ht="15" customHeight="1">
      <c r="B70" s="31"/>
      <c r="C70" s="31"/>
      <c r="D70" s="31"/>
      <c r="E70" s="31"/>
      <c r="F70" s="31"/>
      <c r="G70" s="31"/>
      <c r="H70" s="31"/>
      <c r="I70" s="31"/>
      <c r="J70" s="31"/>
      <c r="K70" s="31"/>
      <c r="L70" s="31"/>
      <c r="M70" s="31"/>
      <c r="N70" s="31"/>
    </row>
    <row r="71" spans="2:14" ht="15" customHeight="1">
      <c r="B71" s="31"/>
      <c r="C71" s="31"/>
      <c r="D71" s="31"/>
      <c r="E71" s="31"/>
      <c r="F71" s="31"/>
      <c r="G71" s="31"/>
      <c r="H71" s="31"/>
      <c r="I71" s="31"/>
      <c r="J71" s="31"/>
      <c r="K71" s="31"/>
      <c r="L71" s="31"/>
      <c r="M71" s="31"/>
      <c r="N71" s="31"/>
    </row>
    <row r="72" spans="2:14" ht="15" customHeight="1">
      <c r="B72" s="31"/>
      <c r="C72" s="31"/>
      <c r="D72" s="31"/>
      <c r="E72" s="31"/>
      <c r="F72" s="31"/>
      <c r="G72" s="31"/>
      <c r="H72" s="31"/>
      <c r="I72" s="31"/>
      <c r="J72" s="31"/>
      <c r="K72" s="31"/>
      <c r="L72" s="31"/>
      <c r="M72" s="31"/>
      <c r="N72" s="31"/>
    </row>
    <row r="73" spans="2:14" ht="15" customHeight="1">
      <c r="B73" s="31"/>
      <c r="C73" s="31"/>
      <c r="D73" s="31"/>
      <c r="E73" s="31"/>
      <c r="F73" s="31"/>
      <c r="G73" s="31"/>
      <c r="H73" s="31"/>
      <c r="I73" s="31"/>
      <c r="J73" s="31"/>
      <c r="K73" s="31"/>
      <c r="L73" s="31"/>
      <c r="M73" s="31"/>
      <c r="N73" s="31"/>
    </row>
    <row r="74" spans="2:14" ht="15" customHeight="1">
      <c r="B74" s="31"/>
      <c r="C74" s="31"/>
      <c r="D74" s="31"/>
      <c r="E74" s="31"/>
      <c r="F74" s="31"/>
      <c r="G74" s="31"/>
      <c r="H74" s="31"/>
      <c r="I74" s="31"/>
      <c r="J74" s="31"/>
      <c r="K74" s="31"/>
      <c r="L74" s="31"/>
      <c r="M74" s="31"/>
      <c r="N74" s="31"/>
    </row>
    <row r="75" spans="2:14" ht="15" customHeight="1">
      <c r="B75" s="31"/>
      <c r="C75" s="31"/>
      <c r="D75" s="31"/>
      <c r="E75" s="31"/>
      <c r="F75" s="31"/>
      <c r="G75" s="31"/>
      <c r="H75" s="31"/>
      <c r="I75" s="31"/>
      <c r="J75" s="31"/>
      <c r="K75" s="31"/>
      <c r="L75" s="31"/>
      <c r="M75" s="31"/>
      <c r="N75" s="31"/>
    </row>
    <row r="76" spans="2:14" ht="15" customHeight="1">
      <c r="B76" s="31"/>
      <c r="C76" s="31"/>
      <c r="D76" s="31"/>
      <c r="E76" s="31"/>
      <c r="F76" s="31"/>
      <c r="G76" s="31"/>
      <c r="H76" s="31"/>
      <c r="I76" s="31"/>
      <c r="J76" s="31"/>
      <c r="K76" s="31"/>
      <c r="L76" s="31"/>
      <c r="M76" s="31"/>
      <c r="N76" s="31"/>
    </row>
    <row r="77" spans="2:14" ht="15" customHeight="1">
      <c r="B77" s="31"/>
      <c r="C77" s="31"/>
      <c r="D77" s="31"/>
      <c r="E77" s="31"/>
      <c r="F77" s="31"/>
      <c r="G77" s="31"/>
      <c r="H77" s="31"/>
      <c r="I77" s="31"/>
      <c r="J77" s="31"/>
      <c r="K77" s="31"/>
      <c r="L77" s="31"/>
      <c r="M77" s="31"/>
      <c r="N77" s="31"/>
    </row>
    <row r="78" spans="2:14" ht="15" customHeight="1">
      <c r="B78" s="31"/>
      <c r="C78" s="31"/>
      <c r="D78" s="31"/>
      <c r="E78" s="31"/>
      <c r="F78" s="31"/>
      <c r="G78" s="31"/>
      <c r="H78" s="31"/>
      <c r="I78" s="31"/>
      <c r="J78" s="31"/>
      <c r="K78" s="31"/>
      <c r="L78" s="31"/>
      <c r="M78" s="31"/>
      <c r="N78" s="31"/>
    </row>
    <row r="79" spans="2:14" ht="15" customHeight="1">
      <c r="B79" s="31"/>
      <c r="C79" s="31"/>
      <c r="D79" s="31"/>
      <c r="E79" s="31"/>
      <c r="F79" s="31"/>
      <c r="G79" s="31"/>
      <c r="H79" s="31"/>
      <c r="I79" s="31"/>
      <c r="J79" s="31"/>
      <c r="K79" s="31"/>
      <c r="L79" s="31"/>
      <c r="M79" s="31"/>
      <c r="N79" s="31"/>
    </row>
    <row r="80" spans="2:14" ht="15" customHeight="1">
      <c r="B80" s="31"/>
      <c r="C80" s="31"/>
      <c r="D80" s="31"/>
      <c r="E80" s="31"/>
      <c r="F80" s="31"/>
      <c r="G80" s="31"/>
      <c r="H80" s="31"/>
      <c r="I80" s="31"/>
      <c r="J80" s="31"/>
      <c r="K80" s="31"/>
      <c r="L80" s="31"/>
      <c r="M80" s="31"/>
      <c r="N80" s="31"/>
    </row>
    <row r="81" spans="2:14" ht="15" customHeight="1">
      <c r="B81" s="31"/>
      <c r="C81" s="31"/>
      <c r="D81" s="31"/>
      <c r="E81" s="31"/>
      <c r="F81" s="31"/>
      <c r="G81" s="31"/>
      <c r="H81" s="31"/>
      <c r="I81" s="31"/>
      <c r="J81" s="31"/>
      <c r="K81" s="31"/>
      <c r="L81" s="31"/>
      <c r="M81" s="31"/>
      <c r="N81" s="31"/>
    </row>
    <row r="82" spans="2:14" ht="15" customHeight="1">
      <c r="B82" s="31"/>
      <c r="C82" s="31"/>
      <c r="D82" s="31"/>
      <c r="E82" s="31"/>
      <c r="F82" s="31"/>
      <c r="G82" s="31"/>
      <c r="H82" s="31"/>
      <c r="I82" s="31"/>
      <c r="J82" s="31"/>
      <c r="K82" s="31"/>
      <c r="L82" s="31"/>
      <c r="M82" s="31"/>
      <c r="N82" s="31"/>
    </row>
    <row r="83" spans="2:14" ht="15" customHeight="1">
      <c r="B83" s="31"/>
      <c r="C83" s="31"/>
      <c r="D83" s="31"/>
      <c r="E83" s="31"/>
      <c r="F83" s="31"/>
      <c r="G83" s="31"/>
      <c r="H83" s="31"/>
      <c r="I83" s="31"/>
      <c r="J83" s="31"/>
      <c r="K83" s="31"/>
      <c r="L83" s="31"/>
      <c r="M83" s="31"/>
      <c r="N83" s="31"/>
    </row>
    <row r="84" spans="2:14" ht="15" customHeight="1">
      <c r="B84" s="31"/>
      <c r="C84" s="31"/>
      <c r="D84" s="31"/>
      <c r="E84" s="31"/>
      <c r="F84" s="31"/>
      <c r="G84" s="31"/>
      <c r="H84" s="31"/>
      <c r="I84" s="31"/>
      <c r="J84" s="31"/>
      <c r="K84" s="31"/>
      <c r="L84" s="31"/>
      <c r="M84" s="31"/>
      <c r="N84" s="31"/>
    </row>
    <row r="85" spans="2:14" ht="15" customHeight="1">
      <c r="B85" s="31"/>
      <c r="C85" s="31"/>
      <c r="D85" s="31"/>
      <c r="E85" s="31"/>
      <c r="F85" s="31"/>
      <c r="G85" s="31"/>
      <c r="H85" s="31"/>
      <c r="I85" s="31"/>
      <c r="J85" s="31"/>
      <c r="K85" s="31"/>
      <c r="L85" s="31"/>
      <c r="M85" s="31"/>
      <c r="N85" s="31"/>
    </row>
    <row r="86" spans="2:14" ht="15" customHeight="1">
      <c r="B86" s="31"/>
      <c r="C86" s="31"/>
      <c r="D86" s="31"/>
      <c r="E86" s="31"/>
      <c r="F86" s="31"/>
      <c r="G86" s="31"/>
      <c r="H86" s="31"/>
      <c r="I86" s="31"/>
      <c r="J86" s="31"/>
      <c r="K86" s="31"/>
      <c r="L86" s="31"/>
      <c r="M86" s="31"/>
      <c r="N86" s="31"/>
    </row>
    <row r="87" spans="2:14" ht="15" customHeight="1">
      <c r="B87" s="31"/>
      <c r="C87" s="31"/>
      <c r="D87" s="31"/>
      <c r="E87" s="31"/>
      <c r="F87" s="31"/>
      <c r="G87" s="31"/>
      <c r="H87" s="31"/>
      <c r="I87" s="31"/>
      <c r="J87" s="31"/>
      <c r="K87" s="31"/>
      <c r="L87" s="31"/>
      <c r="M87" s="31"/>
      <c r="N87" s="31"/>
    </row>
    <row r="88" spans="2:14" ht="15" customHeight="1">
      <c r="B88" s="31"/>
      <c r="C88" s="31"/>
      <c r="D88" s="31"/>
      <c r="E88" s="31"/>
      <c r="F88" s="31"/>
      <c r="G88" s="31"/>
      <c r="H88" s="31"/>
      <c r="I88" s="31"/>
      <c r="J88" s="31"/>
      <c r="K88" s="31"/>
      <c r="L88" s="31"/>
      <c r="M88" s="31"/>
      <c r="N88" s="31"/>
    </row>
    <row r="89" spans="2:14" ht="15" customHeight="1">
      <c r="B89" s="31"/>
      <c r="C89" s="31"/>
      <c r="D89" s="31"/>
      <c r="E89" s="31"/>
      <c r="F89" s="31"/>
      <c r="G89" s="31"/>
      <c r="H89" s="31"/>
      <c r="I89" s="31"/>
      <c r="J89" s="31"/>
      <c r="K89" s="31"/>
      <c r="L89" s="31"/>
      <c r="M89" s="31"/>
      <c r="N89" s="31"/>
    </row>
    <row r="90" spans="2:14" ht="15" customHeight="1">
      <c r="B90" s="31"/>
      <c r="C90" s="31"/>
      <c r="D90" s="31"/>
      <c r="E90" s="31"/>
      <c r="F90" s="31"/>
      <c r="G90" s="31"/>
      <c r="H90" s="31"/>
      <c r="I90" s="31"/>
      <c r="J90" s="31"/>
      <c r="K90" s="31"/>
      <c r="L90" s="31"/>
      <c r="M90" s="31"/>
      <c r="N90" s="31"/>
    </row>
    <row r="91" spans="2:14" ht="15" customHeight="1">
      <c r="B91" s="31"/>
      <c r="C91" s="31"/>
      <c r="D91" s="31"/>
      <c r="E91" s="31"/>
      <c r="F91" s="31"/>
      <c r="G91" s="31"/>
      <c r="H91" s="31"/>
      <c r="I91" s="31"/>
      <c r="J91" s="31"/>
      <c r="K91" s="31"/>
      <c r="L91" s="31"/>
      <c r="M91" s="31"/>
      <c r="N91" s="31"/>
    </row>
    <row r="92" spans="2:14" ht="15" customHeight="1">
      <c r="B92" s="31"/>
      <c r="C92" s="31"/>
      <c r="D92" s="31"/>
      <c r="E92" s="31"/>
      <c r="F92" s="31"/>
      <c r="G92" s="31"/>
      <c r="H92" s="31"/>
      <c r="I92" s="31"/>
      <c r="J92" s="31"/>
      <c r="K92" s="31"/>
      <c r="L92" s="31"/>
      <c r="M92" s="31"/>
      <c r="N92" s="31"/>
    </row>
    <row r="93" spans="2:14" ht="15" customHeight="1">
      <c r="B93" s="31"/>
      <c r="C93" s="31"/>
      <c r="D93" s="31"/>
      <c r="E93" s="31"/>
      <c r="F93" s="31"/>
      <c r="G93" s="31"/>
      <c r="H93" s="31"/>
      <c r="I93" s="31"/>
      <c r="J93" s="31"/>
      <c r="K93" s="31"/>
      <c r="L93" s="31"/>
      <c r="M93" s="31"/>
      <c r="N93" s="31"/>
    </row>
    <row r="94" spans="2:14" ht="15" customHeight="1">
      <c r="B94" s="31"/>
      <c r="C94" s="31"/>
      <c r="D94" s="31"/>
      <c r="E94" s="31"/>
      <c r="F94" s="31"/>
      <c r="G94" s="31"/>
      <c r="H94" s="31"/>
      <c r="I94" s="31"/>
      <c r="J94" s="31"/>
      <c r="K94" s="31"/>
      <c r="L94" s="31"/>
      <c r="M94" s="31"/>
      <c r="N94" s="31"/>
    </row>
    <row r="95" spans="2:14" ht="15" customHeight="1">
      <c r="B95" s="31"/>
      <c r="C95" s="31"/>
      <c r="D95" s="31"/>
      <c r="E95" s="31"/>
      <c r="F95" s="31"/>
      <c r="G95" s="31"/>
      <c r="H95" s="31"/>
      <c r="I95" s="31"/>
      <c r="J95" s="31"/>
      <c r="K95" s="31"/>
      <c r="L95" s="31"/>
      <c r="M95" s="31"/>
      <c r="N95" s="31"/>
    </row>
    <row r="96" spans="2:14" ht="15" customHeight="1">
      <c r="B96" s="31"/>
      <c r="C96" s="31"/>
      <c r="D96" s="31"/>
      <c r="E96" s="31"/>
      <c r="F96" s="31"/>
      <c r="G96" s="31"/>
      <c r="H96" s="31"/>
      <c r="I96" s="31"/>
      <c r="J96" s="31"/>
      <c r="K96" s="31"/>
      <c r="L96" s="31"/>
      <c r="M96" s="31"/>
      <c r="N96" s="31"/>
    </row>
    <row r="97" spans="2:14" ht="15" customHeight="1">
      <c r="B97" s="31"/>
      <c r="C97" s="31"/>
      <c r="D97" s="31"/>
      <c r="E97" s="31"/>
      <c r="F97" s="31"/>
      <c r="G97" s="31"/>
      <c r="H97" s="31"/>
      <c r="I97" s="31"/>
      <c r="J97" s="31"/>
      <c r="K97" s="31"/>
      <c r="L97" s="31"/>
      <c r="M97" s="31"/>
      <c r="N97" s="31"/>
    </row>
    <row r="98" spans="2:14" ht="15" customHeight="1">
      <c r="B98" s="31"/>
      <c r="C98" s="31"/>
      <c r="D98" s="31"/>
      <c r="E98" s="31"/>
      <c r="F98" s="31"/>
      <c r="G98" s="31"/>
      <c r="H98" s="31"/>
      <c r="I98" s="31"/>
      <c r="J98" s="31"/>
      <c r="K98" s="31"/>
      <c r="L98" s="31"/>
      <c r="M98" s="31"/>
      <c r="N98" s="31"/>
    </row>
    <row r="99" spans="2:14" ht="15" customHeight="1">
      <c r="B99" s="31"/>
      <c r="C99" s="31"/>
      <c r="D99" s="31"/>
      <c r="E99" s="31"/>
      <c r="F99" s="31"/>
      <c r="G99" s="31"/>
      <c r="H99" s="31"/>
      <c r="I99" s="31"/>
      <c r="J99" s="31"/>
      <c r="K99" s="31"/>
      <c r="L99" s="31"/>
      <c r="M99" s="31"/>
      <c r="N99" s="31"/>
    </row>
    <row r="100" spans="2:14" ht="15" customHeight="1">
      <c r="B100" s="31"/>
      <c r="C100" s="31"/>
      <c r="D100" s="31"/>
      <c r="E100" s="31"/>
      <c r="F100" s="31"/>
      <c r="G100" s="31"/>
      <c r="H100" s="31"/>
      <c r="I100" s="31"/>
      <c r="J100" s="31"/>
      <c r="K100" s="31"/>
      <c r="L100" s="31"/>
      <c r="M100" s="31"/>
      <c r="N100" s="31"/>
    </row>
    <row r="101" spans="2:14" ht="15" customHeight="1">
      <c r="B101" s="31"/>
      <c r="C101" s="31"/>
      <c r="D101" s="31"/>
      <c r="E101" s="31"/>
      <c r="F101" s="31"/>
      <c r="G101" s="31"/>
      <c r="H101" s="31"/>
      <c r="I101" s="31"/>
      <c r="J101" s="31"/>
      <c r="K101" s="31"/>
      <c r="L101" s="31"/>
      <c r="M101" s="31"/>
      <c r="N101" s="31"/>
    </row>
  </sheetData>
  <mergeCells count="1">
    <mergeCell ref="L1:M1"/>
  </mergeCells>
  <conditionalFormatting sqref="B1">
    <cfRule type="cellIs" dxfId="56" priority="1" operator="equal">
      <formula>"Incomplete"</formula>
    </cfRule>
    <cfRule type="cellIs" dxfId="55" priority="2" operator="equal">
      <formula>"Flag for Review"</formula>
    </cfRule>
    <cfRule type="cellIs" dxfId="5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L1" location="'Point Grid'!A8" display="Return to Point Grid"/>
    <hyperlink ref="L1:M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U93"/>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13</v>
      </c>
      <c r="B1" s="27" t="s">
        <v>12</v>
      </c>
      <c r="C1" s="20"/>
      <c r="D1" s="20"/>
      <c r="E1" s="20"/>
      <c r="F1" s="20"/>
      <c r="G1" s="20"/>
      <c r="H1" s="886" t="s">
        <v>24</v>
      </c>
      <c r="I1" s="887"/>
      <c r="K1" s="1" t="s">
        <v>33</v>
      </c>
      <c r="L1" s="52" t="str">
        <f>VLOOKUP(A1,'Point Grid'!$L$8:$T$54,9,FALSE)</f>
        <v>Pricing - Chap 9: Risk Classification</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s="1" t="s">
        <v>832</v>
      </c>
      <c r="M3" s="52" t="s">
        <v>843</v>
      </c>
      <c r="N3"/>
      <c r="O3"/>
      <c r="P3"/>
      <c r="Q3"/>
      <c r="R3"/>
      <c r="S3"/>
      <c r="T3"/>
      <c r="U3"/>
    </row>
    <row r="4" spans="1:21">
      <c r="A4" s="9">
        <f>INDEX('Point Grid'!B:B,MATCH(A1,'Point Grid'!A:A,0))</f>
        <v>3.75</v>
      </c>
      <c r="B4" s="17"/>
      <c r="C4" s="17"/>
      <c r="D4" s="17"/>
      <c r="E4" s="17"/>
      <c r="F4" s="17"/>
      <c r="G4" s="17"/>
      <c r="H4" s="17"/>
      <c r="I4" s="18"/>
      <c r="J4" s="31"/>
      <c r="K4" s="48"/>
      <c r="L4" t="s">
        <v>826</v>
      </c>
      <c r="M4"/>
      <c r="N4"/>
      <c r="O4"/>
      <c r="P4"/>
      <c r="Q4"/>
      <c r="R4"/>
      <c r="S4"/>
      <c r="T4"/>
      <c r="U4"/>
    </row>
    <row r="5" spans="1:21">
      <c r="A5" s="16"/>
      <c r="B5" s="17"/>
      <c r="C5" s="17"/>
      <c r="D5" s="17"/>
      <c r="E5" s="17"/>
      <c r="F5" s="17"/>
      <c r="G5" s="17"/>
      <c r="H5" s="17"/>
      <c r="I5" s="18"/>
      <c r="J5" s="31"/>
      <c r="K5" s="48"/>
      <c r="L5" t="s">
        <v>827</v>
      </c>
      <c r="M5"/>
      <c r="N5"/>
      <c r="O5"/>
      <c r="P5"/>
      <c r="Q5"/>
      <c r="R5"/>
      <c r="S5"/>
      <c r="T5"/>
      <c r="U5"/>
    </row>
    <row r="6" spans="1:21">
      <c r="A6" s="25" t="s">
        <v>2</v>
      </c>
      <c r="B6" s="17" t="s">
        <v>817</v>
      </c>
      <c r="C6" s="17"/>
      <c r="D6" s="17"/>
      <c r="E6" s="17"/>
      <c r="F6" s="17"/>
      <c r="G6" s="17"/>
      <c r="H6" s="17"/>
      <c r="I6" s="18"/>
      <c r="J6" s="31"/>
      <c r="K6" s="48"/>
      <c r="L6" t="s">
        <v>828</v>
      </c>
      <c r="M6"/>
      <c r="N6"/>
      <c r="O6"/>
      <c r="P6"/>
      <c r="Q6"/>
      <c r="R6"/>
      <c r="S6"/>
      <c r="T6"/>
      <c r="U6"/>
    </row>
    <row r="7" spans="1:21" ht="15.75" thickBot="1">
      <c r="A7" s="9">
        <f>INDEX('Point Grid'!$C$8:$I$54,MATCH($A$1,'Point Grid'!$A$8:$A$54,0),MATCH(A6,'Point Grid'!$C$7:$I$7,0))</f>
        <v>1</v>
      </c>
      <c r="B7" s="17" t="s">
        <v>818</v>
      </c>
      <c r="C7" s="17"/>
      <c r="D7" s="17"/>
      <c r="E7" s="17"/>
      <c r="F7" s="17"/>
      <c r="G7" s="17"/>
      <c r="H7" s="17"/>
      <c r="I7" s="18"/>
      <c r="J7" s="31"/>
      <c r="K7" s="48"/>
      <c r="L7" t="s">
        <v>842</v>
      </c>
      <c r="M7"/>
      <c r="N7"/>
      <c r="O7"/>
      <c r="P7"/>
      <c r="Q7"/>
      <c r="R7"/>
      <c r="S7"/>
      <c r="T7"/>
      <c r="U7"/>
    </row>
    <row r="8" spans="1:21" ht="15.75" thickBot="1">
      <c r="A8" s="5"/>
      <c r="B8" s="17" t="s">
        <v>819</v>
      </c>
      <c r="C8" s="28"/>
      <c r="D8" s="28"/>
      <c r="E8" s="28"/>
      <c r="F8" s="28"/>
      <c r="G8" s="28"/>
      <c r="H8" s="28"/>
      <c r="I8" s="18"/>
      <c r="J8" s="31"/>
      <c r="K8"/>
      <c r="L8" t="s">
        <v>829</v>
      </c>
      <c r="M8"/>
      <c r="N8"/>
      <c r="O8"/>
      <c r="P8"/>
      <c r="Q8"/>
      <c r="R8"/>
      <c r="S8"/>
      <c r="T8"/>
      <c r="U8"/>
    </row>
    <row r="9" spans="1:21">
      <c r="A9" s="25"/>
      <c r="B9" s="17" t="s">
        <v>820</v>
      </c>
      <c r="C9" s="17"/>
      <c r="D9" s="17"/>
      <c r="E9" s="17"/>
      <c r="F9" s="17"/>
      <c r="G9" s="17"/>
      <c r="H9" s="17"/>
      <c r="I9" s="18"/>
      <c r="J9" s="31"/>
      <c r="K9" s="48"/>
      <c r="L9" t="s">
        <v>830</v>
      </c>
      <c r="M9"/>
      <c r="N9"/>
      <c r="O9"/>
      <c r="P9"/>
      <c r="Q9"/>
      <c r="R9"/>
      <c r="S9"/>
    </row>
    <row r="10" spans="1:21">
      <c r="A10" s="25"/>
      <c r="B10" s="17" t="s">
        <v>821</v>
      </c>
      <c r="C10" s="17"/>
      <c r="D10" s="17"/>
      <c r="E10" s="17"/>
      <c r="F10" s="17"/>
      <c r="G10" s="17"/>
      <c r="H10" s="17"/>
      <c r="I10" s="18"/>
      <c r="J10" s="31"/>
      <c r="K10"/>
      <c r="L10"/>
      <c r="M10"/>
      <c r="N10"/>
      <c r="O10"/>
      <c r="P10"/>
      <c r="Q10"/>
      <c r="R10"/>
      <c r="S10"/>
      <c r="T10"/>
      <c r="U10"/>
    </row>
    <row r="11" spans="1:21">
      <c r="A11" s="25"/>
      <c r="B11" s="17"/>
      <c r="C11" s="17"/>
      <c r="D11" s="17"/>
      <c r="E11" s="17"/>
      <c r="F11" s="17"/>
      <c r="G11" s="17"/>
      <c r="H11" s="17"/>
      <c r="I11" s="18"/>
      <c r="J11" s="31"/>
      <c r="K11"/>
      <c r="L11" s="1" t="s">
        <v>833</v>
      </c>
      <c r="M11" s="52" t="s">
        <v>844</v>
      </c>
      <c r="N11"/>
      <c r="O11"/>
      <c r="P11"/>
      <c r="Q11"/>
      <c r="R11"/>
      <c r="S11"/>
      <c r="T11"/>
      <c r="U11"/>
    </row>
    <row r="12" spans="1:21">
      <c r="A12" s="25"/>
      <c r="B12" s="17" t="s">
        <v>822</v>
      </c>
      <c r="C12" s="17"/>
      <c r="D12" s="17"/>
      <c r="E12" s="17"/>
      <c r="F12" s="17"/>
      <c r="G12" s="17"/>
      <c r="H12" s="17"/>
      <c r="I12" s="18"/>
      <c r="J12" s="31"/>
      <c r="K12"/>
      <c r="L12" t="s">
        <v>840</v>
      </c>
      <c r="M12"/>
      <c r="N12"/>
      <c r="O12"/>
      <c r="P12"/>
      <c r="Q12"/>
      <c r="R12"/>
      <c r="S12"/>
      <c r="T12"/>
      <c r="U12"/>
    </row>
    <row r="13" spans="1:21">
      <c r="A13" s="25"/>
      <c r="B13" s="17" t="s">
        <v>823</v>
      </c>
      <c r="C13" s="17"/>
      <c r="D13" s="17"/>
      <c r="E13" s="17"/>
      <c r="F13" s="17"/>
      <c r="G13" s="17"/>
      <c r="H13" s="17"/>
      <c r="I13" s="18"/>
      <c r="J13" s="31"/>
      <c r="K13" s="48"/>
      <c r="L13" t="s">
        <v>841</v>
      </c>
      <c r="M13"/>
      <c r="N13"/>
      <c r="O13"/>
      <c r="P13"/>
      <c r="Q13"/>
      <c r="R13"/>
      <c r="S13"/>
      <c r="T13"/>
      <c r="U13"/>
    </row>
    <row r="14" spans="1:21">
      <c r="A14" s="25"/>
      <c r="B14" s="17" t="s">
        <v>824</v>
      </c>
      <c r="C14" s="17"/>
      <c r="D14" s="17"/>
      <c r="E14" s="17"/>
      <c r="F14" s="17"/>
      <c r="G14" s="17"/>
      <c r="H14" s="17"/>
      <c r="I14" s="18"/>
      <c r="J14" s="31"/>
      <c r="K14"/>
      <c r="L14" t="s">
        <v>839</v>
      </c>
      <c r="M14"/>
      <c r="N14"/>
      <c r="O14"/>
      <c r="P14"/>
      <c r="Q14"/>
      <c r="R14"/>
      <c r="S14"/>
      <c r="T14"/>
      <c r="U14"/>
    </row>
    <row r="15" spans="1:21">
      <c r="A15" s="25"/>
      <c r="B15" s="17" t="s">
        <v>825</v>
      </c>
      <c r="C15" s="17"/>
      <c r="D15" s="17"/>
      <c r="E15" s="17"/>
      <c r="F15" s="17"/>
      <c r="G15" s="17"/>
      <c r="H15" s="17"/>
      <c r="I15" s="18"/>
      <c r="J15" s="31"/>
      <c r="K15"/>
      <c r="L15" t="s">
        <v>838</v>
      </c>
      <c r="M15"/>
      <c r="N15"/>
      <c r="O15"/>
      <c r="P15"/>
      <c r="Q15"/>
      <c r="R15"/>
      <c r="S15"/>
      <c r="T15"/>
      <c r="U15"/>
    </row>
    <row r="16" spans="1:21">
      <c r="A16" s="25"/>
      <c r="B16" s="17"/>
      <c r="C16" s="17"/>
      <c r="D16" s="17"/>
      <c r="E16" s="17"/>
      <c r="F16" s="17"/>
      <c r="G16" s="17"/>
      <c r="H16" s="17"/>
      <c r="I16" s="18"/>
      <c r="J16" s="31"/>
      <c r="K16" s="48"/>
      <c r="L16" t="s">
        <v>837</v>
      </c>
      <c r="M16"/>
      <c r="N16"/>
      <c r="O16"/>
      <c r="P16"/>
      <c r="Q16"/>
      <c r="R16"/>
      <c r="S16"/>
      <c r="T16"/>
      <c r="U16"/>
    </row>
    <row r="17" spans="1:21">
      <c r="A17" s="25"/>
      <c r="B17" s="17" t="s">
        <v>831</v>
      </c>
      <c r="C17" s="17"/>
      <c r="D17" s="17"/>
      <c r="E17" s="17"/>
      <c r="F17" s="17"/>
      <c r="G17" s="17"/>
      <c r="H17" s="17"/>
      <c r="I17" s="18"/>
      <c r="J17" s="31"/>
      <c r="K17"/>
      <c r="L17" t="s">
        <v>834</v>
      </c>
      <c r="M17"/>
      <c r="N17"/>
      <c r="O17"/>
      <c r="P17"/>
      <c r="Q17"/>
      <c r="R17"/>
      <c r="S17"/>
      <c r="T17"/>
      <c r="U17"/>
    </row>
    <row r="18" spans="1:21" ht="15" customHeight="1">
      <c r="A18" s="25"/>
      <c r="B18" s="17"/>
      <c r="C18" s="17"/>
      <c r="D18" s="17"/>
      <c r="E18" s="17"/>
      <c r="F18" s="17"/>
      <c r="G18" s="17"/>
      <c r="H18" s="17"/>
      <c r="I18" s="18"/>
      <c r="J18" s="31"/>
      <c r="K18"/>
      <c r="L18" t="s">
        <v>836</v>
      </c>
      <c r="M18"/>
      <c r="N18"/>
      <c r="O18"/>
      <c r="P18"/>
      <c r="Q18"/>
      <c r="R18"/>
      <c r="S18"/>
      <c r="T18"/>
      <c r="U18"/>
    </row>
    <row r="19" spans="1:21" ht="15" customHeight="1">
      <c r="A19" s="25" t="s">
        <v>3</v>
      </c>
      <c r="B19" s="139" t="s">
        <v>207</v>
      </c>
      <c r="C19" s="139"/>
      <c r="D19" s="139"/>
      <c r="E19" s="139"/>
      <c r="F19" s="139"/>
      <c r="G19" s="139"/>
      <c r="H19" s="273">
        <v>3</v>
      </c>
      <c r="I19" s="18"/>
      <c r="J19" s="31"/>
      <c r="K19" s="48"/>
      <c r="L19" t="s">
        <v>835</v>
      </c>
      <c r="M19"/>
      <c r="N19"/>
      <c r="O19"/>
      <c r="P19"/>
      <c r="Q19"/>
      <c r="R19"/>
      <c r="S19"/>
      <c r="T19"/>
      <c r="U19"/>
    </row>
    <row r="20" spans="1:21" ht="15" customHeight="1" thickBot="1">
      <c r="A20" s="9">
        <f>INDEX('Point Grid'!$C$8:$I$54,MATCH($A$1,'Point Grid'!$A$8:$A$54,0),MATCH(A19,'Point Grid'!$C$7:$I$7,0))</f>
        <v>1.25</v>
      </c>
      <c r="B20" s="139"/>
      <c r="C20" s="139"/>
      <c r="D20" s="139"/>
      <c r="E20" s="139"/>
      <c r="F20" s="139"/>
      <c r="G20" s="139"/>
      <c r="H20" s="139"/>
      <c r="I20" s="18"/>
      <c r="J20" s="31"/>
      <c r="K20"/>
      <c r="L20"/>
      <c r="M20"/>
      <c r="N20"/>
      <c r="O20"/>
      <c r="P20"/>
      <c r="Q20"/>
      <c r="R20"/>
      <c r="S20"/>
      <c r="T20"/>
      <c r="U20"/>
    </row>
    <row r="21" spans="1:21" ht="15" customHeight="1" thickBot="1">
      <c r="A21" s="5"/>
      <c r="B21" s="139"/>
      <c r="C21" s="191" t="s">
        <v>208</v>
      </c>
      <c r="D21" s="266"/>
      <c r="E21" s="267"/>
      <c r="F21" s="139"/>
      <c r="G21" s="139"/>
      <c r="H21" s="139"/>
      <c r="I21" s="18"/>
      <c r="J21" s="31"/>
      <c r="K21" s="48" t="s">
        <v>3</v>
      </c>
      <c r="L21" s="156" t="s">
        <v>107</v>
      </c>
      <c r="M21" s="37" t="s">
        <v>213</v>
      </c>
      <c r="N21" s="37"/>
      <c r="O21" s="37"/>
      <c r="P21" s="37"/>
      <c r="Q21" s="37"/>
      <c r="R21" s="37"/>
      <c r="S21" s="37"/>
    </row>
    <row r="22" spans="1:21" ht="15" customHeight="1">
      <c r="A22" s="22"/>
      <c r="B22" s="119"/>
      <c r="C22" s="268" t="s">
        <v>209</v>
      </c>
      <c r="D22" s="269"/>
      <c r="E22" s="270" t="s">
        <v>90</v>
      </c>
      <c r="F22" s="139"/>
      <c r="G22" s="139"/>
      <c r="H22" s="139"/>
      <c r="I22" s="18"/>
      <c r="J22" s="31"/>
      <c r="K22"/>
      <c r="L22" s="37"/>
      <c r="M22" s="37"/>
      <c r="N22" s="37"/>
      <c r="O22" s="37"/>
      <c r="P22" s="37"/>
      <c r="Q22" s="37"/>
      <c r="R22" s="37"/>
      <c r="S22" s="37"/>
    </row>
    <row r="23" spans="1:21" ht="15" customHeight="1">
      <c r="A23" s="22"/>
      <c r="B23" s="119"/>
      <c r="C23" s="194" t="s">
        <v>210</v>
      </c>
      <c r="D23" s="271" t="s">
        <v>211</v>
      </c>
      <c r="E23" s="272" t="s">
        <v>212</v>
      </c>
      <c r="F23" s="139"/>
      <c r="G23" s="139"/>
      <c r="H23" s="139"/>
      <c r="I23" s="18"/>
      <c r="J23" s="31"/>
      <c r="K23"/>
      <c r="L23" s="121"/>
      <c r="M23" s="155" t="s">
        <v>96</v>
      </c>
      <c r="N23" s="155" t="s">
        <v>97</v>
      </c>
      <c r="O23" s="155" t="s">
        <v>98</v>
      </c>
      <c r="P23" s="155" t="s">
        <v>99</v>
      </c>
      <c r="Q23" s="155" t="s">
        <v>100</v>
      </c>
      <c r="R23" s="155" t="s">
        <v>101</v>
      </c>
      <c r="S23" s="121"/>
    </row>
    <row r="24" spans="1:21" ht="15" customHeight="1">
      <c r="A24" s="22"/>
      <c r="B24" s="119"/>
      <c r="C24" s="268">
        <v>1</v>
      </c>
      <c r="D24" s="269">
        <v>114</v>
      </c>
      <c r="E24" s="270">
        <v>45600</v>
      </c>
      <c r="F24" s="139"/>
      <c r="G24" s="139"/>
      <c r="H24" s="139"/>
      <c r="I24" s="18"/>
      <c r="K24"/>
      <c r="L24" s="121"/>
      <c r="M24" s="178" t="s">
        <v>208</v>
      </c>
      <c r="N24" s="249"/>
      <c r="O24" s="250"/>
      <c r="P24" s="253"/>
      <c r="Q24" s="249"/>
      <c r="R24" s="254" t="s">
        <v>214</v>
      </c>
      <c r="S24" s="121"/>
    </row>
    <row r="25" spans="1:21" ht="15" customHeight="1">
      <c r="A25" s="22"/>
      <c r="B25" s="119"/>
      <c r="C25" s="268">
        <v>2</v>
      </c>
      <c r="D25" s="269">
        <v>390</v>
      </c>
      <c r="E25" s="270">
        <v>274950</v>
      </c>
      <c r="F25" s="139"/>
      <c r="G25" s="139"/>
      <c r="H25" s="139"/>
      <c r="I25" s="18"/>
      <c r="J25" s="121"/>
      <c r="K25"/>
      <c r="L25" s="121"/>
      <c r="M25" s="110" t="s">
        <v>209</v>
      </c>
      <c r="N25" s="111"/>
      <c r="O25" s="112" t="s">
        <v>90</v>
      </c>
      <c r="P25" s="255" t="s">
        <v>215</v>
      </c>
      <c r="Q25" s="111" t="s">
        <v>216</v>
      </c>
      <c r="R25" s="112" t="s">
        <v>216</v>
      </c>
      <c r="S25" s="121"/>
    </row>
    <row r="26" spans="1:21" ht="15" customHeight="1">
      <c r="A26" s="22"/>
      <c r="B26" s="119"/>
      <c r="C26" s="194">
        <v>3</v>
      </c>
      <c r="D26" s="271">
        <v>237</v>
      </c>
      <c r="E26" s="272">
        <v>113760</v>
      </c>
      <c r="F26" s="139"/>
      <c r="G26" s="139"/>
      <c r="H26" s="139"/>
      <c r="I26" s="18"/>
      <c r="J26" s="121"/>
      <c r="K26"/>
      <c r="L26" s="121"/>
      <c r="M26" s="114" t="s">
        <v>210</v>
      </c>
      <c r="N26" s="115" t="s">
        <v>211</v>
      </c>
      <c r="O26" s="116" t="s">
        <v>212</v>
      </c>
      <c r="P26" s="256" t="s">
        <v>217</v>
      </c>
      <c r="Q26" s="115" t="s">
        <v>218</v>
      </c>
      <c r="R26" s="116" t="s">
        <v>218</v>
      </c>
      <c r="S26" s="121"/>
    </row>
    <row r="27" spans="1:21" ht="15" customHeight="1">
      <c r="A27" s="22"/>
      <c r="B27" s="119"/>
      <c r="C27" s="119"/>
      <c r="D27" s="119"/>
      <c r="E27" s="139"/>
      <c r="F27" s="139"/>
      <c r="G27" s="139"/>
      <c r="H27" s="139"/>
      <c r="I27" s="18"/>
      <c r="J27" s="108"/>
      <c r="K27"/>
      <c r="L27" s="121"/>
      <c r="M27" s="110" t="s">
        <v>204</v>
      </c>
      <c r="N27" s="117">
        <f t="shared" ref="N27:O29" si="0">D24</f>
        <v>114</v>
      </c>
      <c r="O27" s="251">
        <f t="shared" si="0"/>
        <v>45600</v>
      </c>
      <c r="P27" s="255">
        <f>O27/N27</f>
        <v>400</v>
      </c>
      <c r="Q27" s="257">
        <f>P27/P30</f>
        <v>0.68246183601574906</v>
      </c>
      <c r="R27" s="258">
        <f>Q27/R34</f>
        <v>0.83333333333333326</v>
      </c>
      <c r="S27" s="259" t="str">
        <f>IF(H19=1,"  &lt;==  base level","")</f>
        <v/>
      </c>
    </row>
    <row r="28" spans="1:21" ht="15" customHeight="1">
      <c r="A28" s="22"/>
      <c r="B28" s="17"/>
      <c r="C28" s="17"/>
      <c r="D28" s="17"/>
      <c r="E28" s="17"/>
      <c r="F28" s="17"/>
      <c r="G28" s="17"/>
      <c r="H28" s="17"/>
      <c r="I28" s="18"/>
      <c r="J28" s="108"/>
      <c r="K28" s="48"/>
      <c r="L28" s="121"/>
      <c r="M28" s="110" t="s">
        <v>205</v>
      </c>
      <c r="N28" s="117">
        <f t="shared" si="0"/>
        <v>390</v>
      </c>
      <c r="O28" s="251">
        <f t="shared" si="0"/>
        <v>274950</v>
      </c>
      <c r="P28" s="255">
        <f>O28/N28</f>
        <v>705</v>
      </c>
      <c r="Q28" s="257">
        <f>P28/P30</f>
        <v>1.2028389859777577</v>
      </c>
      <c r="R28" s="258">
        <f>Q28/R34</f>
        <v>1.46875</v>
      </c>
      <c r="S28" s="259" t="str">
        <f>IF(H19=2,"  &lt;==  base level","")</f>
        <v/>
      </c>
    </row>
    <row r="29" spans="1:21" ht="15" customHeight="1" thickBot="1">
      <c r="A29" s="24"/>
      <c r="B29" s="32"/>
      <c r="C29" s="32"/>
      <c r="D29" s="32"/>
      <c r="E29" s="32"/>
      <c r="F29" s="32"/>
      <c r="G29" s="32"/>
      <c r="H29" s="32"/>
      <c r="I29" s="33"/>
      <c r="J29" s="108"/>
      <c r="K29"/>
      <c r="L29" s="121"/>
      <c r="M29" s="114" t="s">
        <v>206</v>
      </c>
      <c r="N29" s="118">
        <f t="shared" si="0"/>
        <v>237</v>
      </c>
      <c r="O29" s="252">
        <f t="shared" si="0"/>
        <v>113760</v>
      </c>
      <c r="P29" s="256">
        <f>O29/N29</f>
        <v>480</v>
      </c>
      <c r="Q29" s="260">
        <f>P29/P30</f>
        <v>0.81895420321889889</v>
      </c>
      <c r="R29" s="261">
        <f>Q29/R34</f>
        <v>1</v>
      </c>
      <c r="S29" s="259" t="str">
        <f>IF(H19=3,"  &lt;==   base level","")</f>
        <v xml:space="preserve">  &lt;==   base level</v>
      </c>
    </row>
    <row r="30" spans="1:21" ht="15" customHeight="1">
      <c r="J30" s="108"/>
      <c r="K30" s="48"/>
      <c r="L30" s="121"/>
      <c r="M30" s="122" t="s">
        <v>92</v>
      </c>
      <c r="N30" s="123">
        <f>SUM(N27:N29)</f>
        <v>741</v>
      </c>
      <c r="O30" s="124">
        <f>SUM(O27:O29)</f>
        <v>434310</v>
      </c>
      <c r="P30" s="123">
        <f>O30/N30</f>
        <v>586.1133603238867</v>
      </c>
      <c r="Q30" s="262">
        <f>P30/P30</f>
        <v>1</v>
      </c>
      <c r="R30" s="263">
        <f>Q30/R34</f>
        <v>1.2210695006747638</v>
      </c>
      <c r="S30" s="121"/>
    </row>
    <row r="31" spans="1:21" ht="15" customHeight="1">
      <c r="J31" s="108"/>
      <c r="K31"/>
      <c r="L31" s="121"/>
      <c r="M31" s="121"/>
      <c r="N31" s="121"/>
      <c r="O31" s="121"/>
      <c r="P31" s="121"/>
      <c r="Q31" s="121"/>
      <c r="R31" s="159" t="s">
        <v>219</v>
      </c>
      <c r="S31" s="121"/>
    </row>
    <row r="32" spans="1:21" ht="15" customHeight="1">
      <c r="B32" s="31"/>
      <c r="C32" s="31"/>
      <c r="D32" s="31"/>
      <c r="E32" s="31"/>
      <c r="F32" s="31"/>
      <c r="G32" s="31"/>
      <c r="H32" s="31"/>
      <c r="I32" s="31"/>
      <c r="J32" s="108"/>
      <c r="K32"/>
      <c r="L32" s="121"/>
      <c r="M32" s="155" t="s">
        <v>99</v>
      </c>
      <c r="N32" s="120" t="s">
        <v>220</v>
      </c>
      <c r="O32" s="121"/>
      <c r="P32" s="121"/>
      <c r="Q32" s="121"/>
      <c r="R32" s="121"/>
      <c r="S32" s="121"/>
    </row>
    <row r="33" spans="2:21" ht="15" customHeight="1">
      <c r="B33" s="31"/>
      <c r="C33" s="31"/>
      <c r="D33" s="31"/>
      <c r="E33" s="31"/>
      <c r="F33" s="31"/>
      <c r="G33" s="31"/>
      <c r="H33" s="31"/>
      <c r="I33" s="31"/>
      <c r="J33" s="31"/>
      <c r="K33"/>
      <c r="L33" s="121"/>
      <c r="M33" s="155" t="s">
        <v>100</v>
      </c>
      <c r="N33" s="120" t="s">
        <v>221</v>
      </c>
      <c r="O33" s="121"/>
      <c r="P33" s="121"/>
      <c r="Q33" s="121"/>
      <c r="R33" s="121"/>
      <c r="S33" s="121"/>
    </row>
    <row r="34" spans="2:21" ht="15" customHeight="1">
      <c r="B34" s="31"/>
      <c r="C34" s="31"/>
      <c r="D34" s="31"/>
      <c r="E34" s="31"/>
      <c r="F34" s="31"/>
      <c r="G34" s="31"/>
      <c r="H34" s="31"/>
      <c r="I34" s="31"/>
      <c r="J34" s="31"/>
      <c r="K34"/>
      <c r="L34" s="121"/>
      <c r="M34" s="155" t="s">
        <v>101</v>
      </c>
      <c r="N34" s="120" t="s">
        <v>222</v>
      </c>
      <c r="O34" s="121"/>
      <c r="P34" s="121"/>
      <c r="Q34" s="172" t="s">
        <v>223</v>
      </c>
      <c r="R34" s="264">
        <f>INDEX(Q27:Q29,H19)</f>
        <v>0.81895420321889889</v>
      </c>
      <c r="S34" s="37"/>
    </row>
    <row r="35" spans="2:21" ht="15" customHeight="1">
      <c r="B35" s="31"/>
      <c r="C35" s="31"/>
      <c r="D35" s="31"/>
      <c r="E35" s="31"/>
      <c r="F35" s="31"/>
      <c r="G35" s="31"/>
      <c r="H35" s="31"/>
      <c r="I35" s="31"/>
      <c r="J35" s="31"/>
      <c r="K35"/>
      <c r="L35"/>
      <c r="M35"/>
      <c r="N35"/>
      <c r="O35"/>
      <c r="P35"/>
      <c r="Q35"/>
      <c r="R35"/>
      <c r="S35"/>
      <c r="T35"/>
      <c r="U35"/>
    </row>
    <row r="36" spans="2:21" ht="15" customHeight="1">
      <c r="B36" s="31"/>
      <c r="C36" s="31"/>
      <c r="D36" s="31"/>
      <c r="E36" s="31"/>
      <c r="F36" s="31"/>
      <c r="G36" s="31"/>
      <c r="H36" s="31"/>
      <c r="I36" s="31"/>
      <c r="J36" s="31"/>
      <c r="K36"/>
      <c r="L36"/>
      <c r="M36"/>
      <c r="N36"/>
      <c r="O36"/>
      <c r="P36"/>
      <c r="Q36"/>
      <c r="R36"/>
      <c r="S36"/>
      <c r="T36"/>
      <c r="U36"/>
    </row>
    <row r="37" spans="2:21" ht="15" customHeight="1">
      <c r="B37" s="31"/>
      <c r="C37" s="31"/>
      <c r="D37" s="31"/>
      <c r="E37" s="31"/>
      <c r="F37" s="31"/>
      <c r="G37" s="31"/>
      <c r="H37" s="31"/>
      <c r="I37" s="31"/>
      <c r="J37" s="31"/>
      <c r="K37"/>
      <c r="L37"/>
      <c r="M37"/>
      <c r="N37"/>
      <c r="O37"/>
      <c r="P37"/>
      <c r="Q37"/>
      <c r="R37"/>
      <c r="S37"/>
      <c r="T37"/>
      <c r="U37"/>
    </row>
    <row r="38" spans="2:21" ht="15" customHeight="1">
      <c r="B38" s="31"/>
      <c r="C38" s="31"/>
      <c r="D38" s="31"/>
      <c r="E38" s="31"/>
      <c r="F38" s="31"/>
      <c r="G38" s="31"/>
      <c r="H38" s="31"/>
      <c r="I38" s="31"/>
      <c r="J38" s="31"/>
      <c r="K38"/>
      <c r="L38"/>
      <c r="M38"/>
      <c r="N38"/>
      <c r="O38"/>
      <c r="P38"/>
      <c r="Q38"/>
      <c r="R38"/>
      <c r="S38"/>
      <c r="T38"/>
      <c r="U38"/>
    </row>
    <row r="39" spans="2:21" ht="15" customHeight="1">
      <c r="B39" s="31"/>
      <c r="C39" s="31"/>
      <c r="D39" s="31"/>
      <c r="E39" s="31"/>
      <c r="F39" s="31"/>
      <c r="G39" s="31"/>
      <c r="H39" s="31"/>
      <c r="I39" s="31"/>
      <c r="J39" s="31"/>
      <c r="K39"/>
      <c r="L39"/>
      <c r="M39"/>
      <c r="N39"/>
      <c r="O39"/>
      <c r="P39"/>
      <c r="Q39"/>
      <c r="R39"/>
      <c r="S39"/>
      <c r="T39"/>
      <c r="U39"/>
    </row>
    <row r="40" spans="2:21" ht="15" customHeight="1">
      <c r="B40" s="31"/>
      <c r="C40" s="31"/>
      <c r="D40" s="31"/>
      <c r="E40" s="31"/>
      <c r="F40" s="31"/>
      <c r="G40" s="31"/>
      <c r="H40" s="31"/>
      <c r="I40" s="31"/>
      <c r="J40" s="31"/>
      <c r="K40"/>
      <c r="L40"/>
      <c r="M40"/>
      <c r="N40"/>
      <c r="O40"/>
      <c r="P40"/>
      <c r="Q40"/>
      <c r="R40"/>
      <c r="S40"/>
      <c r="T40"/>
      <c r="U40"/>
    </row>
    <row r="41" spans="2:21" ht="15" customHeight="1">
      <c r="B41" s="31"/>
      <c r="C41" s="31"/>
      <c r="D41" s="31"/>
      <c r="E41" s="31"/>
      <c r="F41" s="31"/>
      <c r="G41" s="31"/>
      <c r="H41" s="31"/>
      <c r="I41" s="31"/>
      <c r="J41" s="31"/>
      <c r="K41"/>
      <c r="L41"/>
      <c r="M41"/>
      <c r="N41"/>
      <c r="O41"/>
      <c r="P41"/>
      <c r="Q41"/>
      <c r="R41"/>
      <c r="S41"/>
      <c r="T41"/>
      <c r="U41"/>
    </row>
    <row r="42" spans="2:21" ht="15" customHeight="1">
      <c r="B42" s="31"/>
      <c r="C42" s="31"/>
      <c r="D42" s="31"/>
      <c r="E42" s="31"/>
      <c r="F42" s="31"/>
      <c r="G42" s="31"/>
      <c r="H42" s="31"/>
      <c r="I42" s="31"/>
      <c r="J42" s="31"/>
      <c r="K42"/>
      <c r="L42"/>
      <c r="M42"/>
      <c r="N42"/>
      <c r="O42"/>
      <c r="P42"/>
      <c r="Q42"/>
      <c r="R42"/>
      <c r="S42"/>
      <c r="T42"/>
      <c r="U42"/>
    </row>
    <row r="43" spans="2:21" ht="15" customHeight="1">
      <c r="B43" s="31"/>
      <c r="C43" s="31"/>
      <c r="D43" s="31"/>
      <c r="E43" s="31"/>
      <c r="F43" s="31"/>
      <c r="G43" s="31"/>
      <c r="H43" s="31"/>
      <c r="I43" s="31"/>
      <c r="J43" s="31"/>
    </row>
    <row r="44" spans="2:21" ht="15" customHeight="1">
      <c r="B44" s="31"/>
      <c r="C44" s="31"/>
      <c r="D44" s="31"/>
      <c r="E44" s="31"/>
      <c r="F44" s="31"/>
      <c r="G44" s="31"/>
      <c r="H44" s="31"/>
      <c r="I44" s="31"/>
      <c r="J44" s="31"/>
    </row>
    <row r="45" spans="2:21" ht="15" customHeight="1">
      <c r="B45" s="31"/>
      <c r="C45" s="31"/>
      <c r="D45" s="31"/>
      <c r="E45" s="31"/>
      <c r="F45" s="31"/>
      <c r="G45" s="31"/>
      <c r="H45" s="31"/>
      <c r="I45" s="31"/>
      <c r="J45" s="31"/>
    </row>
    <row r="46" spans="2:21" ht="15" customHeight="1">
      <c r="B46" s="31"/>
      <c r="C46" s="31"/>
      <c r="D46" s="31"/>
      <c r="E46" s="31"/>
      <c r="F46" s="31"/>
      <c r="G46" s="31"/>
      <c r="H46" s="31"/>
      <c r="I46" s="31"/>
      <c r="J46" s="31"/>
    </row>
    <row r="47" spans="2:21" ht="15" customHeight="1">
      <c r="B47" s="31"/>
      <c r="C47" s="31"/>
      <c r="D47" s="31"/>
      <c r="E47" s="31"/>
      <c r="F47" s="31"/>
      <c r="G47" s="31"/>
      <c r="H47" s="31"/>
      <c r="I47" s="31"/>
      <c r="J47" s="31"/>
    </row>
    <row r="48" spans="2:21" ht="15" customHeight="1">
      <c r="B48" s="31"/>
      <c r="C48" s="31"/>
      <c r="D48" s="31"/>
      <c r="E48" s="31"/>
      <c r="F48" s="31"/>
      <c r="G48" s="31"/>
      <c r="H48" s="31"/>
      <c r="I48" s="31"/>
      <c r="J48" s="31"/>
    </row>
    <row r="49" spans="2:10" ht="15" customHeight="1">
      <c r="B49" s="31"/>
      <c r="C49" s="31"/>
      <c r="D49" s="31"/>
      <c r="E49" s="31"/>
      <c r="F49" s="31"/>
      <c r="G49" s="31"/>
      <c r="H49" s="31"/>
      <c r="I49" s="31"/>
      <c r="J49" s="31"/>
    </row>
    <row r="50" spans="2:10" ht="15" customHeight="1">
      <c r="B50" s="31" t="s">
        <v>816</v>
      </c>
      <c r="C50" s="31"/>
      <c r="D50" s="31"/>
      <c r="E50" s="31"/>
      <c r="F50" s="31"/>
      <c r="G50" s="31"/>
      <c r="H50" s="31"/>
      <c r="I50" s="31"/>
      <c r="J50" s="31"/>
    </row>
    <row r="51" spans="2:10" ht="15" customHeight="1">
      <c r="B51" s="31"/>
      <c r="C51" s="31"/>
      <c r="D51" s="31"/>
      <c r="E51" s="31"/>
      <c r="F51" s="31"/>
      <c r="G51" s="31"/>
      <c r="H51" s="31"/>
      <c r="I51" s="31"/>
      <c r="J51" s="31"/>
    </row>
    <row r="52" spans="2:10" ht="15" customHeight="1">
      <c r="B52" s="31"/>
      <c r="C52" s="31"/>
      <c r="D52" s="31"/>
      <c r="E52" s="31"/>
      <c r="F52" s="31"/>
      <c r="G52" s="31"/>
      <c r="H52" s="31"/>
      <c r="I52" s="31"/>
      <c r="J52" s="31"/>
    </row>
    <row r="53" spans="2:10" ht="15" customHeight="1">
      <c r="B53" s="31"/>
      <c r="C53" s="31"/>
      <c r="D53" s="31"/>
      <c r="E53" s="31"/>
      <c r="F53" s="31"/>
      <c r="G53" s="31"/>
      <c r="H53" s="31"/>
      <c r="I53" s="31"/>
      <c r="J53" s="31"/>
    </row>
    <row r="54" spans="2:10" ht="15" customHeight="1">
      <c r="B54" s="31"/>
      <c r="C54" s="31"/>
      <c r="D54" s="31"/>
      <c r="E54" s="31"/>
      <c r="F54" s="31"/>
      <c r="G54" s="31"/>
      <c r="H54" s="31"/>
      <c r="I54" s="31"/>
      <c r="J54" s="31"/>
    </row>
    <row r="55" spans="2:10" ht="15" customHeight="1">
      <c r="B55" s="31"/>
      <c r="C55" s="31"/>
      <c r="D55" s="31"/>
      <c r="E55" s="31"/>
      <c r="F55" s="31"/>
      <c r="G55" s="31"/>
      <c r="H55" s="31"/>
      <c r="I55" s="31"/>
      <c r="J55" s="31"/>
    </row>
    <row r="56" spans="2:10" ht="15" customHeight="1">
      <c r="B56" s="31"/>
      <c r="C56" s="31"/>
      <c r="D56" s="31"/>
      <c r="E56" s="31"/>
      <c r="F56" s="31"/>
      <c r="G56" s="31"/>
      <c r="H56" s="31"/>
      <c r="I56" s="31"/>
      <c r="J56" s="31"/>
    </row>
    <row r="57" spans="2:10" ht="15" customHeight="1">
      <c r="B57" s="31"/>
      <c r="C57" s="31"/>
      <c r="D57" s="31"/>
      <c r="E57" s="31"/>
      <c r="F57" s="31"/>
      <c r="G57" s="31"/>
      <c r="H57" s="31"/>
      <c r="I57" s="31"/>
      <c r="J57" s="31"/>
    </row>
    <row r="58" spans="2:10" ht="15" customHeight="1">
      <c r="B58" s="31"/>
      <c r="C58" s="31"/>
      <c r="D58" s="31"/>
      <c r="E58" s="31"/>
      <c r="F58" s="31"/>
      <c r="G58" s="31"/>
      <c r="H58" s="31"/>
      <c r="I58" s="31"/>
      <c r="J58" s="31"/>
    </row>
    <row r="59" spans="2:10" ht="15" customHeight="1">
      <c r="B59" s="31"/>
      <c r="C59" s="31"/>
      <c r="D59" s="31"/>
      <c r="E59" s="31"/>
      <c r="F59" s="31"/>
      <c r="G59" s="31"/>
      <c r="H59" s="31"/>
      <c r="I59" s="31"/>
      <c r="J59" s="31"/>
    </row>
    <row r="60" spans="2:10" ht="15" customHeight="1">
      <c r="B60" s="31"/>
      <c r="C60" s="31"/>
      <c r="D60" s="31"/>
      <c r="E60" s="31"/>
      <c r="F60" s="31"/>
      <c r="G60" s="31"/>
      <c r="H60" s="31"/>
      <c r="I60" s="31"/>
      <c r="J60" s="31"/>
    </row>
    <row r="61" spans="2:10" ht="15" customHeight="1">
      <c r="B61" s="31"/>
      <c r="C61" s="31"/>
      <c r="D61" s="31"/>
      <c r="E61" s="31"/>
      <c r="F61" s="31"/>
      <c r="G61" s="31"/>
      <c r="H61" s="31"/>
      <c r="I61" s="31"/>
      <c r="J61" s="31"/>
    </row>
    <row r="62" spans="2:10" ht="15" customHeight="1">
      <c r="B62" s="31"/>
      <c r="C62" s="31"/>
      <c r="D62" s="31"/>
      <c r="E62" s="31"/>
      <c r="F62" s="31"/>
      <c r="G62" s="31"/>
      <c r="H62" s="31"/>
      <c r="I62" s="31"/>
      <c r="J62" s="31"/>
    </row>
    <row r="63" spans="2:10" ht="15" customHeight="1">
      <c r="B63" s="31"/>
      <c r="C63" s="31"/>
      <c r="D63" s="31"/>
      <c r="E63" s="31"/>
      <c r="F63" s="31"/>
      <c r="G63" s="31"/>
      <c r="H63" s="31"/>
      <c r="I63" s="31"/>
      <c r="J63" s="31"/>
    </row>
    <row r="64" spans="2:10"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sheetData>
  <mergeCells count="1">
    <mergeCell ref="H1:I1"/>
  </mergeCells>
  <conditionalFormatting sqref="B1">
    <cfRule type="cellIs" dxfId="53" priority="1" operator="equal">
      <formula>"Incomplete"</formula>
    </cfRule>
    <cfRule type="cellIs" dxfId="52" priority="2" operator="equal">
      <formula>"Flag for Review"</formula>
    </cfRule>
    <cfRule type="cellIs" dxfId="5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A87"/>
  <sheetViews>
    <sheetView zoomScaleNormal="100" workbookViewId="0"/>
  </sheetViews>
  <sheetFormatPr defaultColWidth="9.140625" defaultRowHeight="15"/>
  <cols>
    <col min="1" max="1" width="9.140625" style="21"/>
    <col min="2" max="2" width="16" style="21" bestFit="1" customWidth="1"/>
    <col min="3" max="11" width="11.140625" style="21" customWidth="1"/>
    <col min="12" max="16384" width="9.140625" style="21"/>
  </cols>
  <sheetData>
    <row r="1" spans="1:27">
      <c r="A1" s="7">
        <v>14</v>
      </c>
      <c r="B1" s="27" t="s">
        <v>12</v>
      </c>
      <c r="C1" s="20"/>
      <c r="D1" s="20"/>
      <c r="E1" s="20"/>
      <c r="F1" s="20"/>
      <c r="G1" s="20"/>
      <c r="H1" s="20"/>
      <c r="I1" s="20"/>
      <c r="J1" s="886" t="s">
        <v>24</v>
      </c>
      <c r="K1" s="887"/>
      <c r="M1" s="1" t="s">
        <v>33</v>
      </c>
      <c r="N1" s="52" t="str">
        <f>VLOOKUP(A1,'Point Grid'!$L$8:$T$54,9,FALSE)</f>
        <v>Pricing - Chap 10: Multivariate Analysis</v>
      </c>
      <c r="O1"/>
      <c r="P1"/>
      <c r="Q1"/>
      <c r="R1"/>
      <c r="S1"/>
      <c r="T1"/>
      <c r="U1"/>
      <c r="V1"/>
      <c r="W1"/>
    </row>
    <row r="2" spans="1:27">
      <c r="A2" s="22"/>
      <c r="B2" s="19"/>
      <c r="C2" s="19"/>
      <c r="D2" s="19"/>
      <c r="E2" s="19"/>
      <c r="F2" s="19"/>
      <c r="G2" s="19"/>
      <c r="H2" s="19"/>
      <c r="I2" s="19"/>
      <c r="J2" s="19"/>
      <c r="K2" s="23"/>
      <c r="M2" s="1"/>
      <c r="N2"/>
      <c r="O2"/>
      <c r="P2"/>
      <c r="Q2"/>
      <c r="R2"/>
      <c r="S2"/>
      <c r="T2"/>
      <c r="U2"/>
      <c r="V2"/>
      <c r="W2"/>
      <c r="X2"/>
      <c r="Y2"/>
      <c r="Z2"/>
      <c r="AA2"/>
    </row>
    <row r="3" spans="1:27">
      <c r="A3" s="8" t="s">
        <v>13</v>
      </c>
      <c r="B3" s="17"/>
      <c r="C3" s="17"/>
      <c r="D3" s="17"/>
      <c r="E3" s="17"/>
      <c r="F3" s="17"/>
      <c r="G3" s="17"/>
      <c r="H3" s="17"/>
      <c r="I3" s="17"/>
      <c r="J3" s="17"/>
      <c r="K3" s="18"/>
      <c r="L3" s="31"/>
      <c r="M3" s="48" t="s">
        <v>2</v>
      </c>
      <c r="N3" t="s">
        <v>203</v>
      </c>
      <c r="O3" t="s">
        <v>1003</v>
      </c>
      <c r="P3"/>
      <c r="Q3"/>
      <c r="R3"/>
      <c r="S3"/>
      <c r="T3"/>
      <c r="U3"/>
      <c r="V3"/>
      <c r="W3"/>
      <c r="X3"/>
      <c r="Y3"/>
      <c r="Z3"/>
      <c r="AA3"/>
    </row>
    <row r="4" spans="1:27">
      <c r="A4" s="9">
        <f>INDEX('Point Grid'!B:B,MATCH(A1,'Point Grid'!A:A,0))</f>
        <v>1</v>
      </c>
      <c r="B4" s="17"/>
      <c r="C4" s="17"/>
      <c r="D4" s="17"/>
      <c r="E4" s="17"/>
      <c r="F4" s="17"/>
      <c r="G4" s="17"/>
      <c r="H4" s="17"/>
      <c r="I4" s="17"/>
      <c r="J4" s="17"/>
      <c r="K4" s="18"/>
      <c r="L4" s="31"/>
      <c r="M4" s="48"/>
      <c r="N4"/>
      <c r="O4"/>
      <c r="P4"/>
      <c r="Q4"/>
      <c r="R4"/>
      <c r="S4"/>
      <c r="T4"/>
      <c r="U4"/>
      <c r="V4"/>
      <c r="W4"/>
      <c r="X4"/>
      <c r="Y4"/>
      <c r="Z4"/>
      <c r="AA4"/>
    </row>
    <row r="5" spans="1:27">
      <c r="A5" s="16"/>
      <c r="B5" s="17"/>
      <c r="C5" s="17"/>
      <c r="D5" s="17"/>
      <c r="E5" s="17"/>
      <c r="F5" s="17"/>
      <c r="G5" s="17"/>
      <c r="H5" s="17"/>
      <c r="I5" s="17"/>
      <c r="J5" s="17"/>
      <c r="K5" s="18"/>
      <c r="L5" s="31"/>
      <c r="M5" s="48"/>
      <c r="N5" t="s">
        <v>1008</v>
      </c>
      <c r="O5"/>
      <c r="P5"/>
      <c r="Q5"/>
      <c r="R5"/>
      <c r="S5"/>
      <c r="T5"/>
      <c r="U5"/>
      <c r="V5"/>
      <c r="W5"/>
      <c r="X5"/>
      <c r="Y5"/>
      <c r="Z5"/>
      <c r="AA5"/>
    </row>
    <row r="6" spans="1:27">
      <c r="A6" s="25" t="s">
        <v>2</v>
      </c>
      <c r="B6" s="17" t="s">
        <v>1002</v>
      </c>
      <c r="C6" s="17"/>
      <c r="D6" s="17"/>
      <c r="E6" s="17"/>
      <c r="F6" s="17"/>
      <c r="G6" s="17"/>
      <c r="H6" s="17"/>
      <c r="I6" s="17"/>
      <c r="J6" s="17"/>
      <c r="K6" s="18"/>
      <c r="L6" s="31"/>
      <c r="M6" s="48"/>
      <c r="N6" t="s">
        <v>1009</v>
      </c>
      <c r="O6"/>
      <c r="P6"/>
      <c r="Q6"/>
      <c r="R6"/>
      <c r="S6"/>
      <c r="T6"/>
      <c r="U6"/>
      <c r="V6"/>
      <c r="W6"/>
      <c r="X6"/>
      <c r="Y6"/>
      <c r="Z6"/>
      <c r="AA6"/>
    </row>
    <row r="7" spans="1:27" ht="15.75" thickBot="1">
      <c r="A7" s="9">
        <f>INDEX('Point Grid'!$C$8:$I$54,MATCH($A$1,'Point Grid'!$A$8:$A$54,0),MATCH(A6,'Point Grid'!$C$7:$I$7,0))</f>
        <v>1</v>
      </c>
      <c r="B7" s="17"/>
      <c r="C7" s="17"/>
      <c r="D7" s="17"/>
      <c r="E7" s="17"/>
      <c r="F7" s="17"/>
      <c r="G7" s="17"/>
      <c r="H7" s="17"/>
      <c r="I7" s="17"/>
      <c r="J7" s="17"/>
      <c r="K7" s="18"/>
      <c r="L7" s="31"/>
      <c r="M7" s="48"/>
      <c r="N7" t="s">
        <v>1010</v>
      </c>
      <c r="O7"/>
      <c r="P7"/>
      <c r="Q7"/>
      <c r="R7"/>
      <c r="S7"/>
      <c r="T7"/>
      <c r="U7"/>
      <c r="V7"/>
      <c r="W7"/>
      <c r="X7"/>
      <c r="Y7"/>
      <c r="Z7"/>
      <c r="AA7"/>
    </row>
    <row r="8" spans="1:27" ht="15.75" thickBot="1">
      <c r="A8" s="5"/>
      <c r="B8" s="17"/>
      <c r="C8" s="17"/>
      <c r="D8" s="17"/>
      <c r="E8" s="17"/>
      <c r="F8" s="17"/>
      <c r="G8" s="17"/>
      <c r="H8" s="17"/>
      <c r="I8" s="17"/>
      <c r="J8" s="17"/>
      <c r="K8" s="18"/>
      <c r="L8" s="31"/>
      <c r="M8"/>
      <c r="N8" t="s">
        <v>1011</v>
      </c>
      <c r="O8"/>
      <c r="P8"/>
      <c r="Q8"/>
      <c r="R8"/>
      <c r="S8"/>
      <c r="T8"/>
      <c r="U8"/>
      <c r="V8"/>
      <c r="W8"/>
      <c r="X8"/>
      <c r="Y8"/>
      <c r="Z8"/>
      <c r="AA8"/>
    </row>
    <row r="9" spans="1:27">
      <c r="A9" s="25"/>
      <c r="B9" s="17"/>
      <c r="C9" s="17"/>
      <c r="D9" s="17"/>
      <c r="E9" s="17"/>
      <c r="F9" s="17"/>
      <c r="G9" s="17"/>
      <c r="H9" s="17"/>
      <c r="I9" s="17"/>
      <c r="J9" s="17"/>
      <c r="K9" s="18"/>
      <c r="L9" s="31"/>
      <c r="M9" s="48"/>
      <c r="N9" s="355" t="s">
        <v>1004</v>
      </c>
      <c r="O9"/>
      <c r="P9"/>
      <c r="Q9"/>
      <c r="R9"/>
      <c r="S9"/>
      <c r="T9"/>
      <c r="U9"/>
      <c r="V9"/>
      <c r="W9"/>
      <c r="X9"/>
      <c r="Y9"/>
      <c r="Z9"/>
      <c r="AA9"/>
    </row>
    <row r="10" spans="1:27" ht="15.75" thickBot="1">
      <c r="A10" s="24"/>
      <c r="B10" s="32"/>
      <c r="C10" s="32"/>
      <c r="D10" s="32"/>
      <c r="E10" s="32"/>
      <c r="F10" s="32"/>
      <c r="G10" s="32"/>
      <c r="H10" s="32"/>
      <c r="I10" s="32"/>
      <c r="J10" s="32"/>
      <c r="K10" s="33"/>
      <c r="L10" s="31"/>
      <c r="M10"/>
      <c r="N10"/>
      <c r="O10"/>
      <c r="P10"/>
      <c r="Q10"/>
      <c r="R10"/>
      <c r="S10"/>
      <c r="T10"/>
      <c r="U10"/>
      <c r="V10"/>
      <c r="W10"/>
      <c r="X10"/>
      <c r="Y10"/>
      <c r="Z10"/>
      <c r="AA10"/>
    </row>
    <row r="11" spans="1:27">
      <c r="B11" s="31"/>
      <c r="C11" s="31"/>
      <c r="D11" s="31"/>
      <c r="E11" s="31"/>
      <c r="F11" s="31"/>
      <c r="G11" s="31"/>
      <c r="H11" s="31"/>
      <c r="I11" s="31"/>
      <c r="J11" s="31"/>
      <c r="K11" s="31"/>
      <c r="L11" s="31"/>
      <c r="M11"/>
      <c r="N11" t="s">
        <v>1006</v>
      </c>
      <c r="O11"/>
      <c r="P11"/>
      <c r="Q11"/>
      <c r="R11"/>
      <c r="S11"/>
      <c r="T11"/>
      <c r="U11"/>
      <c r="V11"/>
      <c r="W11"/>
      <c r="X11"/>
      <c r="Y11"/>
      <c r="Z11"/>
      <c r="AA11"/>
    </row>
    <row r="12" spans="1:27">
      <c r="L12" s="31"/>
      <c r="M12"/>
      <c r="N12"/>
      <c r="O12"/>
      <c r="P12"/>
      <c r="Q12"/>
      <c r="R12"/>
      <c r="S12"/>
      <c r="T12"/>
      <c r="U12"/>
      <c r="V12"/>
      <c r="W12"/>
      <c r="X12"/>
      <c r="Y12"/>
      <c r="Z12"/>
      <c r="AA12"/>
    </row>
    <row r="13" spans="1:27">
      <c r="L13" s="31"/>
      <c r="M13" s="48"/>
      <c r="N13" s="749" t="s">
        <v>772</v>
      </c>
      <c r="O13" s="355" t="s">
        <v>1005</v>
      </c>
      <c r="P13"/>
      <c r="Q13"/>
      <c r="R13"/>
      <c r="S13"/>
      <c r="T13"/>
      <c r="U13"/>
      <c r="V13"/>
      <c r="W13"/>
      <c r="X13"/>
      <c r="Y13"/>
      <c r="Z13"/>
      <c r="AA13"/>
    </row>
    <row r="14" spans="1:27">
      <c r="L14" s="31"/>
      <c r="M14"/>
      <c r="N14"/>
      <c r="O14"/>
      <c r="P14"/>
      <c r="Q14"/>
      <c r="R14"/>
      <c r="S14"/>
      <c r="T14"/>
      <c r="U14"/>
      <c r="V14"/>
      <c r="W14"/>
      <c r="X14"/>
      <c r="Y14"/>
      <c r="Z14"/>
      <c r="AA14"/>
    </row>
    <row r="15" spans="1:27">
      <c r="L15" s="31"/>
      <c r="M15"/>
      <c r="N15" t="s">
        <v>1007</v>
      </c>
      <c r="O15"/>
      <c r="P15"/>
      <c r="Q15"/>
      <c r="R15"/>
      <c r="S15"/>
      <c r="T15"/>
      <c r="U15"/>
      <c r="V15"/>
      <c r="W15"/>
      <c r="X15"/>
      <c r="Y15"/>
      <c r="Z15"/>
      <c r="AA15"/>
    </row>
    <row r="16" spans="1:27" ht="15" customHeight="1">
      <c r="L16" s="31"/>
      <c r="M16"/>
      <c r="N16"/>
      <c r="O16"/>
      <c r="P16"/>
      <c r="Q16"/>
      <c r="R16"/>
      <c r="S16"/>
      <c r="T16"/>
      <c r="U16"/>
      <c r="V16"/>
      <c r="W16"/>
    </row>
    <row r="17" spans="2:23" ht="15" customHeight="1">
      <c r="L17" s="31"/>
      <c r="M17"/>
      <c r="N17"/>
      <c r="O17"/>
      <c r="P17"/>
      <c r="Q17"/>
      <c r="R17"/>
      <c r="S17"/>
      <c r="T17"/>
      <c r="U17"/>
      <c r="V17"/>
      <c r="W17"/>
    </row>
    <row r="18" spans="2:23" ht="15" customHeight="1">
      <c r="L18" s="31"/>
      <c r="M18"/>
      <c r="N18"/>
      <c r="O18"/>
      <c r="P18"/>
      <c r="Q18"/>
      <c r="R18"/>
      <c r="S18"/>
      <c r="T18"/>
      <c r="U18"/>
      <c r="V18"/>
      <c r="W18"/>
    </row>
    <row r="19" spans="2:23" ht="15" customHeight="1">
      <c r="L19" s="31"/>
      <c r="M19" s="48"/>
      <c r="N19" s="1"/>
      <c r="O19"/>
      <c r="P19"/>
      <c r="Q19"/>
      <c r="R19"/>
      <c r="S19"/>
      <c r="T19"/>
      <c r="U19"/>
      <c r="V19"/>
      <c r="W19"/>
    </row>
    <row r="20" spans="2:23" ht="15" customHeight="1">
      <c r="L20" s="31"/>
      <c r="M20"/>
      <c r="N20"/>
      <c r="O20"/>
      <c r="P20"/>
      <c r="Q20"/>
      <c r="R20"/>
      <c r="S20"/>
      <c r="T20"/>
      <c r="U20"/>
      <c r="V20"/>
      <c r="W20"/>
    </row>
    <row r="21" spans="2:23" ht="15" customHeight="1">
      <c r="L21" s="31"/>
      <c r="M21" s="48"/>
      <c r="N21"/>
      <c r="O21"/>
      <c r="P21"/>
      <c r="Q21"/>
      <c r="R21"/>
      <c r="S21"/>
      <c r="T21"/>
      <c r="U21"/>
      <c r="V21"/>
      <c r="W21"/>
    </row>
    <row r="22" spans="2:23" ht="15" customHeight="1">
      <c r="L22" s="31"/>
      <c r="M22"/>
      <c r="N22"/>
      <c r="O22"/>
      <c r="P22"/>
      <c r="Q22"/>
      <c r="R22"/>
      <c r="S22"/>
      <c r="T22"/>
      <c r="U22"/>
      <c r="V22"/>
      <c r="W22"/>
    </row>
    <row r="23" spans="2:23" ht="15" customHeight="1">
      <c r="L23" s="31"/>
      <c r="M23"/>
      <c r="N23"/>
      <c r="O23"/>
      <c r="P23"/>
      <c r="Q23"/>
      <c r="R23"/>
      <c r="S23"/>
      <c r="T23"/>
      <c r="U23"/>
      <c r="V23"/>
      <c r="W23"/>
    </row>
    <row r="24" spans="2:23" ht="15" customHeight="1">
      <c r="L24" s="31"/>
      <c r="M24"/>
      <c r="N24"/>
      <c r="O24"/>
      <c r="P24"/>
      <c r="Q24"/>
      <c r="R24"/>
      <c r="S24"/>
      <c r="T24"/>
      <c r="U24"/>
      <c r="V24"/>
      <c r="W24"/>
    </row>
    <row r="25" spans="2:23" ht="15" customHeight="1">
      <c r="L25" s="31"/>
      <c r="M25"/>
      <c r="N25"/>
      <c r="O25"/>
      <c r="P25"/>
      <c r="Q25"/>
      <c r="R25"/>
      <c r="S25"/>
      <c r="T25"/>
      <c r="U25"/>
      <c r="V25"/>
      <c r="W25"/>
    </row>
    <row r="26" spans="2:23" ht="15" customHeight="1">
      <c r="L26" s="31"/>
      <c r="M26"/>
      <c r="N26"/>
      <c r="O26"/>
      <c r="P26"/>
      <c r="Q26"/>
      <c r="R26"/>
      <c r="S26"/>
      <c r="T26"/>
      <c r="U26"/>
      <c r="V26"/>
      <c r="W26"/>
    </row>
    <row r="27" spans="2:23" ht="15" customHeight="1">
      <c r="L27" s="31"/>
      <c r="M27"/>
      <c r="N27"/>
      <c r="O27"/>
      <c r="P27"/>
      <c r="Q27"/>
      <c r="R27"/>
      <c r="S27"/>
      <c r="T27"/>
      <c r="U27"/>
      <c r="V27"/>
      <c r="W27"/>
    </row>
    <row r="28" spans="2:23" ht="15" customHeight="1">
      <c r="L28" s="31"/>
      <c r="M28"/>
      <c r="N28"/>
      <c r="O28"/>
      <c r="P28"/>
      <c r="Q28"/>
      <c r="R28"/>
      <c r="S28"/>
      <c r="T28"/>
      <c r="U28"/>
      <c r="V28"/>
      <c r="W28"/>
    </row>
    <row r="29" spans="2:23" ht="15" customHeight="1">
      <c r="L29" s="31"/>
      <c r="M29"/>
      <c r="N29"/>
      <c r="O29"/>
      <c r="P29"/>
      <c r="Q29"/>
      <c r="R29"/>
      <c r="S29"/>
      <c r="T29"/>
      <c r="U29"/>
      <c r="V29"/>
      <c r="W29"/>
    </row>
    <row r="30" spans="2:23" ht="15" customHeight="1">
      <c r="L30" s="31"/>
      <c r="M30"/>
      <c r="N30"/>
      <c r="O30"/>
      <c r="P30"/>
      <c r="Q30"/>
      <c r="R30"/>
      <c r="S30"/>
      <c r="T30"/>
      <c r="U30"/>
      <c r="V30"/>
      <c r="W30"/>
    </row>
    <row r="31" spans="2:23" ht="15" customHeight="1">
      <c r="L31" s="31"/>
      <c r="M31"/>
      <c r="N31"/>
      <c r="O31"/>
      <c r="P31"/>
      <c r="Q31"/>
      <c r="R31"/>
      <c r="S31"/>
      <c r="T31"/>
      <c r="U31"/>
      <c r="V31"/>
      <c r="W31"/>
    </row>
    <row r="32" spans="2:23" ht="15" customHeight="1">
      <c r="B32" s="31"/>
      <c r="C32" s="31"/>
      <c r="D32" s="31"/>
      <c r="E32" s="31"/>
      <c r="F32" s="31"/>
      <c r="G32" s="31"/>
      <c r="H32" s="31"/>
      <c r="I32" s="31"/>
      <c r="J32" s="31"/>
      <c r="K32" s="31"/>
      <c r="L32" s="31"/>
      <c r="M32"/>
      <c r="N32"/>
      <c r="O32"/>
      <c r="P32"/>
      <c r="Q32"/>
      <c r="R32"/>
      <c r="S32"/>
      <c r="T32"/>
      <c r="U32"/>
      <c r="V32"/>
      <c r="W32"/>
    </row>
    <row r="33" spans="2:23" ht="15" customHeight="1">
      <c r="B33" s="31"/>
      <c r="C33" s="31"/>
      <c r="D33" s="31"/>
      <c r="E33" s="31"/>
      <c r="F33" s="31"/>
      <c r="G33" s="31"/>
      <c r="H33" s="31"/>
      <c r="I33" s="31"/>
      <c r="J33" s="31"/>
      <c r="K33" s="31"/>
      <c r="L33" s="31"/>
      <c r="M33"/>
      <c r="N33"/>
      <c r="O33"/>
      <c r="P33"/>
      <c r="Q33"/>
      <c r="R33"/>
      <c r="S33"/>
      <c r="T33"/>
      <c r="U33"/>
      <c r="V33"/>
      <c r="W33"/>
    </row>
    <row r="34" spans="2:23" ht="15" customHeight="1">
      <c r="B34" s="31"/>
      <c r="C34" s="31"/>
      <c r="D34" s="31"/>
      <c r="E34" s="31"/>
      <c r="F34" s="31"/>
      <c r="G34" s="31"/>
      <c r="H34" s="31"/>
      <c r="I34" s="31"/>
      <c r="J34" s="31"/>
      <c r="K34" s="31"/>
      <c r="L34" s="31"/>
      <c r="M34"/>
      <c r="N34"/>
      <c r="O34"/>
      <c r="P34"/>
      <c r="Q34"/>
      <c r="R34"/>
      <c r="S34"/>
      <c r="T34"/>
      <c r="U34"/>
      <c r="V34"/>
      <c r="W34"/>
    </row>
    <row r="35" spans="2:23" ht="15" customHeight="1">
      <c r="B35" s="31"/>
      <c r="C35" s="31"/>
      <c r="D35" s="31"/>
      <c r="E35" s="31"/>
      <c r="F35" s="31"/>
      <c r="G35" s="31"/>
      <c r="H35" s="31"/>
      <c r="I35" s="31"/>
      <c r="J35" s="31"/>
      <c r="K35" s="31"/>
      <c r="L35" s="31"/>
      <c r="M35"/>
      <c r="N35"/>
      <c r="O35"/>
      <c r="P35"/>
      <c r="Q35"/>
      <c r="R35"/>
      <c r="S35"/>
      <c r="T35"/>
      <c r="U35"/>
      <c r="V35"/>
      <c r="W35"/>
    </row>
    <row r="36" spans="2:23" ht="15" customHeight="1">
      <c r="B36" s="31"/>
      <c r="C36" s="31"/>
      <c r="D36" s="31"/>
      <c r="E36" s="31"/>
      <c r="F36" s="31"/>
      <c r="G36" s="31"/>
      <c r="H36" s="31"/>
      <c r="I36" s="31"/>
      <c r="J36" s="31"/>
      <c r="K36" s="31"/>
      <c r="L36" s="31"/>
      <c r="M36"/>
      <c r="N36"/>
      <c r="O36"/>
      <c r="P36"/>
      <c r="Q36"/>
      <c r="R36"/>
      <c r="S36"/>
      <c r="T36"/>
      <c r="U36"/>
      <c r="V36"/>
      <c r="W36"/>
    </row>
    <row r="37" spans="2:23" ht="15" customHeight="1">
      <c r="B37" s="31"/>
      <c r="C37" s="31"/>
      <c r="D37" s="31"/>
      <c r="E37" s="31"/>
      <c r="F37" s="31"/>
      <c r="G37" s="31"/>
      <c r="H37" s="31"/>
      <c r="I37" s="31"/>
      <c r="J37" s="31"/>
      <c r="K37" s="31"/>
      <c r="L37" s="31"/>
    </row>
    <row r="38" spans="2:23" ht="15" customHeight="1">
      <c r="B38" s="31"/>
      <c r="C38" s="31"/>
      <c r="D38" s="31"/>
      <c r="E38" s="31"/>
      <c r="F38" s="31"/>
      <c r="G38" s="31"/>
      <c r="H38" s="31"/>
      <c r="I38" s="31"/>
      <c r="J38" s="31"/>
      <c r="K38" s="31"/>
      <c r="L38" s="31"/>
    </row>
    <row r="39" spans="2:23" ht="15" customHeight="1">
      <c r="B39" s="31"/>
      <c r="C39" s="31"/>
      <c r="D39" s="31"/>
      <c r="E39" s="31"/>
      <c r="F39" s="31"/>
      <c r="G39" s="31"/>
      <c r="H39" s="31"/>
      <c r="I39" s="31"/>
      <c r="J39" s="31"/>
      <c r="K39" s="31"/>
      <c r="L39" s="31"/>
    </row>
    <row r="40" spans="2:23" ht="15" customHeight="1">
      <c r="B40" s="31"/>
      <c r="C40" s="31"/>
      <c r="D40" s="31"/>
      <c r="E40" s="31"/>
      <c r="F40" s="31"/>
      <c r="G40" s="31"/>
      <c r="H40" s="31"/>
      <c r="I40" s="31"/>
      <c r="J40" s="31"/>
      <c r="K40" s="31"/>
      <c r="L40" s="31"/>
    </row>
    <row r="41" spans="2:23" ht="15" customHeight="1">
      <c r="B41" s="31"/>
      <c r="C41" s="31"/>
      <c r="D41" s="31"/>
      <c r="E41" s="31"/>
      <c r="F41" s="31"/>
      <c r="G41" s="31"/>
      <c r="H41" s="31"/>
      <c r="I41" s="31"/>
      <c r="J41" s="31"/>
      <c r="K41" s="31"/>
      <c r="L41" s="31"/>
    </row>
    <row r="42" spans="2:23" ht="15" customHeight="1">
      <c r="B42" s="31"/>
      <c r="C42" s="31"/>
      <c r="D42" s="31"/>
      <c r="E42" s="31"/>
      <c r="F42" s="31"/>
      <c r="G42" s="31"/>
      <c r="H42" s="31"/>
      <c r="I42" s="31"/>
      <c r="J42" s="31"/>
      <c r="K42" s="31"/>
      <c r="L42" s="31"/>
    </row>
    <row r="43" spans="2:23" ht="15" customHeight="1">
      <c r="B43" s="31"/>
      <c r="C43" s="31"/>
      <c r="D43" s="31"/>
      <c r="E43" s="31"/>
      <c r="F43" s="31"/>
      <c r="G43" s="31"/>
      <c r="H43" s="31"/>
      <c r="I43" s="31"/>
      <c r="J43" s="31"/>
      <c r="K43" s="31"/>
      <c r="L43" s="31"/>
    </row>
    <row r="44" spans="2:23" ht="15" customHeight="1">
      <c r="B44" s="31"/>
      <c r="C44" s="31"/>
      <c r="D44" s="31"/>
      <c r="E44" s="31"/>
      <c r="F44" s="31"/>
      <c r="G44" s="31"/>
      <c r="H44" s="31"/>
      <c r="I44" s="31"/>
      <c r="J44" s="31"/>
      <c r="K44" s="31"/>
      <c r="L44" s="31"/>
    </row>
    <row r="45" spans="2:23" ht="15" customHeight="1">
      <c r="B45" s="31"/>
      <c r="C45" s="31"/>
      <c r="D45" s="31"/>
      <c r="E45" s="31"/>
      <c r="F45" s="31"/>
      <c r="G45" s="31"/>
      <c r="H45" s="31"/>
      <c r="I45" s="31"/>
      <c r="J45" s="31"/>
      <c r="K45" s="31"/>
      <c r="L45" s="31"/>
    </row>
    <row r="46" spans="2:23" ht="15" customHeight="1">
      <c r="B46" s="31"/>
      <c r="C46" s="31"/>
      <c r="D46" s="31"/>
      <c r="E46" s="31"/>
      <c r="F46" s="31"/>
      <c r="G46" s="31"/>
      <c r="H46" s="31"/>
      <c r="I46" s="31"/>
      <c r="J46" s="31"/>
      <c r="K46" s="31"/>
      <c r="L46" s="31"/>
    </row>
    <row r="47" spans="2:23" ht="15" customHeight="1">
      <c r="B47" s="31"/>
      <c r="C47" s="31"/>
      <c r="D47" s="31"/>
      <c r="E47" s="31"/>
      <c r="F47" s="31"/>
      <c r="G47" s="31"/>
      <c r="H47" s="31"/>
      <c r="I47" s="31"/>
      <c r="J47" s="31"/>
      <c r="K47" s="31"/>
      <c r="L47" s="31"/>
    </row>
    <row r="48" spans="2:23" ht="15" customHeight="1">
      <c r="B48" s="31"/>
      <c r="C48" s="31"/>
      <c r="D48" s="31"/>
      <c r="E48" s="31"/>
      <c r="F48" s="31"/>
      <c r="G48" s="31"/>
      <c r="H48" s="31"/>
      <c r="I48" s="31"/>
      <c r="J48" s="31"/>
      <c r="K48" s="31"/>
      <c r="L48" s="31"/>
    </row>
    <row r="49" spans="2:12" ht="15" customHeight="1">
      <c r="B49" s="31"/>
      <c r="C49" s="31"/>
      <c r="D49" s="31"/>
      <c r="E49" s="31"/>
      <c r="F49" s="31"/>
      <c r="G49" s="31"/>
      <c r="H49" s="31"/>
      <c r="I49" s="31"/>
      <c r="J49" s="31"/>
      <c r="K49" s="31"/>
      <c r="L49" s="31"/>
    </row>
    <row r="50" spans="2:12" ht="15" customHeight="1">
      <c r="B50" s="31"/>
      <c r="C50" s="31"/>
      <c r="D50" s="31"/>
      <c r="E50" s="31"/>
      <c r="F50" s="31"/>
      <c r="G50" s="31"/>
      <c r="H50" s="31"/>
      <c r="I50" s="31"/>
      <c r="J50" s="31"/>
      <c r="K50" s="31"/>
      <c r="L50" s="31"/>
    </row>
    <row r="51" spans="2:12" ht="15" customHeight="1">
      <c r="B51" s="31"/>
      <c r="C51" s="31"/>
      <c r="D51" s="31"/>
      <c r="E51" s="31"/>
      <c r="F51" s="31"/>
      <c r="G51" s="31"/>
      <c r="H51" s="31"/>
      <c r="I51" s="31"/>
      <c r="J51" s="31"/>
      <c r="K51" s="31"/>
      <c r="L51" s="31"/>
    </row>
    <row r="52" spans="2:12" ht="15" customHeight="1">
      <c r="B52" s="31"/>
      <c r="C52" s="31"/>
      <c r="D52" s="31"/>
      <c r="E52" s="31"/>
      <c r="F52" s="31"/>
      <c r="G52" s="31"/>
      <c r="H52" s="31"/>
      <c r="I52" s="31"/>
      <c r="J52" s="31"/>
      <c r="K52" s="31"/>
      <c r="L52" s="31"/>
    </row>
    <row r="53" spans="2:12" ht="15" customHeight="1">
      <c r="B53" s="31"/>
      <c r="C53" s="31"/>
      <c r="D53" s="31"/>
      <c r="E53" s="31"/>
      <c r="F53" s="31"/>
      <c r="G53" s="31"/>
      <c r="H53" s="31"/>
      <c r="I53" s="31"/>
      <c r="J53" s="31"/>
      <c r="K53" s="31"/>
      <c r="L53" s="31"/>
    </row>
    <row r="54" spans="2:12" ht="15" customHeight="1">
      <c r="B54" s="31"/>
      <c r="C54" s="31"/>
      <c r="D54" s="31"/>
      <c r="E54" s="31"/>
      <c r="F54" s="31"/>
      <c r="G54" s="31"/>
      <c r="H54" s="31"/>
      <c r="I54" s="31"/>
      <c r="J54" s="31"/>
      <c r="K54" s="31"/>
      <c r="L54" s="31"/>
    </row>
    <row r="55" spans="2:12" ht="15" customHeight="1">
      <c r="B55" s="31"/>
      <c r="C55" s="31"/>
      <c r="D55" s="31"/>
      <c r="E55" s="31"/>
      <c r="F55" s="31"/>
      <c r="G55" s="31"/>
      <c r="H55" s="31"/>
      <c r="I55" s="31"/>
      <c r="J55" s="31"/>
      <c r="K55" s="31"/>
      <c r="L55" s="31"/>
    </row>
    <row r="56" spans="2:12" ht="15" customHeight="1">
      <c r="B56" s="31"/>
      <c r="C56" s="31"/>
      <c r="D56" s="31"/>
      <c r="E56" s="31"/>
      <c r="F56" s="31"/>
      <c r="G56" s="31"/>
      <c r="H56" s="31"/>
      <c r="I56" s="31"/>
      <c r="J56" s="31"/>
      <c r="K56" s="31"/>
      <c r="L56" s="31"/>
    </row>
    <row r="57" spans="2:12" ht="15" customHeight="1">
      <c r="B57" s="31"/>
      <c r="C57" s="31"/>
      <c r="D57" s="31"/>
      <c r="E57" s="31"/>
      <c r="F57" s="31"/>
      <c r="G57" s="31"/>
      <c r="H57" s="31"/>
      <c r="I57" s="31"/>
      <c r="J57" s="31"/>
      <c r="K57" s="31"/>
      <c r="L57" s="31"/>
    </row>
    <row r="58" spans="2:12" ht="15" customHeight="1">
      <c r="B58" s="31"/>
      <c r="C58" s="31"/>
      <c r="D58" s="31"/>
      <c r="E58" s="31"/>
      <c r="F58" s="31"/>
      <c r="G58" s="31"/>
      <c r="H58" s="31"/>
      <c r="I58" s="31"/>
      <c r="J58" s="31"/>
      <c r="K58" s="31"/>
      <c r="L58" s="31"/>
    </row>
    <row r="59" spans="2:12" ht="15" customHeight="1">
      <c r="B59" s="31"/>
      <c r="C59" s="31"/>
      <c r="D59" s="31"/>
      <c r="E59" s="31"/>
      <c r="F59" s="31"/>
      <c r="G59" s="31"/>
      <c r="H59" s="31"/>
      <c r="I59" s="31"/>
      <c r="J59" s="31"/>
      <c r="K59" s="31"/>
      <c r="L59" s="31"/>
    </row>
    <row r="60" spans="2:12" ht="15" customHeight="1">
      <c r="B60" s="31"/>
      <c r="C60" s="31"/>
      <c r="D60" s="31"/>
      <c r="E60" s="31"/>
      <c r="F60" s="31"/>
      <c r="G60" s="31"/>
      <c r="H60" s="31"/>
      <c r="I60" s="31"/>
      <c r="J60" s="31"/>
      <c r="K60" s="31"/>
      <c r="L60" s="31"/>
    </row>
    <row r="61" spans="2:12" ht="15" customHeight="1">
      <c r="B61" s="31"/>
      <c r="C61" s="31"/>
      <c r="D61" s="31"/>
      <c r="E61" s="31"/>
      <c r="F61" s="31"/>
      <c r="G61" s="31"/>
      <c r="H61" s="31"/>
      <c r="I61" s="31"/>
      <c r="J61" s="31"/>
      <c r="K61" s="31"/>
      <c r="L61" s="31"/>
    </row>
    <row r="62" spans="2:12" ht="15" customHeight="1">
      <c r="B62" s="31"/>
      <c r="C62" s="31"/>
      <c r="D62" s="31"/>
      <c r="E62" s="31"/>
      <c r="F62" s="31"/>
      <c r="G62" s="31"/>
      <c r="H62" s="31"/>
      <c r="I62" s="31"/>
      <c r="J62" s="31"/>
      <c r="K62" s="31"/>
      <c r="L62" s="31"/>
    </row>
    <row r="63" spans="2:12" ht="15" customHeight="1">
      <c r="B63" s="31"/>
      <c r="C63" s="31"/>
      <c r="D63" s="31"/>
      <c r="E63" s="31"/>
      <c r="F63" s="31"/>
      <c r="G63" s="31"/>
      <c r="H63" s="31"/>
      <c r="I63" s="31"/>
      <c r="J63" s="31"/>
      <c r="K63" s="31"/>
      <c r="L63" s="31"/>
    </row>
    <row r="64" spans="2:12" ht="15" customHeight="1">
      <c r="B64" s="31"/>
      <c r="C64" s="31"/>
      <c r="D64" s="31"/>
      <c r="E64" s="31"/>
      <c r="F64" s="31"/>
      <c r="G64" s="31"/>
      <c r="H64" s="31"/>
      <c r="I64" s="31"/>
      <c r="J64" s="31"/>
      <c r="K64" s="31"/>
      <c r="L64" s="31"/>
    </row>
    <row r="65" spans="2:12" ht="15" customHeight="1">
      <c r="B65" s="31"/>
      <c r="C65" s="31"/>
      <c r="D65" s="31"/>
      <c r="E65" s="31"/>
      <c r="F65" s="31"/>
      <c r="G65" s="31"/>
      <c r="H65" s="31"/>
      <c r="I65" s="31"/>
      <c r="J65" s="31"/>
      <c r="K65" s="31"/>
      <c r="L65" s="31"/>
    </row>
    <row r="66" spans="2:12" ht="15" customHeight="1">
      <c r="B66" s="31"/>
      <c r="C66" s="31"/>
      <c r="D66" s="31"/>
      <c r="E66" s="31"/>
      <c r="F66" s="31"/>
      <c r="G66" s="31"/>
      <c r="H66" s="31"/>
      <c r="I66" s="31"/>
      <c r="J66" s="31"/>
      <c r="K66" s="31"/>
      <c r="L66" s="31"/>
    </row>
    <row r="67" spans="2:12" ht="15" customHeight="1">
      <c r="B67" s="31"/>
      <c r="C67" s="31"/>
      <c r="D67" s="31"/>
      <c r="E67" s="31"/>
      <c r="F67" s="31"/>
      <c r="G67" s="31"/>
      <c r="H67" s="31"/>
      <c r="I67" s="31"/>
      <c r="J67" s="31"/>
      <c r="K67" s="31"/>
      <c r="L67" s="31"/>
    </row>
    <row r="68" spans="2:12" ht="15" customHeight="1">
      <c r="B68" s="31"/>
      <c r="C68" s="31"/>
      <c r="D68" s="31"/>
      <c r="E68" s="31"/>
      <c r="F68" s="31"/>
      <c r="G68" s="31"/>
      <c r="H68" s="31"/>
      <c r="I68" s="31"/>
      <c r="J68" s="31"/>
      <c r="K68" s="31"/>
      <c r="L68" s="31"/>
    </row>
    <row r="69" spans="2:12" ht="15" customHeight="1">
      <c r="B69" s="31"/>
      <c r="C69" s="31"/>
      <c r="D69" s="31"/>
      <c r="E69" s="31"/>
      <c r="F69" s="31"/>
      <c r="G69" s="31"/>
      <c r="H69" s="31"/>
      <c r="I69" s="31"/>
      <c r="J69" s="31"/>
      <c r="K69" s="31"/>
      <c r="L69" s="31"/>
    </row>
    <row r="70" spans="2:12" ht="15" customHeight="1">
      <c r="B70" s="31"/>
      <c r="C70" s="31"/>
      <c r="D70" s="31"/>
      <c r="E70" s="31"/>
      <c r="F70" s="31"/>
      <c r="G70" s="31"/>
      <c r="H70" s="31"/>
      <c r="I70" s="31"/>
      <c r="J70" s="31"/>
      <c r="K70" s="31"/>
      <c r="L70" s="31"/>
    </row>
    <row r="71" spans="2:12" ht="15" customHeight="1">
      <c r="B71" s="31"/>
      <c r="C71" s="31"/>
      <c r="D71" s="31"/>
      <c r="E71" s="31"/>
      <c r="F71" s="31"/>
      <c r="G71" s="31"/>
      <c r="H71" s="31"/>
      <c r="I71" s="31"/>
      <c r="J71" s="31"/>
      <c r="K71" s="31"/>
      <c r="L71" s="31"/>
    </row>
    <row r="72" spans="2:12" ht="15" customHeight="1">
      <c r="B72" s="31"/>
      <c r="C72" s="31"/>
      <c r="D72" s="31"/>
      <c r="E72" s="31"/>
      <c r="F72" s="31"/>
      <c r="G72" s="31"/>
      <c r="H72" s="31"/>
      <c r="I72" s="31"/>
      <c r="J72" s="31"/>
      <c r="K72" s="31"/>
      <c r="L72" s="31"/>
    </row>
    <row r="73" spans="2:12" ht="15" customHeight="1">
      <c r="B73" s="31"/>
      <c r="C73" s="31"/>
      <c r="D73" s="31"/>
      <c r="E73" s="31"/>
      <c r="F73" s="31"/>
      <c r="G73" s="31"/>
      <c r="H73" s="31"/>
      <c r="I73" s="31"/>
      <c r="J73" s="31"/>
      <c r="K73" s="31"/>
      <c r="L73" s="31"/>
    </row>
    <row r="74" spans="2:12" ht="15" customHeight="1">
      <c r="B74" s="31"/>
      <c r="C74" s="31"/>
      <c r="D74" s="31"/>
      <c r="E74" s="31"/>
      <c r="F74" s="31"/>
      <c r="G74" s="31"/>
      <c r="H74" s="31"/>
      <c r="I74" s="31"/>
      <c r="J74" s="31"/>
      <c r="K74" s="31"/>
      <c r="L74" s="31"/>
    </row>
    <row r="75" spans="2:12" ht="15" customHeight="1">
      <c r="B75" s="31"/>
      <c r="C75" s="31"/>
      <c r="D75" s="31"/>
      <c r="E75" s="31"/>
      <c r="F75" s="31"/>
      <c r="G75" s="31"/>
      <c r="H75" s="31"/>
      <c r="I75" s="31"/>
      <c r="J75" s="31"/>
      <c r="K75" s="31"/>
      <c r="L75" s="31"/>
    </row>
    <row r="76" spans="2:12" ht="15" customHeight="1">
      <c r="B76" s="31"/>
      <c r="C76" s="31"/>
      <c r="D76" s="31"/>
      <c r="E76" s="31"/>
      <c r="F76" s="31"/>
      <c r="G76" s="31"/>
      <c r="H76" s="31"/>
      <c r="I76" s="31"/>
      <c r="J76" s="31"/>
      <c r="K76" s="31"/>
      <c r="L76" s="31"/>
    </row>
    <row r="77" spans="2:12" ht="15" customHeight="1">
      <c r="B77" s="31"/>
      <c r="C77" s="31"/>
      <c r="D77" s="31"/>
      <c r="E77" s="31"/>
      <c r="F77" s="31"/>
      <c r="G77" s="31"/>
      <c r="H77" s="31"/>
      <c r="I77" s="31"/>
      <c r="J77" s="31"/>
      <c r="K77" s="31"/>
      <c r="L77" s="31"/>
    </row>
    <row r="78" spans="2:12" ht="15" customHeight="1">
      <c r="B78" s="31"/>
      <c r="C78" s="31"/>
      <c r="D78" s="31"/>
      <c r="E78" s="31"/>
      <c r="F78" s="31"/>
      <c r="G78" s="31"/>
      <c r="H78" s="31"/>
      <c r="I78" s="31"/>
      <c r="J78" s="31"/>
      <c r="K78" s="31"/>
      <c r="L78" s="31"/>
    </row>
    <row r="79" spans="2:12" ht="15" customHeight="1">
      <c r="B79" s="31"/>
      <c r="C79" s="31"/>
      <c r="D79" s="31"/>
      <c r="E79" s="31"/>
      <c r="F79" s="31"/>
      <c r="G79" s="31"/>
      <c r="H79" s="31"/>
      <c r="I79" s="31"/>
      <c r="J79" s="31"/>
      <c r="K79" s="31"/>
      <c r="L79" s="31"/>
    </row>
    <row r="80" spans="2:12" ht="15" customHeight="1">
      <c r="B80" s="31"/>
      <c r="C80" s="31"/>
      <c r="D80" s="31"/>
      <c r="E80" s="31"/>
      <c r="F80" s="31"/>
      <c r="G80" s="31"/>
      <c r="H80" s="31"/>
      <c r="I80" s="31"/>
      <c r="J80" s="31"/>
      <c r="K80" s="31"/>
      <c r="L80" s="31"/>
    </row>
    <row r="81" spans="2:12" ht="15" customHeight="1">
      <c r="B81" s="31"/>
      <c r="C81" s="31"/>
      <c r="D81" s="31"/>
      <c r="E81" s="31"/>
      <c r="F81" s="31"/>
      <c r="G81" s="31"/>
      <c r="H81" s="31"/>
      <c r="I81" s="31"/>
      <c r="J81" s="31"/>
      <c r="K81" s="31"/>
      <c r="L81" s="31"/>
    </row>
    <row r="82" spans="2:12" ht="15" customHeight="1">
      <c r="B82" s="31"/>
      <c r="C82" s="31"/>
      <c r="D82" s="31"/>
      <c r="E82" s="31"/>
      <c r="F82" s="31"/>
      <c r="G82" s="31"/>
      <c r="H82" s="31"/>
      <c r="I82" s="31"/>
      <c r="J82" s="31"/>
      <c r="K82" s="31"/>
      <c r="L82" s="31"/>
    </row>
    <row r="83" spans="2:12" ht="15" customHeight="1">
      <c r="B83" s="31"/>
      <c r="C83" s="31"/>
      <c r="D83" s="31"/>
      <c r="E83" s="31"/>
      <c r="F83" s="31"/>
      <c r="G83" s="31"/>
      <c r="H83" s="31"/>
      <c r="I83" s="31"/>
      <c r="J83" s="31"/>
      <c r="K83" s="31"/>
      <c r="L83" s="31"/>
    </row>
    <row r="84" spans="2:12" ht="15" customHeight="1">
      <c r="B84" s="31"/>
      <c r="C84" s="31"/>
      <c r="D84" s="31"/>
      <c r="E84" s="31"/>
      <c r="F84" s="31"/>
      <c r="G84" s="31"/>
      <c r="H84" s="31"/>
      <c r="I84" s="31"/>
      <c r="J84" s="31"/>
      <c r="K84" s="31"/>
      <c r="L84" s="31"/>
    </row>
    <row r="85" spans="2:12" ht="15" customHeight="1">
      <c r="B85" s="31"/>
      <c r="C85" s="31"/>
      <c r="D85" s="31"/>
      <c r="E85" s="31"/>
      <c r="F85" s="31"/>
      <c r="G85" s="31"/>
      <c r="H85" s="31"/>
      <c r="I85" s="31"/>
      <c r="J85" s="31"/>
      <c r="K85" s="31"/>
      <c r="L85" s="31"/>
    </row>
    <row r="86" spans="2:12" ht="15" customHeight="1">
      <c r="B86" s="31"/>
      <c r="C86" s="31"/>
      <c r="D86" s="31"/>
      <c r="E86" s="31"/>
      <c r="F86" s="31"/>
      <c r="G86" s="31"/>
      <c r="H86" s="31"/>
      <c r="I86" s="31"/>
      <c r="J86" s="31"/>
      <c r="K86" s="31"/>
      <c r="L86" s="31"/>
    </row>
    <row r="87" spans="2:12" ht="15" customHeight="1">
      <c r="B87" s="31"/>
      <c r="C87" s="31"/>
      <c r="D87" s="31"/>
      <c r="E87" s="31"/>
      <c r="F87" s="31"/>
      <c r="G87" s="31"/>
      <c r="H87" s="31"/>
      <c r="I87" s="31"/>
      <c r="J87" s="31"/>
      <c r="K87" s="31"/>
      <c r="L87" s="31"/>
    </row>
  </sheetData>
  <mergeCells count="1">
    <mergeCell ref="J1:K1"/>
  </mergeCells>
  <conditionalFormatting sqref="B1">
    <cfRule type="cellIs" dxfId="50" priority="1" operator="equal">
      <formula>"Incomplete"</formula>
    </cfRule>
    <cfRule type="cellIs" dxfId="49" priority="2" operator="equal">
      <formula>"Flag for Review"</formula>
    </cfRule>
    <cfRule type="cellIs" dxfId="4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15</v>
      </c>
      <c r="B1" s="27" t="s">
        <v>12</v>
      </c>
      <c r="C1" s="20"/>
      <c r="D1" s="20"/>
      <c r="E1" s="20"/>
      <c r="F1" s="20"/>
      <c r="G1" s="20"/>
      <c r="H1" s="886" t="s">
        <v>24</v>
      </c>
      <c r="I1" s="887"/>
      <c r="K1" s="1" t="s">
        <v>33</v>
      </c>
      <c r="L1" s="52" t="str">
        <f>VLOOKUP(A1,'Point Grid'!$L$8:$T$54,9,FALSE)</f>
        <v>Pricing - Chap 11: Special Classification</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s="151" t="s">
        <v>107</v>
      </c>
      <c r="M3" s="37" t="s">
        <v>234</v>
      </c>
      <c r="N3" s="37"/>
      <c r="O3" s="37"/>
      <c r="P3" s="37"/>
      <c r="Q3" s="37"/>
      <c r="R3" s="37"/>
      <c r="S3" s="37"/>
      <c r="T3" s="37"/>
      <c r="U3"/>
    </row>
    <row r="4" spans="1:21">
      <c r="A4" s="9">
        <f>INDEX('Point Grid'!B:B,MATCH(A1,'Point Grid'!A:A,0))</f>
        <v>1.25</v>
      </c>
      <c r="B4" s="17"/>
      <c r="C4" s="17"/>
      <c r="D4" s="17"/>
      <c r="E4" s="17"/>
      <c r="F4" s="17"/>
      <c r="G4" s="17"/>
      <c r="H4" s="17"/>
      <c r="I4" s="18"/>
      <c r="J4" s="31"/>
      <c r="K4" s="48"/>
      <c r="L4" s="37"/>
      <c r="M4" s="37"/>
      <c r="N4" s="37"/>
      <c r="O4" s="37"/>
      <c r="P4" s="37"/>
      <c r="Q4" s="37"/>
      <c r="R4" s="37"/>
      <c r="S4" s="37"/>
      <c r="T4" s="37"/>
    </row>
    <row r="5" spans="1:21">
      <c r="A5" s="16"/>
      <c r="B5" s="17"/>
      <c r="C5" s="17"/>
      <c r="D5" s="17"/>
      <c r="E5" s="17"/>
      <c r="F5" s="17"/>
      <c r="G5" s="17"/>
      <c r="H5" s="17"/>
      <c r="I5" s="18"/>
      <c r="J5" s="31"/>
      <c r="K5" s="48"/>
      <c r="L5" s="121"/>
      <c r="M5" s="178" t="s">
        <v>235</v>
      </c>
      <c r="N5" s="250" t="s">
        <v>235</v>
      </c>
      <c r="O5" s="121"/>
      <c r="P5" s="121"/>
      <c r="Q5" s="121"/>
      <c r="R5" s="121"/>
      <c r="S5" s="121"/>
      <c r="T5" s="121"/>
    </row>
    <row r="6" spans="1:21">
      <c r="A6" s="25" t="s">
        <v>2</v>
      </c>
      <c r="B6" s="139" t="s">
        <v>845</v>
      </c>
      <c r="C6" s="139"/>
      <c r="D6" s="139"/>
      <c r="E6" s="139"/>
      <c r="F6" s="273">
        <v>100</v>
      </c>
      <c r="G6" s="17"/>
      <c r="H6" s="17"/>
      <c r="I6" s="18"/>
      <c r="J6" s="31"/>
      <c r="K6" s="48"/>
      <c r="L6" s="121"/>
      <c r="M6" s="110" t="s">
        <v>236</v>
      </c>
      <c r="N6" s="112" t="s">
        <v>236</v>
      </c>
      <c r="O6" s="121"/>
      <c r="P6" s="121"/>
      <c r="Q6" s="121"/>
      <c r="R6" s="121"/>
      <c r="S6" s="121"/>
      <c r="T6" s="121"/>
    </row>
    <row r="7" spans="1:21" ht="15.75" thickBot="1">
      <c r="A7" s="9">
        <f>INDEX('Point Grid'!$C$8:$I$54,MATCH($A$1,'Point Grid'!$A$8:$A$54,0),MATCH(A6,'Point Grid'!$C$7:$I$7,0))</f>
        <v>1.25</v>
      </c>
      <c r="B7" s="139"/>
      <c r="C7" s="139"/>
      <c r="D7" s="139"/>
      <c r="E7" s="139"/>
      <c r="F7" s="139"/>
      <c r="G7" s="17"/>
      <c r="H7" s="17"/>
      <c r="I7" s="18"/>
      <c r="J7" s="31"/>
      <c r="K7" s="48"/>
      <c r="L7" s="121"/>
      <c r="M7" s="114">
        <f>D9</f>
        <v>25</v>
      </c>
      <c r="N7" s="116">
        <f>F6</f>
        <v>100</v>
      </c>
      <c r="O7" s="121"/>
      <c r="P7" s="121"/>
      <c r="Q7" s="121"/>
      <c r="R7" s="121"/>
      <c r="S7" s="121"/>
      <c r="T7" s="121"/>
    </row>
    <row r="8" spans="1:21" ht="15.75" thickBot="1">
      <c r="A8" s="5"/>
      <c r="B8" s="139"/>
      <c r="C8" s="139"/>
      <c r="D8" s="139"/>
      <c r="E8" s="139"/>
      <c r="F8" s="139"/>
      <c r="G8" s="28"/>
      <c r="H8" s="28"/>
      <c r="I8" s="18"/>
      <c r="J8" s="31"/>
      <c r="K8"/>
      <c r="L8" s="121"/>
      <c r="M8" s="182">
        <f>IF(C14&lt;=M7,E14,D14*M7)</f>
        <v>1090</v>
      </c>
      <c r="N8" s="129">
        <f>IF(C14&lt;=N7,E14,D14*N7)</f>
        <v>1090</v>
      </c>
      <c r="O8" s="121"/>
      <c r="P8" s="121"/>
      <c r="Q8" s="121"/>
      <c r="R8" s="121"/>
      <c r="S8" s="121"/>
      <c r="T8" s="121"/>
    </row>
    <row r="9" spans="1:21">
      <c r="A9" s="25"/>
      <c r="B9" s="139" t="s">
        <v>229</v>
      </c>
      <c r="C9" s="139"/>
      <c r="D9" s="273">
        <v>25</v>
      </c>
      <c r="E9" s="139"/>
      <c r="F9" s="139"/>
      <c r="G9" s="17"/>
      <c r="H9" s="17"/>
      <c r="I9" s="18"/>
      <c r="J9" s="31"/>
      <c r="K9" s="48"/>
      <c r="L9" s="121"/>
      <c r="M9" s="182">
        <f>IF(C15&lt;=M7,E15,D15*M7)</f>
        <v>1680</v>
      </c>
      <c r="N9" s="129">
        <f>IF(C15&lt;=N7,E15,D15*N7)</f>
        <v>1680</v>
      </c>
      <c r="O9" s="121"/>
      <c r="P9" s="121"/>
      <c r="Q9" s="121"/>
      <c r="R9" s="121"/>
      <c r="S9" s="121"/>
      <c r="T9" s="121"/>
    </row>
    <row r="10" spans="1:21">
      <c r="A10" s="25"/>
      <c r="B10" s="189"/>
      <c r="C10" s="189"/>
      <c r="D10" s="189"/>
      <c r="E10" s="189"/>
      <c r="F10" s="139"/>
      <c r="G10" s="17"/>
      <c r="H10" s="17"/>
      <c r="I10" s="18"/>
      <c r="J10" s="31"/>
      <c r="K10"/>
      <c r="L10" s="121"/>
      <c r="M10" s="182">
        <f>IF(C16&lt;=M7,E16,D16*M7)</f>
        <v>1375</v>
      </c>
      <c r="N10" s="129">
        <f>IF(C16&lt;=N7,E16,D16*N7)</f>
        <v>1810</v>
      </c>
      <c r="O10" s="121"/>
      <c r="P10" s="121"/>
      <c r="Q10" s="121"/>
      <c r="R10" s="121"/>
      <c r="S10" s="121"/>
      <c r="T10" s="121"/>
    </row>
    <row r="11" spans="1:21">
      <c r="A11" s="25"/>
      <c r="B11" s="283" t="s">
        <v>230</v>
      </c>
      <c r="C11" s="284"/>
      <c r="D11" s="136"/>
      <c r="E11" s="137"/>
      <c r="F11" s="139"/>
      <c r="G11" s="17"/>
      <c r="H11" s="17"/>
      <c r="I11" s="18"/>
      <c r="J11" s="31"/>
      <c r="K11"/>
      <c r="L11" s="121"/>
      <c r="M11" s="182">
        <f>IF(C17&lt;=M7,E17,D17*M7)</f>
        <v>625</v>
      </c>
      <c r="N11" s="129">
        <f>IF(C17&lt;=N7,E17,D17*N7)</f>
        <v>1780</v>
      </c>
      <c r="O11" s="121"/>
      <c r="P11" s="121"/>
      <c r="Q11" s="121"/>
      <c r="R11" s="121"/>
      <c r="S11" s="121"/>
      <c r="T11" s="121"/>
    </row>
    <row r="12" spans="1:21">
      <c r="A12" s="25"/>
      <c r="B12" s="216" t="s">
        <v>231</v>
      </c>
      <c r="C12" s="270" t="s">
        <v>232</v>
      </c>
      <c r="D12" s="269" t="s">
        <v>90</v>
      </c>
      <c r="E12" s="270" t="s">
        <v>90</v>
      </c>
      <c r="F12" s="139"/>
      <c r="G12" s="17"/>
      <c r="H12" s="17"/>
      <c r="I12" s="18"/>
      <c r="J12" s="31"/>
      <c r="K12"/>
      <c r="L12" s="121"/>
      <c r="M12" s="184">
        <f>IF(C18&lt;=M7,E18,D18*M7)</f>
        <v>250</v>
      </c>
      <c r="N12" s="134">
        <f>IF(C18&lt;=N7,E18,D18*N7)</f>
        <v>1000</v>
      </c>
      <c r="O12" s="121"/>
      <c r="P12" s="121"/>
      <c r="Q12" s="121"/>
      <c r="R12" s="121"/>
      <c r="S12" s="121"/>
      <c r="T12" s="121"/>
    </row>
    <row r="13" spans="1:21">
      <c r="A13" s="25"/>
      <c r="B13" s="218" t="s">
        <v>233</v>
      </c>
      <c r="C13" s="272" t="s">
        <v>233</v>
      </c>
      <c r="D13" s="271" t="s">
        <v>48</v>
      </c>
      <c r="E13" s="272" t="s">
        <v>103</v>
      </c>
      <c r="F13" s="139"/>
      <c r="G13" s="17"/>
      <c r="H13" s="17"/>
      <c r="I13" s="18"/>
      <c r="J13" s="31"/>
      <c r="K13" s="48"/>
      <c r="L13" s="121"/>
      <c r="M13" s="285">
        <f>SUM(M8:M12)</f>
        <v>5020</v>
      </c>
      <c r="N13" s="286">
        <f>SUM(N8:N12)</f>
        <v>7360</v>
      </c>
      <c r="O13" s="121" t="s">
        <v>237</v>
      </c>
      <c r="P13" s="121"/>
      <c r="Q13" s="121"/>
      <c r="R13" s="121"/>
      <c r="S13" s="121"/>
      <c r="T13" s="121"/>
    </row>
    <row r="14" spans="1:21">
      <c r="A14" s="25"/>
      <c r="B14" s="216">
        <v>0</v>
      </c>
      <c r="C14" s="270">
        <v>10</v>
      </c>
      <c r="D14" s="269">
        <v>150</v>
      </c>
      <c r="E14" s="270">
        <v>1090</v>
      </c>
      <c r="F14" s="139"/>
      <c r="G14" s="17"/>
      <c r="H14" s="17"/>
      <c r="I14" s="18"/>
      <c r="J14" s="31"/>
      <c r="K14"/>
      <c r="L14" s="121"/>
      <c r="M14" s="121"/>
      <c r="N14" s="121"/>
      <c r="O14" s="121"/>
      <c r="P14" s="121"/>
      <c r="Q14" s="121"/>
      <c r="R14" s="121"/>
      <c r="S14" s="121"/>
      <c r="T14" s="121"/>
    </row>
    <row r="15" spans="1:21">
      <c r="A15" s="25"/>
      <c r="B15" s="216">
        <v>10</v>
      </c>
      <c r="C15" s="270">
        <v>25</v>
      </c>
      <c r="D15" s="269">
        <v>100</v>
      </c>
      <c r="E15" s="270">
        <v>1680</v>
      </c>
      <c r="F15" s="139"/>
      <c r="G15" s="17"/>
      <c r="H15" s="17"/>
      <c r="I15" s="18"/>
      <c r="J15" s="31"/>
      <c r="K15"/>
      <c r="L15" s="121"/>
      <c r="M15" s="121"/>
      <c r="N15" s="121"/>
      <c r="O15" s="121"/>
      <c r="P15" s="121"/>
      <c r="Q15" s="121"/>
      <c r="R15" s="121"/>
      <c r="S15" s="121"/>
      <c r="T15" s="121"/>
    </row>
    <row r="16" spans="1:21">
      <c r="A16" s="25"/>
      <c r="B16" s="216">
        <v>25</v>
      </c>
      <c r="C16" s="270">
        <v>50</v>
      </c>
      <c r="D16" s="269">
        <v>55</v>
      </c>
      <c r="E16" s="270">
        <v>1810</v>
      </c>
      <c r="F16" s="139"/>
      <c r="G16" s="17"/>
      <c r="H16" s="17"/>
      <c r="I16" s="18"/>
      <c r="J16" s="31"/>
      <c r="K16" s="48"/>
      <c r="L16" s="287" t="s">
        <v>108</v>
      </c>
      <c r="M16" s="121" t="s">
        <v>238</v>
      </c>
      <c r="N16" s="121"/>
      <c r="O16" s="121"/>
      <c r="P16" s="121"/>
      <c r="Q16" s="121"/>
      <c r="R16" s="121"/>
      <c r="S16" s="121"/>
      <c r="T16" s="121"/>
    </row>
    <row r="17" spans="1:20">
      <c r="A17" s="25"/>
      <c r="B17" s="216">
        <v>50</v>
      </c>
      <c r="C17" s="270">
        <v>100</v>
      </c>
      <c r="D17" s="269">
        <v>25</v>
      </c>
      <c r="E17" s="270">
        <v>1780</v>
      </c>
      <c r="F17" s="139"/>
      <c r="G17" s="17"/>
      <c r="H17" s="17"/>
      <c r="I17" s="18"/>
      <c r="J17" s="31"/>
      <c r="K17"/>
      <c r="L17" s="121"/>
      <c r="M17" s="121"/>
      <c r="N17" s="121"/>
      <c r="O17" s="121"/>
      <c r="P17" s="121"/>
      <c r="Q17" s="121"/>
      <c r="R17" s="121"/>
      <c r="S17" s="121"/>
      <c r="T17" s="121"/>
    </row>
    <row r="18" spans="1:20" ht="15" customHeight="1">
      <c r="A18" s="25"/>
      <c r="B18" s="218">
        <v>100</v>
      </c>
      <c r="C18" s="272">
        <v>300</v>
      </c>
      <c r="D18" s="271">
        <v>10</v>
      </c>
      <c r="E18" s="272">
        <v>1870</v>
      </c>
      <c r="F18" s="139"/>
      <c r="G18" s="17"/>
      <c r="H18" s="17"/>
      <c r="I18" s="18"/>
      <c r="J18" s="31"/>
      <c r="K18"/>
      <c r="L18" s="121"/>
      <c r="M18" s="121" t="str">
        <f>"LAS("&amp;D9&amp;")"</f>
        <v>LAS(25)</v>
      </c>
      <c r="N18" s="153" t="s">
        <v>34</v>
      </c>
      <c r="O18" s="121" t="str">
        <f>"(losses capped at "&amp;D9&amp;")"</f>
        <v>(losses capped at 25)</v>
      </c>
      <c r="P18" s="121"/>
      <c r="Q18" s="121"/>
      <c r="R18" s="155" t="s">
        <v>36</v>
      </c>
      <c r="S18" s="121" t="s">
        <v>239</v>
      </c>
      <c r="T18" s="121"/>
    </row>
    <row r="19" spans="1:20" ht="15" customHeight="1">
      <c r="A19" s="25"/>
      <c r="B19" s="17"/>
      <c r="C19" s="17"/>
      <c r="D19" s="17"/>
      <c r="E19" s="17"/>
      <c r="F19" s="17"/>
      <c r="G19" s="17"/>
      <c r="H19" s="17"/>
      <c r="I19" s="18"/>
      <c r="J19" s="31"/>
      <c r="K19"/>
      <c r="L19" s="121"/>
      <c r="M19" s="37"/>
      <c r="N19" s="153" t="s">
        <v>34</v>
      </c>
      <c r="O19" s="278">
        <f>M13</f>
        <v>5020</v>
      </c>
      <c r="P19" s="37"/>
      <c r="Q19" s="37"/>
      <c r="R19" s="155" t="s">
        <v>36</v>
      </c>
      <c r="S19" s="152">
        <f>SUM(D14:D18)</f>
        <v>340</v>
      </c>
      <c r="T19" s="37"/>
    </row>
    <row r="20" spans="1:20" ht="15" customHeight="1">
      <c r="A20" s="25"/>
      <c r="B20" s="17"/>
      <c r="C20" s="17"/>
      <c r="D20" s="17"/>
      <c r="E20" s="17"/>
      <c r="F20" s="17"/>
      <c r="G20" s="17"/>
      <c r="H20" s="17"/>
      <c r="I20" s="18"/>
      <c r="J20" s="31"/>
      <c r="K20"/>
      <c r="L20" s="121"/>
      <c r="M20" s="121"/>
      <c r="N20" s="153" t="s">
        <v>34</v>
      </c>
      <c r="O20" s="288">
        <f>O19/S19</f>
        <v>14.764705882352942</v>
      </c>
      <c r="P20" s="121"/>
      <c r="Q20" s="121"/>
      <c r="R20" s="121"/>
      <c r="S20" s="121"/>
      <c r="T20" s="121"/>
    </row>
    <row r="21" spans="1:20" ht="15" customHeight="1">
      <c r="A21" s="25"/>
      <c r="B21" s="17"/>
      <c r="C21" s="17"/>
      <c r="D21" s="17"/>
      <c r="E21" s="17"/>
      <c r="F21" s="17"/>
      <c r="G21" s="17"/>
      <c r="H21" s="17"/>
      <c r="I21" s="18"/>
      <c r="J21" s="31"/>
      <c r="K21"/>
      <c r="L21" s="121"/>
      <c r="M21" s="121"/>
      <c r="N21" s="121"/>
      <c r="O21" s="121"/>
      <c r="P21" s="121"/>
      <c r="Q21" s="121"/>
      <c r="R21" s="121"/>
      <c r="S21" s="121"/>
      <c r="T21" s="121"/>
    </row>
    <row r="22" spans="1:20" ht="15" customHeight="1">
      <c r="A22" s="25"/>
      <c r="B22" s="17"/>
      <c r="C22" s="17"/>
      <c r="D22" s="17"/>
      <c r="E22" s="17"/>
      <c r="F22" s="17"/>
      <c r="G22" s="17"/>
      <c r="H22" s="17"/>
      <c r="I22" s="18"/>
      <c r="J22" s="31"/>
      <c r="K22"/>
      <c r="L22" s="121"/>
      <c r="M22" s="121" t="str">
        <f>"LAS("&amp;F6&amp;")"</f>
        <v>LAS(100)</v>
      </c>
      <c r="N22" s="153" t="s">
        <v>34</v>
      </c>
      <c r="O22" s="121" t="str">
        <f>"(losses capped at "&amp;F6&amp;")"</f>
        <v>(losses capped at 100)</v>
      </c>
      <c r="P22" s="121"/>
      <c r="Q22" s="121"/>
      <c r="R22" s="155" t="s">
        <v>36</v>
      </c>
      <c r="S22" s="121" t="s">
        <v>239</v>
      </c>
      <c r="T22" s="121"/>
    </row>
    <row r="23" spans="1:20" ht="15" customHeight="1">
      <c r="A23" s="25"/>
      <c r="B23" s="17"/>
      <c r="C23" s="17"/>
      <c r="D23" s="17"/>
      <c r="E23" s="17"/>
      <c r="F23" s="17"/>
      <c r="G23" s="17"/>
      <c r="H23" s="17"/>
      <c r="I23" s="18"/>
      <c r="J23" s="31"/>
      <c r="K23"/>
      <c r="L23" s="121"/>
      <c r="M23" s="121"/>
      <c r="N23" s="153" t="s">
        <v>34</v>
      </c>
      <c r="O23" s="289">
        <f>N13</f>
        <v>7360</v>
      </c>
      <c r="P23" s="121"/>
      <c r="Q23" s="121"/>
      <c r="R23" s="155" t="s">
        <v>36</v>
      </c>
      <c r="S23" s="121">
        <f>SUM(D14:D18)</f>
        <v>340</v>
      </c>
      <c r="T23" s="121"/>
    </row>
    <row r="24" spans="1:20" ht="15" customHeight="1">
      <c r="A24" s="25"/>
      <c r="B24" s="17"/>
      <c r="C24" s="17"/>
      <c r="D24" s="17"/>
      <c r="E24" s="17"/>
      <c r="F24" s="17"/>
      <c r="G24" s="17"/>
      <c r="H24" s="17"/>
      <c r="I24" s="18"/>
      <c r="J24" s="31"/>
      <c r="K24"/>
      <c r="L24" s="121"/>
      <c r="M24" s="121"/>
      <c r="N24" s="153" t="s">
        <v>34</v>
      </c>
      <c r="O24" s="288">
        <f>O23/S23</f>
        <v>21.647058823529413</v>
      </c>
      <c r="P24" s="121"/>
      <c r="Q24" s="121"/>
      <c r="R24" s="121"/>
      <c r="S24" s="121"/>
      <c r="T24" s="121"/>
    </row>
    <row r="25" spans="1:20" ht="15" customHeight="1">
      <c r="A25" s="25"/>
      <c r="B25" s="17"/>
      <c r="C25" s="17"/>
      <c r="D25" s="17"/>
      <c r="E25" s="17"/>
      <c r="F25" s="17"/>
      <c r="G25" s="17"/>
      <c r="H25" s="17"/>
      <c r="I25" s="18"/>
      <c r="J25" s="31"/>
      <c r="K25"/>
      <c r="L25" s="121"/>
      <c r="M25" s="121"/>
      <c r="N25" s="121"/>
      <c r="O25" s="121"/>
      <c r="P25" s="121"/>
      <c r="Q25" s="121"/>
      <c r="R25" s="121"/>
      <c r="S25" s="121"/>
      <c r="T25" s="121"/>
    </row>
    <row r="26" spans="1:20" ht="15" customHeight="1">
      <c r="A26" s="25"/>
      <c r="B26" s="17"/>
      <c r="C26" s="17"/>
      <c r="D26" s="17"/>
      <c r="E26" s="17"/>
      <c r="F26" s="17"/>
      <c r="G26" s="17"/>
      <c r="H26" s="17"/>
      <c r="I26" s="18"/>
      <c r="J26" s="31"/>
      <c r="K26"/>
      <c r="L26" s="121"/>
      <c r="M26" s="121"/>
      <c r="N26" s="121"/>
      <c r="O26" s="121"/>
      <c r="P26" s="121"/>
      <c r="Q26" s="121"/>
      <c r="R26" s="121"/>
      <c r="S26" s="121"/>
      <c r="T26" s="121"/>
    </row>
    <row r="27" spans="1:20" ht="15" customHeight="1">
      <c r="A27" s="25"/>
      <c r="B27" s="17"/>
      <c r="C27" s="17"/>
      <c r="D27" s="17"/>
      <c r="E27" s="17"/>
      <c r="F27" s="17"/>
      <c r="G27" s="17"/>
      <c r="H27" s="17"/>
      <c r="I27" s="18"/>
      <c r="J27" s="31"/>
      <c r="K27"/>
      <c r="L27" s="239" t="s">
        <v>240</v>
      </c>
      <c r="M27" s="121" t="s">
        <v>241</v>
      </c>
      <c r="N27" s="121"/>
      <c r="O27" s="121"/>
      <c r="P27" s="121"/>
      <c r="Q27" s="121"/>
      <c r="R27" s="121"/>
      <c r="S27" s="121"/>
      <c r="T27" s="121"/>
    </row>
    <row r="28" spans="1:20" ht="15" customHeight="1">
      <c r="A28" s="25"/>
      <c r="B28" s="17"/>
      <c r="C28" s="17"/>
      <c r="D28" s="17"/>
      <c r="E28" s="17"/>
      <c r="F28" s="17"/>
      <c r="G28" s="17"/>
      <c r="H28" s="17"/>
      <c r="I28" s="18"/>
      <c r="J28" s="31"/>
      <c r="K28"/>
      <c r="L28" s="121"/>
      <c r="M28" s="121"/>
      <c r="N28" s="121"/>
      <c r="O28" s="121"/>
      <c r="P28" s="121"/>
      <c r="Q28" s="121"/>
      <c r="R28" s="121"/>
      <c r="S28" s="121"/>
      <c r="T28" s="121"/>
    </row>
    <row r="29" spans="1:20" ht="15" customHeight="1">
      <c r="A29" s="22"/>
      <c r="B29" s="17"/>
      <c r="C29" s="17"/>
      <c r="D29" s="17"/>
      <c r="E29" s="17"/>
      <c r="F29" s="17"/>
      <c r="G29" s="17"/>
      <c r="H29" s="17"/>
      <c r="I29" s="18"/>
      <c r="J29" s="31"/>
      <c r="K29"/>
      <c r="L29" s="121"/>
      <c r="M29" s="121" t="str">
        <f>"ILF("&amp;F6&amp;")"</f>
        <v>ILF(100)</v>
      </c>
      <c r="N29" s="153" t="s">
        <v>34</v>
      </c>
      <c r="O29" s="121" t="str">
        <f>"LAS("&amp;F6&amp;")"</f>
        <v>LAS(100)</v>
      </c>
      <c r="P29" s="121"/>
      <c r="Q29" s="155" t="s">
        <v>36</v>
      </c>
      <c r="R29" s="121" t="str">
        <f>"LAS("&amp;D9&amp;")"</f>
        <v>LAS(25)</v>
      </c>
      <c r="S29" s="121"/>
      <c r="T29" s="121"/>
    </row>
    <row r="30" spans="1:20" ht="15" customHeight="1" thickBot="1">
      <c r="A30" s="24"/>
      <c r="B30" s="32"/>
      <c r="C30" s="32"/>
      <c r="D30" s="32"/>
      <c r="E30" s="32"/>
      <c r="F30" s="32"/>
      <c r="G30" s="32"/>
      <c r="H30" s="32"/>
      <c r="I30" s="33"/>
      <c r="J30" s="31"/>
      <c r="K30"/>
      <c r="L30" s="121"/>
      <c r="M30" s="121"/>
      <c r="N30" s="153" t="s">
        <v>34</v>
      </c>
      <c r="O30" s="288">
        <f>O24</f>
        <v>21.647058823529413</v>
      </c>
      <c r="P30" s="121"/>
      <c r="Q30" s="155" t="s">
        <v>36</v>
      </c>
      <c r="R30" s="288">
        <f>O20</f>
        <v>14.764705882352942</v>
      </c>
      <c r="S30" s="121"/>
      <c r="T30" s="121"/>
    </row>
    <row r="31" spans="1:20" ht="15" customHeight="1">
      <c r="B31" s="31"/>
      <c r="C31" s="31"/>
      <c r="D31" s="31"/>
      <c r="E31" s="31"/>
      <c r="F31" s="31"/>
      <c r="G31" s="31"/>
      <c r="H31" s="31"/>
      <c r="I31" s="31"/>
      <c r="J31" s="31"/>
      <c r="K31"/>
      <c r="L31" s="121"/>
      <c r="M31" s="121"/>
      <c r="N31" s="153" t="s">
        <v>34</v>
      </c>
      <c r="O31" s="290">
        <f>O30/R30</f>
        <v>1.4661354581673307</v>
      </c>
      <c r="P31" s="121"/>
      <c r="Q31" s="121"/>
      <c r="R31" s="121"/>
      <c r="S31" s="121"/>
      <c r="T31" s="121"/>
    </row>
    <row r="32" spans="1:20" ht="15" customHeight="1">
      <c r="J32" s="31"/>
      <c r="K32"/>
      <c r="O32" s="291" t="s">
        <v>110</v>
      </c>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47" priority="1" operator="equal">
      <formula>"Incomplete"</formula>
    </cfRule>
    <cfRule type="cellIs" dxfId="46" priority="2" operator="equal">
      <formula>"Flag for Review"</formula>
    </cfRule>
    <cfRule type="cellIs" dxfId="4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V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2">
      <c r="A1" s="7">
        <v>16</v>
      </c>
      <c r="B1" s="27" t="s">
        <v>12</v>
      </c>
      <c r="C1" s="20"/>
      <c r="D1" s="20"/>
      <c r="E1" s="20"/>
      <c r="F1" s="20"/>
      <c r="G1" s="20"/>
      <c r="H1" s="886" t="s">
        <v>24</v>
      </c>
      <c r="I1" s="887"/>
      <c r="K1" s="1" t="s">
        <v>33</v>
      </c>
      <c r="L1" s="52" t="str">
        <f>VLOOKUP(A1,'Point Grid'!$L$8:$T$54,9,FALSE)</f>
        <v>Pricing - Chap 11: Special Classification</v>
      </c>
      <c r="M1"/>
      <c r="N1"/>
      <c r="O1"/>
      <c r="P1"/>
      <c r="Q1"/>
      <c r="R1"/>
      <c r="S1"/>
      <c r="T1"/>
      <c r="U1"/>
    </row>
    <row r="2" spans="1:22">
      <c r="A2" s="22"/>
      <c r="B2" s="19"/>
      <c r="C2" s="19"/>
      <c r="D2" s="19"/>
      <c r="E2" s="19"/>
      <c r="F2" s="19"/>
      <c r="G2" s="19"/>
      <c r="H2" s="19"/>
      <c r="I2" s="23"/>
      <c r="K2" s="1"/>
      <c r="L2"/>
      <c r="M2"/>
      <c r="N2"/>
      <c r="O2"/>
      <c r="P2"/>
      <c r="Q2"/>
      <c r="R2"/>
      <c r="S2"/>
      <c r="T2"/>
      <c r="U2"/>
      <c r="V2"/>
    </row>
    <row r="3" spans="1:22">
      <c r="A3" s="8" t="s">
        <v>13</v>
      </c>
      <c r="B3" s="17"/>
      <c r="C3" s="17"/>
      <c r="D3" s="17"/>
      <c r="E3" s="17"/>
      <c r="F3" s="17"/>
      <c r="G3" s="17"/>
      <c r="H3" s="17"/>
      <c r="I3" s="18"/>
      <c r="J3" s="31"/>
      <c r="K3" s="48" t="s">
        <v>2</v>
      </c>
      <c r="L3" t="s">
        <v>846</v>
      </c>
      <c r="M3"/>
      <c r="N3"/>
      <c r="O3"/>
      <c r="P3"/>
      <c r="Q3"/>
      <c r="R3"/>
      <c r="S3"/>
      <c r="T3"/>
      <c r="U3"/>
      <c r="V3"/>
    </row>
    <row r="4" spans="1:22">
      <c r="A4" s="9">
        <f>INDEX('Point Grid'!B:B,MATCH(A1,'Point Grid'!A:A,0))</f>
        <v>2.75</v>
      </c>
      <c r="B4" s="17"/>
      <c r="C4" s="17"/>
      <c r="D4" s="17"/>
      <c r="E4" s="17"/>
      <c r="F4" s="17"/>
      <c r="G4" s="17"/>
      <c r="H4" s="17"/>
      <c r="I4" s="18"/>
      <c r="J4" s="31"/>
      <c r="K4" s="48"/>
      <c r="L4"/>
      <c r="M4"/>
      <c r="N4"/>
      <c r="O4"/>
      <c r="P4"/>
      <c r="Q4"/>
      <c r="R4"/>
      <c r="S4"/>
      <c r="T4"/>
      <c r="U4"/>
      <c r="V4"/>
    </row>
    <row r="5" spans="1:22">
      <c r="A5" s="16"/>
      <c r="B5" s="17"/>
      <c r="C5" s="17"/>
      <c r="D5" s="17"/>
      <c r="E5" s="17"/>
      <c r="F5" s="17"/>
      <c r="G5" s="17"/>
      <c r="H5" s="17"/>
      <c r="I5" s="18"/>
      <c r="J5" s="31"/>
      <c r="K5" s="48"/>
      <c r="L5"/>
      <c r="M5" s="824" t="s">
        <v>853</v>
      </c>
      <c r="N5" s="48" t="s">
        <v>34</v>
      </c>
      <c r="O5" s="48">
        <v>0.5</v>
      </c>
      <c r="P5" s="48" t="s">
        <v>227</v>
      </c>
      <c r="Q5" s="826">
        <f>G6</f>
        <v>2.5000000000000001E-2</v>
      </c>
      <c r="R5" s="48" t="s">
        <v>227</v>
      </c>
      <c r="S5" s="277">
        <v>1000</v>
      </c>
      <c r="T5"/>
      <c r="U5"/>
      <c r="V5"/>
    </row>
    <row r="6" spans="1:22">
      <c r="A6" s="25" t="s">
        <v>2</v>
      </c>
      <c r="B6" s="17" t="s">
        <v>847</v>
      </c>
      <c r="C6" s="17"/>
      <c r="D6" s="17"/>
      <c r="E6" s="17"/>
      <c r="F6" s="17"/>
      <c r="G6" s="825">
        <v>2.5000000000000001E-2</v>
      </c>
      <c r="H6" s="17" t="s">
        <v>849</v>
      </c>
      <c r="I6" s="18"/>
      <c r="J6" s="31"/>
      <c r="K6" s="48"/>
      <c r="L6"/>
      <c r="M6"/>
      <c r="N6" s="48" t="s">
        <v>34</v>
      </c>
      <c r="O6" s="827">
        <f>O5*Q5*S5</f>
        <v>12.5</v>
      </c>
      <c r="P6"/>
      <c r="Q6"/>
      <c r="R6"/>
      <c r="S6"/>
      <c r="T6"/>
      <c r="U6"/>
      <c r="V6"/>
    </row>
    <row r="7" spans="1:22" ht="15.75" thickBot="1">
      <c r="A7" s="9">
        <f>INDEX('Point Grid'!$C$8:$I$54,MATCH($A$1,'Point Grid'!$A$8:$A$54,0),MATCH(A6,'Point Grid'!$C$7:$I$7,0))</f>
        <v>0.5</v>
      </c>
      <c r="B7" s="17" t="s">
        <v>848</v>
      </c>
      <c r="C7" s="17"/>
      <c r="D7" s="17"/>
      <c r="E7" s="17"/>
      <c r="F7" s="17"/>
      <c r="G7" s="17"/>
      <c r="H7" s="17"/>
      <c r="I7" s="18"/>
      <c r="J7" s="31"/>
      <c r="K7" s="48"/>
      <c r="L7"/>
      <c r="M7"/>
      <c r="N7"/>
      <c r="O7"/>
      <c r="P7"/>
      <c r="Q7"/>
      <c r="R7"/>
      <c r="S7"/>
      <c r="T7"/>
      <c r="U7"/>
      <c r="V7"/>
    </row>
    <row r="8" spans="1:22" ht="15.75" thickBot="1">
      <c r="A8" s="5"/>
      <c r="B8" s="17"/>
      <c r="C8" s="17"/>
      <c r="D8" s="17"/>
      <c r="E8" s="17"/>
      <c r="F8" s="17"/>
      <c r="G8" s="17"/>
      <c r="H8" s="17"/>
      <c r="I8" s="18"/>
      <c r="J8" s="31"/>
      <c r="K8" s="48" t="s">
        <v>3</v>
      </c>
      <c r="L8" t="s">
        <v>851</v>
      </c>
      <c r="M8"/>
      <c r="N8"/>
      <c r="O8"/>
      <c r="P8"/>
      <c r="Q8"/>
      <c r="R8"/>
      <c r="S8"/>
      <c r="T8"/>
      <c r="U8"/>
      <c r="V8"/>
    </row>
    <row r="9" spans="1:22">
      <c r="A9" s="25"/>
      <c r="B9" s="17"/>
      <c r="C9" s="17"/>
      <c r="D9" s="17"/>
      <c r="E9" s="17"/>
      <c r="F9" s="17"/>
      <c r="G9" s="17"/>
      <c r="H9" s="17"/>
      <c r="I9" s="18"/>
      <c r="J9" s="31"/>
      <c r="K9" s="48"/>
      <c r="L9"/>
      <c r="M9"/>
      <c r="N9"/>
      <c r="O9"/>
      <c r="P9"/>
      <c r="Q9"/>
      <c r="R9"/>
      <c r="S9"/>
      <c r="T9"/>
      <c r="U9"/>
      <c r="V9"/>
    </row>
    <row r="10" spans="1:22">
      <c r="A10" s="25" t="s">
        <v>3</v>
      </c>
      <c r="B10" s="17" t="s">
        <v>854</v>
      </c>
      <c r="C10" s="17"/>
      <c r="D10" s="17"/>
      <c r="E10" s="17"/>
      <c r="F10" s="17"/>
      <c r="G10" s="17"/>
      <c r="H10" s="17"/>
      <c r="I10" s="18"/>
      <c r="J10" s="31"/>
      <c r="K10" s="48"/>
      <c r="L10"/>
      <c r="M10" s="824" t="s">
        <v>852</v>
      </c>
      <c r="N10" s="48" t="s">
        <v>34</v>
      </c>
      <c r="O10" t="s">
        <v>273</v>
      </c>
      <c r="P10"/>
      <c r="Q10" s="749" t="s">
        <v>36</v>
      </c>
      <c r="R10" s="48" t="s">
        <v>305</v>
      </c>
      <c r="S10" s="48">
        <v>0.5</v>
      </c>
      <c r="T10" s="48" t="s">
        <v>227</v>
      </c>
      <c r="U10" s="277">
        <v>1000</v>
      </c>
      <c r="V10" s="48" t="s">
        <v>276</v>
      </c>
    </row>
    <row r="11" spans="1:22" ht="15.75" thickBot="1">
      <c r="A11" s="9">
        <f>INDEX('Point Grid'!$C$8:$I$54,MATCH($A$1,'Point Grid'!$A$8:$A$54,0),MATCH(A10,'Point Grid'!$C$7:$I$7,0))</f>
        <v>0.5</v>
      </c>
      <c r="B11" s="17" t="s">
        <v>850</v>
      </c>
      <c r="C11" s="17"/>
      <c r="D11" s="828">
        <v>9</v>
      </c>
      <c r="E11" s="17"/>
      <c r="F11" s="17"/>
      <c r="G11" s="17"/>
      <c r="H11" s="17"/>
      <c r="I11" s="18"/>
      <c r="J11" s="31"/>
      <c r="K11" s="48"/>
      <c r="L11"/>
      <c r="M11"/>
      <c r="N11" s="48" t="s">
        <v>34</v>
      </c>
      <c r="O11" s="829">
        <f>D11</f>
        <v>9</v>
      </c>
      <c r="P11"/>
      <c r="Q11" s="749" t="s">
        <v>36</v>
      </c>
      <c r="R11" s="48" t="s">
        <v>305</v>
      </c>
      <c r="S11" s="48">
        <v>0.5</v>
      </c>
      <c r="T11" s="48" t="s">
        <v>227</v>
      </c>
      <c r="U11" s="277">
        <v>1000</v>
      </c>
      <c r="V11" s="48" t="s">
        <v>276</v>
      </c>
    </row>
    <row r="12" spans="1:22" ht="15.75" thickBot="1">
      <c r="A12" s="5"/>
      <c r="B12" s="17"/>
      <c r="C12" s="17"/>
      <c r="D12" s="17"/>
      <c r="E12" s="17"/>
      <c r="F12" s="17"/>
      <c r="G12" s="17"/>
      <c r="H12" s="17"/>
      <c r="I12" s="18"/>
      <c r="J12" s="31"/>
      <c r="K12" s="48"/>
      <c r="L12"/>
      <c r="M12"/>
      <c r="N12" s="48" t="s">
        <v>34</v>
      </c>
      <c r="O12" s="830">
        <f>O11/(S11*U11)</f>
        <v>1.7999999999999999E-2</v>
      </c>
      <c r="P12"/>
      <c r="Q12"/>
      <c r="R12"/>
      <c r="S12"/>
      <c r="T12"/>
      <c r="U12"/>
      <c r="V12"/>
    </row>
    <row r="13" spans="1:22">
      <c r="A13" s="25"/>
      <c r="B13" s="17"/>
      <c r="C13" s="28"/>
      <c r="D13" s="28"/>
      <c r="E13" s="28"/>
      <c r="F13" s="28"/>
      <c r="G13" s="28"/>
      <c r="H13" s="28"/>
      <c r="I13" s="18"/>
      <c r="J13" s="31"/>
      <c r="K13" s="48"/>
      <c r="L13"/>
      <c r="M13"/>
      <c r="N13"/>
      <c r="O13"/>
      <c r="P13"/>
      <c r="Q13"/>
      <c r="R13"/>
      <c r="S13"/>
      <c r="T13"/>
      <c r="U13"/>
      <c r="V13"/>
    </row>
    <row r="14" spans="1:22">
      <c r="A14" s="25" t="s">
        <v>4</v>
      </c>
      <c r="B14" s="17" t="s">
        <v>243</v>
      </c>
      <c r="C14" s="17"/>
      <c r="D14" s="17"/>
      <c r="E14" s="17"/>
      <c r="F14" s="17"/>
      <c r="G14" s="17"/>
      <c r="H14" s="17"/>
      <c r="I14" s="18"/>
      <c r="J14" s="31"/>
      <c r="K14" s="48" t="s">
        <v>4</v>
      </c>
      <c r="L14" s="37" t="s">
        <v>257</v>
      </c>
      <c r="M14" s="37"/>
      <c r="N14"/>
      <c r="O14"/>
      <c r="P14"/>
      <c r="Q14"/>
      <c r="R14"/>
      <c r="S14"/>
      <c r="T14"/>
      <c r="U14"/>
      <c r="V14"/>
    </row>
    <row r="15" spans="1:22" ht="15.75" thickBot="1">
      <c r="A15" s="9">
        <f>INDEX('Point Grid'!$C$8:$I$54,MATCH($A$1,'Point Grid'!$A$8:$A$54,0),MATCH(A14,'Point Grid'!$C$7:$I$7,0))</f>
        <v>0.75</v>
      </c>
      <c r="B15" s="17" t="s">
        <v>244</v>
      </c>
      <c r="C15" s="17"/>
      <c r="D15" s="17"/>
      <c r="E15" s="17"/>
      <c r="F15" s="17"/>
      <c r="G15" s="17"/>
      <c r="H15" s="17"/>
      <c r="I15" s="18"/>
      <c r="J15" s="31"/>
      <c r="K15"/>
      <c r="L15" s="37"/>
      <c r="M15" s="37"/>
      <c r="N15"/>
      <c r="O15"/>
      <c r="P15"/>
      <c r="Q15"/>
      <c r="R15"/>
      <c r="S15"/>
      <c r="T15"/>
      <c r="U15"/>
      <c r="V15"/>
    </row>
    <row r="16" spans="1:22" ht="15.75" thickBot="1">
      <c r="A16" s="5"/>
      <c r="B16" s="17" t="s">
        <v>245</v>
      </c>
      <c r="C16" s="17"/>
      <c r="D16" s="17"/>
      <c r="E16" s="17"/>
      <c r="F16" s="17"/>
      <c r="G16" s="17"/>
      <c r="H16" s="17"/>
      <c r="I16" s="18"/>
      <c r="J16" s="31"/>
      <c r="K16"/>
      <c r="L16" s="292">
        <v>1</v>
      </c>
      <c r="M16" s="293" t="s">
        <v>255</v>
      </c>
      <c r="N16"/>
      <c r="O16"/>
      <c r="P16"/>
      <c r="Q16"/>
      <c r="R16"/>
      <c r="S16"/>
      <c r="T16"/>
      <c r="U16"/>
      <c r="V16"/>
    </row>
    <row r="17" spans="1:22">
      <c r="A17" s="22"/>
      <c r="B17" s="17"/>
      <c r="C17" s="17"/>
      <c r="D17" s="17"/>
      <c r="E17" s="17"/>
      <c r="F17" s="17"/>
      <c r="G17" s="17"/>
      <c r="H17" s="17"/>
      <c r="I17" s="18"/>
      <c r="J17" s="31"/>
      <c r="K17"/>
      <c r="L17" s="274"/>
      <c r="M17" s="109" t="s">
        <v>246</v>
      </c>
      <c r="N17"/>
      <c r="O17"/>
      <c r="P17"/>
      <c r="Q17"/>
      <c r="R17"/>
      <c r="S17"/>
      <c r="T17"/>
      <c r="U17"/>
      <c r="V17"/>
    </row>
    <row r="18" spans="1:22" ht="15" customHeight="1">
      <c r="A18" s="25" t="s">
        <v>5</v>
      </c>
      <c r="B18" s="139" t="s">
        <v>258</v>
      </c>
      <c r="C18" s="139"/>
      <c r="D18" s="139"/>
      <c r="E18" s="139"/>
      <c r="F18" s="139"/>
      <c r="G18" s="139"/>
      <c r="H18" s="139"/>
      <c r="I18" s="18"/>
      <c r="J18" s="31"/>
      <c r="K18" s="48"/>
      <c r="L18" s="292">
        <v>2</v>
      </c>
      <c r="M18" s="293" t="s">
        <v>247</v>
      </c>
      <c r="N18"/>
      <c r="O18"/>
      <c r="P18"/>
      <c r="Q18"/>
      <c r="R18"/>
      <c r="S18"/>
      <c r="T18"/>
      <c r="U18"/>
      <c r="V18"/>
    </row>
    <row r="19" spans="1:22" ht="15" customHeight="1" thickBot="1">
      <c r="A19" s="9">
        <f>INDEX('Point Grid'!$C$8:$I$54,MATCH($A$1,'Point Grid'!$A$8:$A$54,0),MATCH(A18,'Point Grid'!$C$7:$I$7,0))</f>
        <v>1</v>
      </c>
      <c r="B19" s="139"/>
      <c r="C19" s="139"/>
      <c r="D19" s="139"/>
      <c r="E19" s="139"/>
      <c r="F19" s="139"/>
      <c r="G19" s="139"/>
      <c r="H19" s="139"/>
      <c r="I19" s="18"/>
      <c r="J19" s="31"/>
      <c r="K19"/>
      <c r="L19" s="274"/>
      <c r="M19" s="109" t="s">
        <v>248</v>
      </c>
      <c r="N19"/>
      <c r="O19"/>
      <c r="P19"/>
      <c r="Q19"/>
      <c r="R19"/>
      <c r="S19"/>
      <c r="T19"/>
      <c r="U19"/>
      <c r="V19"/>
    </row>
    <row r="20" spans="1:22" ht="15" customHeight="1" thickBot="1">
      <c r="A20" s="5"/>
      <c r="B20" s="119"/>
      <c r="C20" s="135" t="s">
        <v>259</v>
      </c>
      <c r="D20" s="137"/>
      <c r="E20" s="137">
        <v>758000</v>
      </c>
      <c r="F20" s="139"/>
      <c r="G20" s="139"/>
      <c r="H20" s="139"/>
      <c r="I20" s="18"/>
      <c r="J20" s="31"/>
      <c r="K20"/>
      <c r="L20" s="292">
        <v>3</v>
      </c>
      <c r="M20" s="293" t="s">
        <v>249</v>
      </c>
      <c r="N20"/>
      <c r="O20"/>
      <c r="P20"/>
      <c r="Q20"/>
      <c r="R20"/>
      <c r="S20"/>
      <c r="T20"/>
      <c r="U20"/>
      <c r="V20"/>
    </row>
    <row r="21" spans="1:22" ht="15" customHeight="1">
      <c r="A21" s="22"/>
      <c r="B21" s="119"/>
      <c r="C21" s="147" t="s">
        <v>260</v>
      </c>
      <c r="D21" s="149"/>
      <c r="E21" s="149">
        <v>606400</v>
      </c>
      <c r="F21" s="139"/>
      <c r="G21" s="139"/>
      <c r="H21" s="139"/>
      <c r="I21" s="18"/>
      <c r="J21" s="31"/>
      <c r="K21" s="48"/>
      <c r="L21" s="274"/>
      <c r="M21" s="109" t="s">
        <v>256</v>
      </c>
      <c r="N21"/>
      <c r="O21"/>
      <c r="P21"/>
      <c r="Q21"/>
      <c r="R21"/>
      <c r="S21"/>
      <c r="T21"/>
      <c r="U21"/>
      <c r="V21"/>
    </row>
    <row r="22" spans="1:22" ht="15" customHeight="1">
      <c r="A22" s="22"/>
      <c r="B22" s="119"/>
      <c r="C22" s="147" t="s">
        <v>261</v>
      </c>
      <c r="D22" s="149"/>
      <c r="E22" s="831">
        <v>1.35E-2</v>
      </c>
      <c r="F22" s="294"/>
      <c r="G22" s="139"/>
      <c r="H22" s="139"/>
      <c r="I22" s="18"/>
      <c r="J22" s="31"/>
      <c r="K22"/>
      <c r="L22" s="292">
        <v>4</v>
      </c>
      <c r="M22" s="293" t="s">
        <v>250</v>
      </c>
      <c r="N22"/>
      <c r="O22"/>
      <c r="P22"/>
      <c r="Q22"/>
      <c r="R22"/>
      <c r="S22"/>
      <c r="T22"/>
      <c r="U22"/>
      <c r="V22"/>
    </row>
    <row r="23" spans="1:22" ht="15" customHeight="1">
      <c r="A23" s="22"/>
      <c r="B23" s="139"/>
      <c r="C23" s="139"/>
      <c r="D23" s="139"/>
      <c r="E23" s="139"/>
      <c r="F23" s="139"/>
      <c r="G23" s="139"/>
      <c r="H23" s="139"/>
      <c r="I23" s="18"/>
      <c r="J23" s="31"/>
      <c r="K23"/>
      <c r="L23" s="274"/>
      <c r="M23" s="109" t="s">
        <v>251</v>
      </c>
      <c r="N23"/>
      <c r="O23"/>
      <c r="P23"/>
      <c r="Q23"/>
      <c r="R23"/>
      <c r="S23"/>
      <c r="T23"/>
      <c r="U23"/>
      <c r="V23"/>
    </row>
    <row r="24" spans="1:22" ht="15" customHeight="1">
      <c r="A24" s="22"/>
      <c r="B24" s="139" t="s">
        <v>262</v>
      </c>
      <c r="C24" s="139"/>
      <c r="D24" s="139"/>
      <c r="E24" s="139"/>
      <c r="F24" s="139"/>
      <c r="G24" s="139"/>
      <c r="H24" s="139"/>
      <c r="I24" s="18"/>
      <c r="J24" s="31"/>
      <c r="K24"/>
      <c r="L24" s="274"/>
      <c r="M24" s="109" t="s">
        <v>252</v>
      </c>
      <c r="N24"/>
      <c r="O24"/>
      <c r="P24"/>
      <c r="Q24"/>
      <c r="R24"/>
      <c r="S24"/>
      <c r="T24"/>
      <c r="U24"/>
      <c r="V24"/>
    </row>
    <row r="25" spans="1:22" ht="15" customHeight="1">
      <c r="A25" s="22"/>
      <c r="B25" s="17"/>
      <c r="C25" s="17"/>
      <c r="D25" s="17"/>
      <c r="E25" s="17"/>
      <c r="F25" s="17"/>
      <c r="G25" s="17"/>
      <c r="H25" s="17"/>
      <c r="I25" s="18"/>
      <c r="J25" s="31"/>
      <c r="K25"/>
      <c r="L25" s="292">
        <v>5</v>
      </c>
      <c r="M25" s="293" t="s">
        <v>253</v>
      </c>
      <c r="N25"/>
      <c r="O25"/>
      <c r="P25"/>
      <c r="Q25"/>
      <c r="R25"/>
      <c r="S25"/>
      <c r="T25"/>
      <c r="U25"/>
      <c r="V25"/>
    </row>
    <row r="26" spans="1:22" ht="15" customHeight="1">
      <c r="A26" s="22"/>
      <c r="B26" s="17"/>
      <c r="C26" s="17"/>
      <c r="D26" s="17"/>
      <c r="E26" s="17"/>
      <c r="F26" s="17"/>
      <c r="G26" s="17"/>
      <c r="H26" s="17"/>
      <c r="I26" s="18"/>
      <c r="J26" s="31"/>
      <c r="L26" s="109"/>
      <c r="M26" s="109" t="s">
        <v>254</v>
      </c>
      <c r="N26"/>
      <c r="O26"/>
      <c r="P26"/>
      <c r="Q26"/>
      <c r="R26"/>
      <c r="S26"/>
      <c r="T26"/>
      <c r="U26"/>
      <c r="V26"/>
    </row>
    <row r="27" spans="1:22" ht="15" customHeight="1">
      <c r="A27" s="22"/>
      <c r="B27" s="17"/>
      <c r="C27" s="17"/>
      <c r="D27" s="17"/>
      <c r="E27" s="17"/>
      <c r="F27" s="17"/>
      <c r="G27" s="17"/>
      <c r="H27" s="17"/>
      <c r="I27" s="18"/>
      <c r="J27" s="31"/>
    </row>
    <row r="28" spans="1:22" ht="15" customHeight="1">
      <c r="A28" s="22"/>
      <c r="B28" s="17"/>
      <c r="C28" s="17"/>
      <c r="D28" s="17"/>
      <c r="E28" s="17"/>
      <c r="F28" s="17"/>
      <c r="G28" s="17"/>
      <c r="H28" s="17"/>
      <c r="I28" s="18"/>
      <c r="J28" s="31"/>
      <c r="K28" s="295" t="s">
        <v>5</v>
      </c>
      <c r="L28" s="151" t="s">
        <v>107</v>
      </c>
      <c r="M28" s="37" t="s">
        <v>263</v>
      </c>
      <c r="N28" s="37"/>
      <c r="O28" s="37"/>
      <c r="P28" s="37"/>
      <c r="Q28" s="37"/>
      <c r="R28" s="37"/>
      <c r="S28" s="37"/>
      <c r="T28" s="37"/>
      <c r="U28" s="37"/>
    </row>
    <row r="29" spans="1:22" ht="15" customHeight="1">
      <c r="A29" s="22"/>
      <c r="B29" s="17"/>
      <c r="C29" s="17"/>
      <c r="D29" s="17"/>
      <c r="E29" s="17"/>
      <c r="F29" s="17"/>
      <c r="G29" s="17"/>
      <c r="H29" s="17"/>
      <c r="I29" s="18"/>
      <c r="J29" s="31"/>
      <c r="L29" s="37"/>
      <c r="M29" s="37"/>
      <c r="N29" s="37"/>
      <c r="O29" s="37"/>
      <c r="P29" s="37"/>
      <c r="Q29" s="37"/>
      <c r="R29" s="37"/>
      <c r="S29" s="37"/>
      <c r="T29" s="37"/>
      <c r="U29" s="37"/>
    </row>
    <row r="30" spans="1:22" ht="15" customHeight="1" thickBot="1">
      <c r="A30" s="24"/>
      <c r="B30" s="32"/>
      <c r="C30" s="32"/>
      <c r="D30" s="32"/>
      <c r="E30" s="32"/>
      <c r="F30" s="32"/>
      <c r="G30" s="32"/>
      <c r="H30" s="32"/>
      <c r="I30" s="33"/>
      <c r="J30" s="31"/>
      <c r="K30"/>
      <c r="L30" s="121"/>
      <c r="M30" s="296"/>
      <c r="N30" s="161"/>
      <c r="O30" s="297" t="s">
        <v>103</v>
      </c>
      <c r="P30" s="297" t="s">
        <v>264</v>
      </c>
      <c r="Q30" s="298" t="s">
        <v>264</v>
      </c>
      <c r="R30" s="121"/>
      <c r="S30" s="121"/>
      <c r="T30" s="121"/>
      <c r="U30" s="121"/>
    </row>
    <row r="31" spans="1:22" ht="15" customHeight="1">
      <c r="B31" s="31"/>
      <c r="C31" s="31"/>
      <c r="D31" s="31"/>
      <c r="E31" s="31"/>
      <c r="F31" s="31"/>
      <c r="G31" s="31"/>
      <c r="H31" s="31"/>
      <c r="I31" s="31"/>
      <c r="J31" s="31"/>
      <c r="K31"/>
      <c r="L31" s="121"/>
      <c r="M31" s="299" t="s">
        <v>265</v>
      </c>
      <c r="N31" s="300"/>
      <c r="O31" s="115" t="s">
        <v>266</v>
      </c>
      <c r="P31" s="115" t="s">
        <v>103</v>
      </c>
      <c r="Q31" s="116" t="s">
        <v>267</v>
      </c>
      <c r="R31" s="121"/>
      <c r="S31" s="121"/>
      <c r="T31" s="121"/>
      <c r="U31" s="121"/>
    </row>
    <row r="32" spans="1:22" ht="15" customHeight="1">
      <c r="J32" s="31"/>
      <c r="K32"/>
      <c r="L32" s="121"/>
      <c r="M32" s="127">
        <f>0</f>
        <v>0</v>
      </c>
      <c r="N32" s="129">
        <f>E21</f>
        <v>606400</v>
      </c>
      <c r="O32" s="301">
        <f>E21/E20</f>
        <v>0.8</v>
      </c>
      <c r="P32" s="111">
        <f>AVERAGE(M32,N32)</f>
        <v>303200</v>
      </c>
      <c r="Q32" s="112">
        <f>MIN(P32,E21)</f>
        <v>303200</v>
      </c>
      <c r="R32" s="121"/>
      <c r="S32" s="121"/>
      <c r="T32" s="121"/>
      <c r="U32" s="121"/>
    </row>
    <row r="33" spans="2:21" ht="15" customHeight="1">
      <c r="J33" s="31"/>
      <c r="K33"/>
      <c r="L33" s="121"/>
      <c r="M33" s="132">
        <f>E21</f>
        <v>606400</v>
      </c>
      <c r="N33" s="134">
        <f>E20</f>
        <v>758000</v>
      </c>
      <c r="O33" s="302">
        <f>1-O32</f>
        <v>0.19999999999999996</v>
      </c>
      <c r="P33" s="115">
        <f>AVERAGE(M33,N33)</f>
        <v>682200</v>
      </c>
      <c r="Q33" s="116">
        <f>MIN(P33,E21)</f>
        <v>606400</v>
      </c>
      <c r="R33" s="121"/>
      <c r="S33" s="121"/>
      <c r="T33" s="121"/>
      <c r="U33" s="121"/>
    </row>
    <row r="34" spans="2:21" ht="15" customHeight="1">
      <c r="J34" s="31"/>
      <c r="K34" s="48"/>
      <c r="L34" s="121"/>
      <c r="M34" s="121"/>
      <c r="N34" s="121"/>
      <c r="O34" s="153"/>
      <c r="P34" s="153"/>
      <c r="Q34" s="303">
        <f>SUMPRODUCT(O32:O33,Q32:Q33)</f>
        <v>363840</v>
      </c>
      <c r="R34" s="187" t="s">
        <v>268</v>
      </c>
      <c r="S34" s="121"/>
      <c r="T34" s="121"/>
      <c r="U34" s="121"/>
    </row>
    <row r="35" spans="2:21" ht="15" customHeight="1">
      <c r="J35" s="31"/>
      <c r="K35"/>
      <c r="L35" s="121"/>
      <c r="M35" s="121"/>
      <c r="N35" s="121"/>
      <c r="O35" s="121"/>
      <c r="P35" s="121"/>
      <c r="Q35" s="121"/>
      <c r="R35" s="121"/>
      <c r="S35" s="121"/>
      <c r="T35" s="121"/>
      <c r="U35" s="121"/>
    </row>
    <row r="36" spans="2:21" ht="15" customHeight="1">
      <c r="J36" s="31"/>
      <c r="K36" s="48"/>
      <c r="L36" s="121"/>
      <c r="M36" s="121"/>
      <c r="N36" s="121"/>
      <c r="O36" s="121"/>
      <c r="P36" s="121"/>
      <c r="Q36" s="121"/>
      <c r="R36" s="121"/>
      <c r="S36" s="121"/>
      <c r="T36" s="121"/>
      <c r="U36" s="121"/>
    </row>
    <row r="37" spans="2:21" ht="15" customHeight="1">
      <c r="J37" s="31"/>
      <c r="K37"/>
      <c r="L37" s="239" t="s">
        <v>108</v>
      </c>
      <c r="M37" s="121" t="s">
        <v>269</v>
      </c>
      <c r="N37" s="121"/>
      <c r="O37" s="121"/>
      <c r="P37" s="121"/>
      <c r="Q37" s="121"/>
      <c r="R37" s="121"/>
      <c r="S37" s="121"/>
      <c r="T37" s="121"/>
      <c r="U37" s="121"/>
    </row>
    <row r="38" spans="2:21" ht="15" customHeight="1">
      <c r="J38" s="31"/>
      <c r="K38"/>
      <c r="L38" s="121"/>
      <c r="M38" s="121"/>
      <c r="N38" s="121"/>
      <c r="O38" s="121"/>
      <c r="P38" s="121"/>
      <c r="Q38" s="121"/>
      <c r="R38" s="121"/>
      <c r="S38" s="121"/>
      <c r="T38" s="121"/>
      <c r="U38" s="121"/>
    </row>
    <row r="39" spans="2:21" ht="15" customHeight="1">
      <c r="J39" s="31"/>
      <c r="K39"/>
      <c r="L39" s="121"/>
      <c r="M39" s="172" t="s">
        <v>270</v>
      </c>
      <c r="N39" s="153" t="s">
        <v>34</v>
      </c>
      <c r="O39" s="153" t="s">
        <v>271</v>
      </c>
      <c r="P39" s="153" t="s">
        <v>227</v>
      </c>
      <c r="Q39" s="153" t="s">
        <v>272</v>
      </c>
      <c r="R39" s="121"/>
      <c r="S39" s="121"/>
      <c r="T39" s="121"/>
      <c r="U39" s="121"/>
    </row>
    <row r="40" spans="2:21" ht="15" customHeight="1">
      <c r="J40" s="31"/>
      <c r="K40"/>
      <c r="L40" s="121"/>
      <c r="M40" s="121"/>
      <c r="N40" s="153" t="s">
        <v>34</v>
      </c>
      <c r="O40" s="243">
        <f>E22</f>
        <v>1.35E-2</v>
      </c>
      <c r="P40" s="153" t="s">
        <v>227</v>
      </c>
      <c r="Q40" s="304">
        <f>Q34</f>
        <v>363840</v>
      </c>
      <c r="R40" s="121"/>
      <c r="S40" s="121"/>
      <c r="T40" s="121"/>
      <c r="U40" s="121"/>
    </row>
    <row r="41" spans="2:21" ht="15" customHeight="1">
      <c r="J41" s="31"/>
      <c r="K41"/>
      <c r="L41" s="121"/>
      <c r="M41" s="121"/>
      <c r="N41" s="153" t="s">
        <v>34</v>
      </c>
      <c r="O41" s="152">
        <f>O40*Q40</f>
        <v>4911.84</v>
      </c>
      <c r="P41" s="121"/>
      <c r="Q41" s="121"/>
      <c r="R41" s="121"/>
      <c r="S41" s="121"/>
      <c r="T41" s="121"/>
      <c r="U41" s="121"/>
    </row>
    <row r="42" spans="2:21" ht="15" customHeight="1">
      <c r="J42" s="31"/>
      <c r="K42"/>
      <c r="L42" s="121"/>
      <c r="M42" s="121"/>
      <c r="N42" s="121"/>
      <c r="O42" s="121"/>
      <c r="P42" s="121"/>
      <c r="Q42" s="121"/>
      <c r="R42" s="121"/>
      <c r="S42" s="121"/>
      <c r="T42" s="121"/>
      <c r="U42" s="121"/>
    </row>
    <row r="43" spans="2:21" ht="15" customHeight="1">
      <c r="J43" s="31"/>
      <c r="K43"/>
      <c r="L43" s="121"/>
      <c r="M43" s="172" t="s">
        <v>273</v>
      </c>
      <c r="N43" s="153" t="s">
        <v>34</v>
      </c>
      <c r="O43" s="305" t="s">
        <v>274</v>
      </c>
      <c r="P43" s="276" t="s">
        <v>275</v>
      </c>
      <c r="Q43" s="121" t="s">
        <v>260</v>
      </c>
      <c r="R43" s="155" t="s">
        <v>36</v>
      </c>
      <c r="S43" s="121">
        <v>1000</v>
      </c>
      <c r="T43" s="121" t="s">
        <v>276</v>
      </c>
      <c r="U43" s="121"/>
    </row>
    <row r="44" spans="2:21" ht="15" customHeight="1">
      <c r="J44" s="31"/>
      <c r="K44"/>
      <c r="L44" s="121"/>
      <c r="M44" s="121"/>
      <c r="N44" s="153" t="s">
        <v>34</v>
      </c>
      <c r="O44" s="152">
        <f>O41</f>
        <v>4911.84</v>
      </c>
      <c r="P44" s="276" t="s">
        <v>275</v>
      </c>
      <c r="Q44" s="152">
        <f>E21</f>
        <v>606400</v>
      </c>
      <c r="R44" s="155" t="s">
        <v>36</v>
      </c>
      <c r="S44" s="121">
        <f>S43</f>
        <v>1000</v>
      </c>
      <c r="T44" s="121" t="s">
        <v>276</v>
      </c>
      <c r="U44" s="121"/>
    </row>
    <row r="45" spans="2:21" ht="15" customHeight="1">
      <c r="J45" s="31"/>
      <c r="K45"/>
      <c r="L45" s="121"/>
      <c r="M45" s="121"/>
      <c r="N45" s="153" t="s">
        <v>34</v>
      </c>
      <c r="O45" s="306">
        <f>O44/(Q44/S44)</f>
        <v>8.1000000000000014</v>
      </c>
      <c r="P45" s="121"/>
      <c r="Q45" s="121"/>
      <c r="R45" s="121"/>
      <c r="S45" s="121"/>
      <c r="T45" s="121"/>
      <c r="U45" s="121"/>
    </row>
    <row r="46" spans="2:21" ht="15" customHeight="1">
      <c r="B46" s="31"/>
      <c r="C46" s="31"/>
      <c r="D46" s="31"/>
      <c r="E46" s="31"/>
      <c r="F46" s="31"/>
      <c r="G46" s="31"/>
      <c r="H46" s="31"/>
      <c r="I46" s="31"/>
      <c r="J46" s="31"/>
      <c r="K46"/>
      <c r="L46" s="121"/>
      <c r="M46" s="121"/>
      <c r="N46" s="121"/>
      <c r="O46" s="159" t="s">
        <v>110</v>
      </c>
      <c r="P46" s="121"/>
      <c r="Q46" s="121"/>
      <c r="R46" s="121"/>
      <c r="S46" s="121"/>
      <c r="T46" s="121"/>
      <c r="U46" s="121"/>
    </row>
    <row r="47" spans="2:21" ht="15" customHeight="1">
      <c r="B47" s="31"/>
      <c r="C47" s="31"/>
      <c r="D47" s="31"/>
      <c r="E47" s="31"/>
      <c r="F47" s="31"/>
      <c r="G47" s="31"/>
      <c r="H47" s="31"/>
      <c r="I47" s="31"/>
      <c r="J47" s="31"/>
      <c r="K47"/>
      <c r="L47" s="121"/>
      <c r="M47" s="121"/>
      <c r="N47" s="121"/>
      <c r="O47" s="121"/>
      <c r="P47" s="121"/>
      <c r="Q47" s="121"/>
      <c r="R47" s="121"/>
      <c r="S47" s="121"/>
      <c r="T47" s="121"/>
      <c r="U47" s="121"/>
    </row>
    <row r="48" spans="2:21" ht="15" customHeight="1">
      <c r="B48" s="31"/>
      <c r="C48" s="31"/>
      <c r="D48" s="31"/>
      <c r="E48" s="31"/>
      <c r="F48" s="31"/>
      <c r="G48" s="31"/>
      <c r="H48" s="31"/>
      <c r="I48" s="31"/>
      <c r="J48" s="31"/>
      <c r="K48"/>
      <c r="L48" s="307" t="s">
        <v>277</v>
      </c>
      <c r="M48" s="121" t="s">
        <v>278</v>
      </c>
      <c r="N48" s="121"/>
      <c r="O48" s="121"/>
      <c r="P48" s="121"/>
      <c r="Q48" s="121"/>
      <c r="R48" s="121"/>
      <c r="S48" s="121"/>
      <c r="T48" s="121"/>
      <c r="U48" s="308">
        <f>E20/2*E22/(E20/1000)</f>
        <v>6.75</v>
      </c>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c r="K61" s="48"/>
      <c r="L61" s="37"/>
      <c r="M61" s="37"/>
      <c r="N61" s="37"/>
    </row>
    <row r="62" spans="2:21" ht="15" customHeight="1">
      <c r="B62" s="31"/>
      <c r="C62" s="31"/>
      <c r="D62" s="31"/>
      <c r="E62" s="31"/>
      <c r="F62" s="31"/>
      <c r="G62" s="31"/>
      <c r="H62" s="31"/>
      <c r="I62" s="31"/>
      <c r="J62" s="31"/>
      <c r="K62" s="48"/>
      <c r="L62" s="37"/>
      <c r="M62" s="37"/>
      <c r="N62" s="37"/>
    </row>
    <row r="63" spans="2:21" ht="15" customHeight="1">
      <c r="B63" s="31"/>
      <c r="C63" s="31"/>
      <c r="D63" s="31"/>
      <c r="E63" s="31"/>
      <c r="F63" s="31"/>
      <c r="G63" s="31"/>
      <c r="H63" s="31"/>
      <c r="I63" s="31"/>
      <c r="J63" s="31"/>
      <c r="K63"/>
      <c r="L63" s="292"/>
      <c r="M63" s="293"/>
      <c r="N63" s="37"/>
    </row>
    <row r="64" spans="2:21" ht="15" customHeight="1">
      <c r="B64" s="31"/>
      <c r="C64" s="31"/>
      <c r="D64" s="31"/>
      <c r="E64" s="31"/>
      <c r="F64" s="31"/>
      <c r="G64" s="31"/>
      <c r="H64" s="31"/>
      <c r="I64" s="31"/>
      <c r="J64" s="31"/>
      <c r="K64"/>
      <c r="L64" s="274"/>
      <c r="M64" s="109"/>
      <c r="N64" s="37"/>
    </row>
    <row r="65" spans="2:14" ht="15" customHeight="1">
      <c r="B65" s="31"/>
      <c r="C65" s="31"/>
      <c r="D65" s="31"/>
      <c r="E65" s="31"/>
      <c r="F65" s="31"/>
      <c r="G65" s="31"/>
      <c r="H65" s="31"/>
      <c r="I65" s="31"/>
      <c r="J65" s="31"/>
      <c r="K65"/>
      <c r="L65" s="292"/>
      <c r="M65" s="293"/>
      <c r="N65" s="37"/>
    </row>
    <row r="66" spans="2:14" ht="15" customHeight="1">
      <c r="B66" s="31"/>
      <c r="C66" s="31"/>
      <c r="D66" s="31"/>
      <c r="E66" s="31"/>
      <c r="F66" s="31"/>
      <c r="G66" s="31"/>
      <c r="H66" s="31"/>
      <c r="I66" s="31"/>
      <c r="J66" s="31"/>
      <c r="K66" s="48"/>
      <c r="L66" s="274"/>
      <c r="M66" s="109"/>
      <c r="N66" s="37"/>
    </row>
    <row r="67" spans="2:14" ht="15" customHeight="1">
      <c r="B67" s="31"/>
      <c r="C67" s="31"/>
      <c r="D67" s="31"/>
      <c r="E67" s="31"/>
      <c r="F67" s="31"/>
      <c r="G67" s="31"/>
      <c r="H67" s="31"/>
      <c r="I67" s="31"/>
      <c r="J67" s="31"/>
      <c r="K67"/>
      <c r="L67" s="292"/>
      <c r="M67" s="293"/>
      <c r="N67" s="37"/>
    </row>
    <row r="68" spans="2:14" ht="15" customHeight="1">
      <c r="B68" s="31"/>
      <c r="C68" s="31"/>
      <c r="D68" s="31"/>
      <c r="E68" s="31"/>
      <c r="F68" s="31"/>
      <c r="G68" s="31"/>
      <c r="H68" s="31"/>
      <c r="I68" s="31"/>
      <c r="J68" s="31"/>
      <c r="K68"/>
      <c r="L68" s="274"/>
      <c r="M68" s="109"/>
      <c r="N68" s="37"/>
    </row>
    <row r="69" spans="2:14" ht="15" customHeight="1">
      <c r="B69" s="31"/>
      <c r="C69" s="31"/>
      <c r="D69" s="31"/>
      <c r="E69" s="31"/>
      <c r="F69" s="31"/>
      <c r="G69" s="31"/>
      <c r="H69" s="31"/>
      <c r="I69" s="31"/>
      <c r="J69" s="31"/>
      <c r="K69" s="48"/>
      <c r="L69" s="292"/>
      <c r="M69" s="293"/>
      <c r="N69" s="37"/>
    </row>
    <row r="70" spans="2:14" ht="15" customHeight="1">
      <c r="B70" s="31"/>
      <c r="C70" s="31"/>
      <c r="D70" s="31"/>
      <c r="E70" s="31"/>
      <c r="F70" s="31"/>
      <c r="G70" s="31"/>
      <c r="H70" s="31"/>
      <c r="I70" s="31"/>
      <c r="J70" s="31"/>
      <c r="K70"/>
      <c r="L70" s="274"/>
      <c r="M70" s="109"/>
      <c r="N70" s="37"/>
    </row>
    <row r="71" spans="2:14" ht="15" customHeight="1">
      <c r="B71" s="31"/>
      <c r="C71" s="31"/>
      <c r="D71" s="31"/>
      <c r="E71" s="31"/>
      <c r="F71" s="31"/>
      <c r="G71" s="31"/>
      <c r="H71" s="31"/>
      <c r="I71" s="31"/>
      <c r="J71" s="31"/>
      <c r="K71"/>
      <c r="L71" s="274"/>
      <c r="M71" s="109"/>
      <c r="N71" s="37"/>
    </row>
    <row r="72" spans="2:14" ht="15" customHeight="1">
      <c r="B72" s="31"/>
      <c r="C72" s="31"/>
      <c r="D72" s="31"/>
      <c r="E72" s="31"/>
      <c r="F72" s="31"/>
      <c r="G72" s="31"/>
      <c r="H72" s="31"/>
      <c r="I72" s="31"/>
      <c r="J72" s="31"/>
      <c r="K72"/>
      <c r="L72" s="292"/>
      <c r="M72" s="293"/>
      <c r="N72" s="37"/>
    </row>
    <row r="73" spans="2:14" ht="15" customHeight="1">
      <c r="B73" s="31"/>
      <c r="C73" s="31"/>
      <c r="D73" s="31"/>
      <c r="E73" s="31"/>
      <c r="F73" s="31"/>
      <c r="G73" s="31"/>
      <c r="H73" s="31"/>
      <c r="I73" s="31"/>
      <c r="J73" s="31"/>
      <c r="K73"/>
      <c r="L73" s="109"/>
      <c r="M73" s="109"/>
      <c r="N73" s="37"/>
    </row>
    <row r="74" spans="2:14" ht="15" customHeight="1">
      <c r="B74" s="31"/>
      <c r="C74" s="31"/>
      <c r="D74" s="31"/>
      <c r="E74" s="31"/>
      <c r="F74" s="31"/>
      <c r="G74" s="31"/>
      <c r="H74" s="31"/>
      <c r="I74" s="31"/>
      <c r="J74" s="31"/>
    </row>
    <row r="75" spans="2:14" ht="15" customHeight="1">
      <c r="B75" s="31"/>
      <c r="C75" s="31"/>
      <c r="D75" s="31"/>
      <c r="E75" s="31"/>
      <c r="F75" s="31"/>
      <c r="G75" s="31"/>
      <c r="H75" s="31"/>
      <c r="I75" s="31"/>
      <c r="J75" s="31"/>
    </row>
    <row r="76" spans="2:14" ht="15" customHeight="1">
      <c r="B76" s="31"/>
      <c r="C76" s="31"/>
      <c r="D76" s="31"/>
      <c r="E76" s="31"/>
      <c r="F76" s="31"/>
      <c r="G76" s="31"/>
      <c r="H76" s="31"/>
      <c r="I76" s="31"/>
      <c r="J76" s="31"/>
    </row>
    <row r="77" spans="2:14" ht="15" customHeight="1">
      <c r="B77" s="31"/>
      <c r="C77" s="31"/>
      <c r="D77" s="31"/>
      <c r="E77" s="31"/>
      <c r="F77" s="31"/>
      <c r="G77" s="31"/>
      <c r="H77" s="31"/>
      <c r="I77" s="31"/>
      <c r="J77" s="31"/>
    </row>
    <row r="78" spans="2:14" ht="15" customHeight="1">
      <c r="B78" s="31"/>
      <c r="C78" s="31"/>
      <c r="D78" s="31"/>
      <c r="E78" s="31"/>
      <c r="F78" s="31"/>
      <c r="G78" s="31"/>
      <c r="H78" s="31"/>
      <c r="I78" s="31"/>
      <c r="J78" s="31"/>
    </row>
    <row r="79" spans="2:14" ht="15" customHeight="1">
      <c r="B79" s="31"/>
      <c r="C79" s="31"/>
      <c r="D79" s="31"/>
      <c r="E79" s="31"/>
      <c r="F79" s="31"/>
      <c r="G79" s="31"/>
      <c r="H79" s="31"/>
      <c r="I79" s="31"/>
      <c r="J79" s="31"/>
    </row>
    <row r="80" spans="2:14"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44" priority="1" operator="equal">
      <formula>"Incomplete"</formula>
    </cfRule>
    <cfRule type="cellIs" dxfId="43" priority="2" operator="equal">
      <formula>"Flag for Review"</formula>
    </cfRule>
    <cfRule type="cellIs" dxfId="4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W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17</v>
      </c>
      <c r="B1" s="27" t="s">
        <v>12</v>
      </c>
      <c r="C1" s="20"/>
      <c r="D1" s="20"/>
      <c r="E1" s="20"/>
      <c r="F1" s="20"/>
      <c r="G1" s="20"/>
      <c r="H1" s="886" t="s">
        <v>24</v>
      </c>
      <c r="I1" s="887"/>
      <c r="K1" s="1" t="s">
        <v>33</v>
      </c>
      <c r="L1" s="52" t="str">
        <f>VLOOKUP(A1,'Point Grid'!$L$8:$T$54,9,FALSE)</f>
        <v>Pricing - Chap 14: Implementation</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858</v>
      </c>
      <c r="M3"/>
      <c r="N3"/>
      <c r="O3"/>
      <c r="P3"/>
      <c r="Q3"/>
      <c r="R3"/>
      <c r="S3"/>
      <c r="T3"/>
      <c r="U3"/>
    </row>
    <row r="4" spans="1:21">
      <c r="A4" s="9">
        <f>INDEX('Point Grid'!B:B,MATCH(A1,'Point Grid'!A:A,0))</f>
        <v>2.5</v>
      </c>
      <c r="B4" s="17"/>
      <c r="C4" s="17"/>
      <c r="D4" s="17"/>
      <c r="E4" s="17"/>
      <c r="F4" s="17"/>
      <c r="G4" s="17"/>
      <c r="H4" s="17"/>
      <c r="I4" s="18"/>
      <c r="J4" s="31"/>
      <c r="K4" s="48"/>
      <c r="L4"/>
      <c r="M4"/>
      <c r="N4"/>
      <c r="O4"/>
      <c r="P4"/>
      <c r="Q4"/>
      <c r="R4"/>
      <c r="S4"/>
      <c r="T4"/>
      <c r="U4"/>
    </row>
    <row r="5" spans="1:21">
      <c r="A5" s="16"/>
      <c r="B5" s="17"/>
      <c r="C5" s="17"/>
      <c r="D5" s="17"/>
      <c r="E5" s="17"/>
      <c r="F5" s="17"/>
      <c r="G5" s="17"/>
      <c r="H5" s="17"/>
      <c r="I5" s="18"/>
      <c r="J5" s="31"/>
      <c r="L5"/>
      <c r="M5" s="48" t="s">
        <v>856</v>
      </c>
      <c r="N5" s="295" t="s">
        <v>34</v>
      </c>
      <c r="O5" s="295" t="s">
        <v>700</v>
      </c>
      <c r="P5" s="295" t="s">
        <v>35</v>
      </c>
      <c r="Q5" s="295" t="s">
        <v>104</v>
      </c>
      <c r="R5" s="295" t="s">
        <v>35</v>
      </c>
      <c r="S5" s="295" t="s">
        <v>859</v>
      </c>
      <c r="T5" s="295" t="s">
        <v>35</v>
      </c>
      <c r="U5" s="836" t="s">
        <v>860</v>
      </c>
    </row>
    <row r="6" spans="1:21">
      <c r="A6" s="25" t="s">
        <v>2</v>
      </c>
      <c r="B6" s="17" t="s">
        <v>855</v>
      </c>
      <c r="C6" s="17"/>
      <c r="D6" s="17"/>
      <c r="E6" s="17"/>
      <c r="F6" s="17"/>
      <c r="G6" s="17"/>
      <c r="H6" s="17"/>
      <c r="I6" s="18"/>
      <c r="J6" s="31"/>
      <c r="M6" s="835">
        <f>E8</f>
        <v>1000</v>
      </c>
      <c r="N6" s="295" t="s">
        <v>34</v>
      </c>
      <c r="O6" s="835">
        <f>E9</f>
        <v>700</v>
      </c>
      <c r="P6" s="295" t="s">
        <v>35</v>
      </c>
      <c r="Q6" s="835">
        <f>E10</f>
        <v>100</v>
      </c>
      <c r="R6" s="295" t="s">
        <v>35</v>
      </c>
      <c r="S6" s="835">
        <f>E11</f>
        <v>50</v>
      </c>
      <c r="T6" s="295" t="s">
        <v>35</v>
      </c>
      <c r="U6" s="836" t="s">
        <v>860</v>
      </c>
    </row>
    <row r="7" spans="1:21" ht="15.75" thickBot="1">
      <c r="A7" s="9">
        <f>INDEX('Point Grid'!$C$8:$I$54,MATCH($A$1,'Point Grid'!$A$8:$A$54,0),MATCH(A6,'Point Grid'!$C$7:$I$7,0))</f>
        <v>0.5</v>
      </c>
      <c r="B7" s="17"/>
      <c r="C7" s="17"/>
      <c r="D7" s="17"/>
      <c r="E7" s="17"/>
      <c r="F7" s="17"/>
      <c r="G7" s="17"/>
      <c r="H7" s="17"/>
      <c r="I7" s="18"/>
      <c r="J7" s="31"/>
      <c r="M7" s="835">
        <f>E9</f>
        <v>700</v>
      </c>
      <c r="N7" s="295" t="s">
        <v>34</v>
      </c>
      <c r="O7" s="835">
        <f>O6+Q6+S6</f>
        <v>850</v>
      </c>
      <c r="P7" s="295" t="s">
        <v>35</v>
      </c>
      <c r="Q7" s="836" t="s">
        <v>860</v>
      </c>
      <c r="U7"/>
    </row>
    <row r="8" spans="1:21" ht="15.75" thickBot="1">
      <c r="A8" s="5"/>
      <c r="B8" s="17"/>
      <c r="C8" s="77" t="s">
        <v>856</v>
      </c>
      <c r="D8" s="832"/>
      <c r="E8" s="832">
        <v>1000</v>
      </c>
      <c r="F8" s="28"/>
      <c r="G8" s="28"/>
      <c r="H8" s="28"/>
      <c r="I8" s="18"/>
      <c r="J8" s="31"/>
      <c r="U8"/>
    </row>
    <row r="9" spans="1:21">
      <c r="A9" s="25"/>
      <c r="B9" s="17"/>
      <c r="C9" s="79" t="s">
        <v>700</v>
      </c>
      <c r="D9" s="833"/>
      <c r="E9" s="833">
        <v>700</v>
      </c>
      <c r="F9" s="17"/>
      <c r="G9" s="17"/>
      <c r="H9" s="17"/>
      <c r="I9" s="18"/>
      <c r="J9" s="31"/>
      <c r="K9" s="839"/>
      <c r="L9" s="837"/>
      <c r="M9" s="840" t="s">
        <v>861</v>
      </c>
      <c r="N9" s="295" t="s">
        <v>34</v>
      </c>
      <c r="O9" s="838">
        <v>150</v>
      </c>
    </row>
    <row r="10" spans="1:21">
      <c r="A10" s="25"/>
      <c r="B10" s="17"/>
      <c r="C10" s="79" t="s">
        <v>104</v>
      </c>
      <c r="D10" s="833"/>
      <c r="E10" s="833">
        <v>100</v>
      </c>
      <c r="F10" s="17"/>
      <c r="G10" s="17"/>
      <c r="H10" s="17"/>
      <c r="I10" s="18"/>
      <c r="J10" s="31"/>
    </row>
    <row r="11" spans="1:21">
      <c r="A11" s="25"/>
      <c r="B11" s="17"/>
      <c r="C11" s="81" t="s">
        <v>857</v>
      </c>
      <c r="D11" s="834"/>
      <c r="E11" s="834">
        <v>50</v>
      </c>
      <c r="F11" s="17"/>
      <c r="G11" s="17"/>
      <c r="H11" s="17"/>
      <c r="I11" s="18"/>
      <c r="J11" s="31"/>
      <c r="K11" s="48" t="s">
        <v>3</v>
      </c>
      <c r="L11" s="1" t="s">
        <v>864</v>
      </c>
      <c r="M11" s="1"/>
      <c r="N11" s="841" t="s">
        <v>865</v>
      </c>
      <c r="O11"/>
      <c r="P11"/>
      <c r="Q11"/>
      <c r="R11"/>
      <c r="S11"/>
      <c r="T11"/>
      <c r="U11"/>
    </row>
    <row r="12" spans="1:21">
      <c r="A12" s="25"/>
      <c r="B12" s="17"/>
      <c r="C12" s="17"/>
      <c r="D12" s="17"/>
      <c r="E12" s="17"/>
      <c r="F12" s="17"/>
      <c r="G12" s="17"/>
      <c r="H12" s="17"/>
      <c r="I12" s="18"/>
      <c r="J12" s="31"/>
      <c r="K12" s="48"/>
      <c r="L12" s="274"/>
      <c r="M12" s="109" t="s">
        <v>280</v>
      </c>
      <c r="N12"/>
      <c r="O12"/>
      <c r="P12"/>
      <c r="Q12"/>
      <c r="R12"/>
      <c r="S12"/>
      <c r="T12"/>
      <c r="U12"/>
    </row>
    <row r="13" spans="1:21">
      <c r="A13" s="25" t="s">
        <v>3</v>
      </c>
      <c r="B13" s="17" t="s">
        <v>862</v>
      </c>
      <c r="C13" s="17"/>
      <c r="D13" s="17"/>
      <c r="E13" s="17"/>
      <c r="F13" s="17"/>
      <c r="G13" s="17"/>
      <c r="H13" s="17"/>
      <c r="I13" s="18"/>
      <c r="J13" s="31"/>
      <c r="K13" s="48"/>
      <c r="L13" s="274"/>
      <c r="M13" s="109" t="s">
        <v>281</v>
      </c>
      <c r="N13"/>
      <c r="O13"/>
      <c r="P13"/>
      <c r="Q13"/>
      <c r="R13"/>
      <c r="S13"/>
      <c r="T13"/>
      <c r="U13"/>
    </row>
    <row r="14" spans="1:21" ht="15.75" thickBot="1">
      <c r="A14" s="9">
        <f>INDEX('Point Grid'!$C$8:$I$54,MATCH($A$1,'Point Grid'!$A$8:$A$54,0),MATCH(A13,'Point Grid'!$C$7:$I$7,0))</f>
        <v>0.5</v>
      </c>
      <c r="B14" s="17" t="s">
        <v>863</v>
      </c>
      <c r="C14" s="17"/>
      <c r="D14" s="17"/>
      <c r="E14" s="17"/>
      <c r="F14" s="17"/>
      <c r="G14" s="17"/>
      <c r="H14" s="17"/>
      <c r="I14" s="18"/>
      <c r="J14" s="31"/>
      <c r="K14"/>
      <c r="L14" s="274"/>
      <c r="M14" s="109" t="s">
        <v>282</v>
      </c>
      <c r="N14"/>
      <c r="O14"/>
      <c r="P14"/>
      <c r="Q14"/>
      <c r="R14"/>
      <c r="S14"/>
      <c r="T14"/>
      <c r="U14"/>
    </row>
    <row r="15" spans="1:21" ht="15.75" thickBot="1">
      <c r="A15" s="5"/>
      <c r="B15" s="17"/>
      <c r="C15" s="28"/>
      <c r="D15" s="28"/>
      <c r="E15" s="28"/>
      <c r="F15" s="28"/>
      <c r="G15" s="28"/>
      <c r="H15" s="28"/>
      <c r="I15" s="18"/>
      <c r="J15" s="31"/>
      <c r="K15" s="48"/>
      <c r="L15" s="274"/>
      <c r="M15" s="109"/>
      <c r="N15"/>
      <c r="O15"/>
      <c r="P15"/>
      <c r="Q15"/>
      <c r="R15"/>
      <c r="S15"/>
      <c r="U15"/>
    </row>
    <row r="16" spans="1:21">
      <c r="A16" s="25"/>
      <c r="B16" s="17"/>
      <c r="C16" s="28"/>
      <c r="D16" s="28"/>
      <c r="E16" s="28"/>
      <c r="F16" s="28"/>
      <c r="G16" s="28"/>
      <c r="H16" s="28"/>
      <c r="I16" s="18"/>
      <c r="J16" s="31"/>
      <c r="K16" s="48" t="s">
        <v>4</v>
      </c>
      <c r="L16" s="151" t="s">
        <v>107</v>
      </c>
      <c r="M16" s="37" t="s">
        <v>298</v>
      </c>
      <c r="N16" s="37"/>
      <c r="O16" s="37"/>
      <c r="P16" s="37"/>
      <c r="Q16" s="37"/>
      <c r="R16" s="37"/>
      <c r="S16" s="37"/>
      <c r="T16"/>
      <c r="U16"/>
    </row>
    <row r="17" spans="1:23">
      <c r="A17" s="25" t="s">
        <v>4</v>
      </c>
      <c r="B17" s="17" t="s">
        <v>283</v>
      </c>
      <c r="C17" s="17"/>
      <c r="D17" s="17"/>
      <c r="E17" s="17"/>
      <c r="F17" s="17"/>
      <c r="G17" s="17"/>
      <c r="H17" s="17"/>
      <c r="I17" s="18"/>
      <c r="J17" s="31"/>
      <c r="K17"/>
      <c r="L17" s="37"/>
      <c r="M17" s="37"/>
      <c r="N17" s="37"/>
      <c r="O17" s="37"/>
      <c r="P17" s="37"/>
      <c r="Q17" s="37"/>
      <c r="R17" s="37"/>
      <c r="S17" s="37"/>
      <c r="T17"/>
      <c r="U17"/>
    </row>
    <row r="18" spans="1:23" ht="15" customHeight="1" thickBot="1">
      <c r="A18" s="9">
        <f>INDEX('Point Grid'!$C$8:$I$54,MATCH($A$1,'Point Grid'!$A$8:$A$54,0),MATCH(A17,'Point Grid'!$C$7:$I$7,0))</f>
        <v>0.75</v>
      </c>
      <c r="B18" s="17"/>
      <c r="C18" s="17"/>
      <c r="D18" s="17"/>
      <c r="E18" s="17"/>
      <c r="F18" s="17"/>
      <c r="G18" s="17"/>
      <c r="H18" s="17"/>
      <c r="I18" s="18"/>
      <c r="J18" s="31"/>
      <c r="K18"/>
      <c r="L18" s="121"/>
      <c r="M18" s="37"/>
      <c r="N18" s="121"/>
      <c r="O18" s="115" t="s">
        <v>299</v>
      </c>
      <c r="P18" s="153"/>
      <c r="Q18" s="115" t="s">
        <v>291</v>
      </c>
      <c r="R18" s="121"/>
      <c r="S18" s="115" t="s">
        <v>300</v>
      </c>
      <c r="U18"/>
      <c r="W18" s="37"/>
    </row>
    <row r="19" spans="1:23" ht="15" customHeight="1" thickBot="1">
      <c r="A19" s="5"/>
      <c r="B19" s="17"/>
      <c r="C19" s="135" t="s">
        <v>284</v>
      </c>
      <c r="D19" s="136"/>
      <c r="E19" s="137"/>
      <c r="F19" s="424">
        <v>7000</v>
      </c>
      <c r="G19" s="139"/>
      <c r="H19" s="17"/>
      <c r="I19" s="18"/>
      <c r="J19" s="31"/>
      <c r="K19"/>
      <c r="L19" s="121"/>
      <c r="M19" s="121" t="str">
        <f>C25</f>
        <v>commissions</v>
      </c>
      <c r="N19" s="121"/>
      <c r="O19" s="153">
        <f>E25</f>
        <v>1800</v>
      </c>
      <c r="P19" s="153" t="s">
        <v>227</v>
      </c>
      <c r="Q19" s="319">
        <f>G25</f>
        <v>0</v>
      </c>
      <c r="R19" s="153" t="s">
        <v>34</v>
      </c>
      <c r="S19" s="320">
        <f>O19*Q19</f>
        <v>0</v>
      </c>
      <c r="W19" s="37"/>
    </row>
    <row r="20" spans="1:23" ht="15" customHeight="1">
      <c r="A20" s="22"/>
      <c r="B20" s="17"/>
      <c r="C20" s="140" t="s">
        <v>285</v>
      </c>
      <c r="D20" s="141"/>
      <c r="E20" s="142"/>
      <c r="F20" s="167">
        <v>0.05</v>
      </c>
      <c r="G20" s="139"/>
      <c r="H20" s="17"/>
      <c r="I20" s="18"/>
      <c r="J20" s="31"/>
      <c r="K20"/>
      <c r="L20" s="121"/>
      <c r="M20" s="121" t="str">
        <f>C26</f>
        <v>general expenses</v>
      </c>
      <c r="N20" s="121"/>
      <c r="O20" s="153">
        <f>E26</f>
        <v>1000</v>
      </c>
      <c r="P20" s="153" t="s">
        <v>227</v>
      </c>
      <c r="Q20" s="319">
        <f>G26</f>
        <v>0.56000000000000005</v>
      </c>
      <c r="R20" s="153" t="s">
        <v>34</v>
      </c>
      <c r="S20" s="320">
        <f>O20*Q20</f>
        <v>560</v>
      </c>
      <c r="W20" s="121"/>
    </row>
    <row r="21" spans="1:23" ht="15" customHeight="1">
      <c r="A21" s="22"/>
      <c r="B21" s="17"/>
      <c r="C21" s="147" t="s">
        <v>286</v>
      </c>
      <c r="D21" s="148"/>
      <c r="E21" s="149"/>
      <c r="F21" s="842">
        <v>260</v>
      </c>
      <c r="G21" s="139"/>
      <c r="H21" s="17"/>
      <c r="I21" s="18"/>
      <c r="J21" s="31"/>
      <c r="K21"/>
      <c r="L21" s="121"/>
      <c r="M21" s="121" t="str">
        <f>C27</f>
        <v>other acquisition</v>
      </c>
      <c r="N21" s="121"/>
      <c r="O21" s="153">
        <f>E27</f>
        <v>500</v>
      </c>
      <c r="P21" s="153" t="s">
        <v>227</v>
      </c>
      <c r="Q21" s="319">
        <f>G27</f>
        <v>1</v>
      </c>
      <c r="R21" s="153" t="s">
        <v>34</v>
      </c>
      <c r="S21" s="320">
        <f>O21*Q21</f>
        <v>500</v>
      </c>
      <c r="W21" s="121"/>
    </row>
    <row r="22" spans="1:23" ht="15" customHeight="1">
      <c r="A22" s="22"/>
      <c r="B22" s="17"/>
      <c r="C22" s="139"/>
      <c r="D22" s="139"/>
      <c r="E22" s="139"/>
      <c r="F22" s="139"/>
      <c r="G22" s="139"/>
      <c r="H22" s="17"/>
      <c r="I22" s="18"/>
      <c r="J22" s="31"/>
      <c r="K22"/>
      <c r="L22" s="121"/>
      <c r="M22" s="121" t="str">
        <f>C28</f>
        <v>taxes</v>
      </c>
      <c r="N22" s="121"/>
      <c r="O22" s="153">
        <f>E28</f>
        <v>200</v>
      </c>
      <c r="P22" s="153" t="s">
        <v>227</v>
      </c>
      <c r="Q22" s="319">
        <f>G28</f>
        <v>0</v>
      </c>
      <c r="R22" s="153" t="s">
        <v>34</v>
      </c>
      <c r="S22" s="320">
        <f>O22*Q22</f>
        <v>0</v>
      </c>
      <c r="W22" s="121"/>
    </row>
    <row r="23" spans="1:23" ht="15" customHeight="1">
      <c r="A23" s="22"/>
      <c r="B23" s="17"/>
      <c r="C23" s="283" t="s">
        <v>287</v>
      </c>
      <c r="D23" s="284"/>
      <c r="E23" s="283" t="s">
        <v>288</v>
      </c>
      <c r="F23" s="284"/>
      <c r="G23" s="137"/>
      <c r="H23" s="17"/>
      <c r="I23" s="18"/>
      <c r="J23" s="31"/>
      <c r="K23"/>
      <c r="L23" s="121"/>
      <c r="M23" s="121" t="str">
        <f>C29</f>
        <v>licenses &amp; fees</v>
      </c>
      <c r="N23" s="121"/>
      <c r="O23" s="153">
        <f>E29</f>
        <v>100</v>
      </c>
      <c r="P23" s="153" t="s">
        <v>227</v>
      </c>
      <c r="Q23" s="319">
        <f>G29</f>
        <v>1</v>
      </c>
      <c r="R23" s="153" t="s">
        <v>34</v>
      </c>
      <c r="S23" s="320">
        <f>O23*Q23</f>
        <v>100</v>
      </c>
      <c r="W23" s="121"/>
    </row>
    <row r="24" spans="1:23" ht="15" customHeight="1">
      <c r="A24" s="22"/>
      <c r="B24" s="17"/>
      <c r="C24" s="310" t="s">
        <v>289</v>
      </c>
      <c r="D24" s="311"/>
      <c r="E24" s="310" t="s">
        <v>290</v>
      </c>
      <c r="F24" s="311"/>
      <c r="G24" s="272" t="s">
        <v>291</v>
      </c>
      <c r="H24" s="17"/>
      <c r="I24" s="18"/>
      <c r="J24" s="31"/>
      <c r="K24"/>
      <c r="L24" s="121"/>
      <c r="M24" s="121"/>
      <c r="N24" s="121"/>
      <c r="O24" s="321">
        <f>SUM(O19:O23)</f>
        <v>3600</v>
      </c>
      <c r="P24" s="121"/>
      <c r="Q24" s="121"/>
      <c r="R24" s="121"/>
      <c r="S24" s="322">
        <f>SUM(S19:S23)</f>
        <v>1160</v>
      </c>
      <c r="W24" s="121"/>
    </row>
    <row r="25" spans="1:23" ht="15" customHeight="1">
      <c r="A25" s="22"/>
      <c r="B25" s="17"/>
      <c r="C25" s="140" t="s">
        <v>292</v>
      </c>
      <c r="D25" s="142"/>
      <c r="E25" s="312">
        <v>1800</v>
      </c>
      <c r="F25" s="313"/>
      <c r="G25" s="314">
        <v>0</v>
      </c>
      <c r="H25" s="17"/>
      <c r="I25" s="18"/>
      <c r="J25" s="31"/>
      <c r="K25"/>
      <c r="L25" s="37"/>
      <c r="M25" s="37"/>
      <c r="N25" s="37"/>
      <c r="O25" s="37"/>
      <c r="P25" s="37"/>
      <c r="Q25" s="37"/>
      <c r="R25" s="37"/>
      <c r="S25" s="37"/>
      <c r="W25" s="121"/>
    </row>
    <row r="26" spans="1:23" ht="15" customHeight="1">
      <c r="A26" s="22"/>
      <c r="B26" s="17"/>
      <c r="C26" s="140" t="s">
        <v>293</v>
      </c>
      <c r="D26" s="142"/>
      <c r="E26" s="312">
        <v>1000</v>
      </c>
      <c r="F26" s="313"/>
      <c r="G26" s="314">
        <v>0.56000000000000005</v>
      </c>
      <c r="H26" s="17"/>
      <c r="I26" s="18"/>
      <c r="J26" s="31"/>
      <c r="K26"/>
      <c r="L26" s="37"/>
      <c r="M26" s="37"/>
      <c r="N26" s="37"/>
      <c r="O26" s="37"/>
      <c r="P26" s="37"/>
      <c r="Q26" s="37"/>
      <c r="R26" s="37"/>
      <c r="S26" s="37"/>
      <c r="W26" s="121"/>
    </row>
    <row r="27" spans="1:23" ht="15" customHeight="1">
      <c r="A27" s="22"/>
      <c r="B27" s="17"/>
      <c r="C27" s="140" t="s">
        <v>294</v>
      </c>
      <c r="D27" s="142"/>
      <c r="E27" s="312">
        <v>500</v>
      </c>
      <c r="F27" s="313"/>
      <c r="G27" s="314">
        <v>1</v>
      </c>
      <c r="H27" s="17"/>
      <c r="I27" s="18"/>
      <c r="J27" s="31"/>
      <c r="K27"/>
      <c r="L27" s="237" t="s">
        <v>108</v>
      </c>
      <c r="M27" s="121" t="s">
        <v>302</v>
      </c>
      <c r="N27" s="121"/>
      <c r="O27" s="121"/>
      <c r="P27" s="121"/>
      <c r="Q27" s="121"/>
      <c r="R27" s="121"/>
      <c r="S27" s="121"/>
      <c r="W27" s="121"/>
    </row>
    <row r="28" spans="1:23" ht="15" customHeight="1">
      <c r="A28" s="22"/>
      <c r="B28" s="17"/>
      <c r="C28" s="140" t="s">
        <v>295</v>
      </c>
      <c r="D28" s="142"/>
      <c r="E28" s="312">
        <v>200</v>
      </c>
      <c r="F28" s="313"/>
      <c r="G28" s="314">
        <v>0</v>
      </c>
      <c r="H28" s="17"/>
      <c r="I28" s="18"/>
      <c r="J28" s="31"/>
      <c r="K28"/>
      <c r="L28" s="121"/>
      <c r="M28" s="121"/>
      <c r="N28" s="121"/>
      <c r="O28" s="121"/>
      <c r="P28" s="121"/>
      <c r="Q28" s="121"/>
      <c r="R28" s="121"/>
      <c r="S28" s="121"/>
      <c r="W28" s="37"/>
    </row>
    <row r="29" spans="1:23" ht="15" customHeight="1">
      <c r="A29" s="22"/>
      <c r="B29" s="17"/>
      <c r="C29" s="147" t="s">
        <v>296</v>
      </c>
      <c r="D29" s="149"/>
      <c r="E29" s="310">
        <v>100</v>
      </c>
      <c r="F29" s="311"/>
      <c r="G29" s="315">
        <v>1</v>
      </c>
      <c r="H29" s="17"/>
      <c r="I29" s="18"/>
      <c r="J29" s="31"/>
      <c r="K29"/>
      <c r="L29" s="121"/>
      <c r="M29" s="153" t="s">
        <v>27</v>
      </c>
      <c r="N29" s="153" t="s">
        <v>34</v>
      </c>
      <c r="O29" s="153" t="s">
        <v>300</v>
      </c>
      <c r="P29" s="155" t="s">
        <v>36</v>
      </c>
      <c r="Q29" s="153" t="s">
        <v>303</v>
      </c>
      <c r="R29" s="121"/>
      <c r="S29" s="121"/>
      <c r="W29" s="121"/>
    </row>
    <row r="30" spans="1:23" ht="15" customHeight="1">
      <c r="A30" s="22"/>
      <c r="B30" s="17"/>
      <c r="C30" s="316" t="s">
        <v>297</v>
      </c>
      <c r="D30" s="207"/>
      <c r="E30" s="317">
        <v>3450</v>
      </c>
      <c r="F30" s="318"/>
      <c r="G30" s="207"/>
      <c r="H30" s="17"/>
      <c r="I30" s="18"/>
      <c r="J30" s="31"/>
      <c r="K30"/>
      <c r="L30" s="121"/>
      <c r="M30" s="121"/>
      <c r="N30" s="153" t="s">
        <v>34</v>
      </c>
      <c r="O30" s="323">
        <f>S24</f>
        <v>1160</v>
      </c>
      <c r="P30" s="155" t="s">
        <v>36</v>
      </c>
      <c r="Q30" s="153">
        <f>F19</f>
        <v>7000</v>
      </c>
      <c r="R30" s="121"/>
      <c r="S30" s="121"/>
      <c r="W30" s="121"/>
    </row>
    <row r="31" spans="1:23" ht="15" customHeight="1">
      <c r="A31" s="22"/>
      <c r="B31" s="17"/>
      <c r="C31" s="119"/>
      <c r="D31" s="119"/>
      <c r="E31" s="119"/>
      <c r="F31" s="119"/>
      <c r="G31" s="119"/>
      <c r="H31" s="17"/>
      <c r="I31" s="18"/>
      <c r="J31" s="31"/>
      <c r="K31"/>
      <c r="L31" s="121"/>
      <c r="M31" s="121"/>
      <c r="N31" s="153" t="s">
        <v>34</v>
      </c>
      <c r="O31" s="324">
        <f>O30/Q30</f>
        <v>0.1657142857142857</v>
      </c>
      <c r="P31" s="259" t="s">
        <v>304</v>
      </c>
      <c r="Q31" s="121"/>
      <c r="R31" s="121"/>
      <c r="S31" s="121"/>
      <c r="W31" s="121"/>
    </row>
    <row r="32" spans="1:23" ht="15" customHeight="1">
      <c r="A32" s="25" t="s">
        <v>5</v>
      </c>
      <c r="B32" s="17" t="s">
        <v>866</v>
      </c>
      <c r="C32" s="119"/>
      <c r="D32" s="119"/>
      <c r="E32" s="119"/>
      <c r="F32" s="119"/>
      <c r="G32" s="119"/>
      <c r="H32" s="17"/>
      <c r="I32" s="18"/>
      <c r="J32" s="31"/>
      <c r="W32" s="121"/>
    </row>
    <row r="33" spans="1:23" ht="15" customHeight="1" thickBot="1">
      <c r="A33" s="9">
        <f>INDEX('Point Grid'!$C$8:$I$54,MATCH($A$1,'Point Grid'!$A$8:$A$54,0),MATCH(A32,'Point Grid'!$C$7:$I$7,0))</f>
        <v>0.75</v>
      </c>
      <c r="B33" s="17" t="s">
        <v>867</v>
      </c>
      <c r="C33" s="119"/>
      <c r="D33" s="119"/>
      <c r="E33" s="119"/>
      <c r="F33" s="119"/>
      <c r="G33" s="119"/>
      <c r="H33" s="17"/>
      <c r="I33" s="18"/>
      <c r="J33" s="31"/>
      <c r="K33" s="295" t="s">
        <v>5</v>
      </c>
      <c r="L33" s="21" t="s">
        <v>868</v>
      </c>
      <c r="W33" s="121"/>
    </row>
    <row r="34" spans="1:23" ht="15" customHeight="1" thickBot="1">
      <c r="A34" s="5"/>
      <c r="B34" s="17"/>
      <c r="C34" s="119"/>
      <c r="D34" s="119"/>
      <c r="E34" s="119"/>
      <c r="F34" s="119"/>
      <c r="G34" s="119"/>
      <c r="H34" s="17"/>
      <c r="I34" s="18"/>
      <c r="J34" s="31"/>
      <c r="L34" s="21" t="s">
        <v>869</v>
      </c>
    </row>
    <row r="35" spans="1:23" ht="15" customHeight="1">
      <c r="A35" s="22"/>
      <c r="B35" s="17"/>
      <c r="C35" s="119"/>
      <c r="D35" s="119"/>
      <c r="E35" s="119"/>
      <c r="F35" s="119"/>
      <c r="G35" s="119"/>
      <c r="H35" s="17"/>
      <c r="I35" s="18"/>
      <c r="J35" s="31"/>
      <c r="U35"/>
    </row>
    <row r="36" spans="1:23" ht="15" customHeight="1">
      <c r="A36" s="22"/>
      <c r="B36" s="17"/>
      <c r="C36" s="119"/>
      <c r="D36" s="119"/>
      <c r="E36" s="119"/>
      <c r="F36" s="119"/>
      <c r="G36" s="119"/>
      <c r="H36" s="17"/>
      <c r="I36" s="18"/>
      <c r="J36" s="31"/>
      <c r="L36" s="839" t="s">
        <v>772</v>
      </c>
      <c r="M36" s="21" t="s">
        <v>293</v>
      </c>
      <c r="U36"/>
    </row>
    <row r="37" spans="1:23" ht="15" customHeight="1">
      <c r="A37" s="22"/>
      <c r="B37" s="17"/>
      <c r="C37" s="119"/>
      <c r="D37" s="119"/>
      <c r="E37" s="119"/>
      <c r="F37" s="119"/>
      <c r="G37" s="119"/>
      <c r="H37" s="17"/>
      <c r="I37" s="18"/>
      <c r="J37" s="31"/>
      <c r="L37" s="839" t="s">
        <v>772</v>
      </c>
      <c r="M37" s="21" t="s">
        <v>870</v>
      </c>
      <c r="U37"/>
    </row>
    <row r="38" spans="1:23" ht="15" customHeight="1">
      <c r="A38" s="22"/>
      <c r="B38" s="17"/>
      <c r="C38" s="119"/>
      <c r="D38" s="119"/>
      <c r="E38" s="119"/>
      <c r="F38" s="119"/>
      <c r="G38" s="119"/>
      <c r="H38" s="17"/>
      <c r="I38" s="18"/>
      <c r="J38" s="31"/>
      <c r="L38" s="839" t="s">
        <v>772</v>
      </c>
      <c r="M38" s="21" t="s">
        <v>296</v>
      </c>
    </row>
    <row r="39" spans="1:23" ht="15" customHeight="1">
      <c r="A39" s="22"/>
      <c r="B39" s="17"/>
      <c r="C39" s="119"/>
      <c r="D39" s="119"/>
      <c r="E39" s="119"/>
      <c r="F39" s="119"/>
      <c r="G39" s="119"/>
      <c r="H39" s="17"/>
      <c r="I39" s="18"/>
      <c r="J39" s="31"/>
      <c r="K39"/>
      <c r="L39"/>
      <c r="M39"/>
      <c r="N39"/>
      <c r="O39"/>
      <c r="P39"/>
      <c r="Q39"/>
      <c r="R39"/>
      <c r="S39"/>
      <c r="T39"/>
      <c r="U39"/>
    </row>
    <row r="40" spans="1:23" ht="15" customHeight="1" thickBot="1">
      <c r="A40" s="24"/>
      <c r="B40" s="32"/>
      <c r="C40" s="32"/>
      <c r="D40" s="32"/>
      <c r="E40" s="32"/>
      <c r="F40" s="32"/>
      <c r="G40" s="32"/>
      <c r="H40" s="32"/>
      <c r="I40" s="33"/>
      <c r="J40" s="31"/>
      <c r="K40"/>
      <c r="L40"/>
      <c r="M40"/>
      <c r="N40"/>
      <c r="O40"/>
      <c r="P40"/>
      <c r="Q40"/>
      <c r="R40"/>
      <c r="S40"/>
      <c r="T40"/>
      <c r="U40"/>
    </row>
    <row r="41" spans="1:23" ht="15" customHeight="1">
      <c r="J41" s="31"/>
      <c r="K41"/>
      <c r="L41"/>
      <c r="M41"/>
      <c r="N41"/>
      <c r="O41"/>
      <c r="P41"/>
      <c r="Q41"/>
      <c r="R41"/>
      <c r="S41"/>
      <c r="T41"/>
      <c r="U41"/>
    </row>
    <row r="42" spans="1:23" ht="15" customHeight="1">
      <c r="J42" s="31"/>
      <c r="K42"/>
      <c r="L42"/>
      <c r="M42"/>
      <c r="N42"/>
      <c r="O42"/>
      <c r="P42"/>
      <c r="Q42"/>
      <c r="R42"/>
      <c r="S42"/>
      <c r="T42"/>
      <c r="U42"/>
    </row>
    <row r="43" spans="1:23" ht="15" customHeight="1">
      <c r="J43" s="31"/>
      <c r="K43"/>
      <c r="L43"/>
      <c r="M43"/>
      <c r="N43"/>
      <c r="O43"/>
      <c r="P43"/>
      <c r="Q43"/>
      <c r="R43"/>
      <c r="S43"/>
      <c r="T43"/>
      <c r="U43"/>
    </row>
    <row r="44" spans="1:23" ht="15" customHeight="1">
      <c r="J44" s="31"/>
      <c r="K44"/>
      <c r="L44"/>
      <c r="M44"/>
      <c r="N44"/>
      <c r="O44"/>
      <c r="P44"/>
      <c r="Q44"/>
      <c r="R44"/>
      <c r="S44"/>
      <c r="T44"/>
      <c r="U44"/>
    </row>
    <row r="45" spans="1:23" ht="15" customHeight="1">
      <c r="J45" s="31"/>
      <c r="K45"/>
      <c r="L45"/>
      <c r="M45"/>
      <c r="N45"/>
      <c r="O45"/>
      <c r="P45"/>
      <c r="Q45"/>
      <c r="R45"/>
      <c r="S45"/>
      <c r="T45"/>
      <c r="U45"/>
    </row>
    <row r="46" spans="1:23" ht="15" customHeight="1">
      <c r="B46" s="31"/>
      <c r="C46" s="31"/>
      <c r="D46" s="31"/>
      <c r="E46" s="31"/>
      <c r="F46" s="31"/>
      <c r="G46" s="31"/>
      <c r="H46" s="31"/>
      <c r="I46" s="31"/>
      <c r="J46" s="31"/>
      <c r="K46"/>
      <c r="L46"/>
      <c r="M46"/>
      <c r="N46"/>
      <c r="O46"/>
      <c r="P46"/>
      <c r="Q46"/>
      <c r="R46"/>
      <c r="S46"/>
      <c r="T46"/>
      <c r="U46"/>
    </row>
    <row r="47" spans="1:23" ht="15" customHeight="1">
      <c r="B47" s="31"/>
      <c r="C47" s="31"/>
      <c r="D47" s="31"/>
      <c r="E47" s="31"/>
      <c r="F47" s="31"/>
      <c r="G47" s="31"/>
      <c r="H47" s="31"/>
      <c r="I47" s="31"/>
      <c r="J47" s="31"/>
      <c r="K47"/>
      <c r="L47"/>
      <c r="M47"/>
      <c r="N47"/>
      <c r="O47"/>
      <c r="P47"/>
      <c r="Q47"/>
      <c r="R47"/>
      <c r="S47"/>
      <c r="T47"/>
      <c r="U47"/>
    </row>
    <row r="48" spans="1:23"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41" priority="1" operator="equal">
      <formula>"Incomplete"</formula>
    </cfRule>
    <cfRule type="cellIs" dxfId="40" priority="2" operator="equal">
      <formula>"Flag for Review"</formula>
    </cfRule>
    <cfRule type="cellIs" dxfId="3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101"/>
  <sheetViews>
    <sheetView zoomScaleNormal="100" workbookViewId="0"/>
  </sheetViews>
  <sheetFormatPr defaultColWidth="9.140625" defaultRowHeight="15"/>
  <cols>
    <col min="1" max="1" width="9.140625" style="21"/>
    <col min="2" max="2" width="16" style="21" bestFit="1" customWidth="1"/>
    <col min="3" max="13" width="9.140625" style="21" customWidth="1"/>
    <col min="14" max="16384" width="9.140625" style="21"/>
  </cols>
  <sheetData>
    <row r="1" spans="1:28">
      <c r="A1" s="7">
        <v>18</v>
      </c>
      <c r="B1" s="27" t="s">
        <v>12</v>
      </c>
      <c r="C1" s="20"/>
      <c r="D1" s="20"/>
      <c r="E1" s="20"/>
      <c r="F1" s="20"/>
      <c r="G1" s="20"/>
      <c r="H1" s="20"/>
      <c r="I1" s="20"/>
      <c r="J1" s="20"/>
      <c r="K1" s="20"/>
      <c r="L1" s="886" t="s">
        <v>24</v>
      </c>
      <c r="M1" s="887"/>
      <c r="O1" s="1" t="s">
        <v>33</v>
      </c>
      <c r="P1" s="52" t="str">
        <f>VLOOKUP(A1,'Point Grid'!$L$8:$T$54,9,FALSE)</f>
        <v>Pricing - Chap 16: Claims-Made Policies</v>
      </c>
      <c r="Q1"/>
      <c r="R1"/>
      <c r="S1"/>
      <c r="T1"/>
      <c r="U1"/>
      <c r="V1"/>
      <c r="W1"/>
      <c r="X1"/>
      <c r="Y1"/>
    </row>
    <row r="2" spans="1:28">
      <c r="A2" s="22"/>
      <c r="B2" s="19"/>
      <c r="C2" s="19"/>
      <c r="D2" s="19"/>
      <c r="E2" s="19"/>
      <c r="F2" s="19"/>
      <c r="G2" s="19"/>
      <c r="H2" s="19"/>
      <c r="I2" s="19"/>
      <c r="J2" s="19"/>
      <c r="K2" s="19"/>
      <c r="L2" s="19"/>
      <c r="M2" s="23"/>
      <c r="O2" s="1"/>
      <c r="P2"/>
      <c r="Q2"/>
      <c r="R2"/>
      <c r="S2"/>
      <c r="T2"/>
      <c r="U2"/>
      <c r="V2"/>
      <c r="W2"/>
      <c r="X2"/>
      <c r="Y2"/>
      <c r="Z2"/>
      <c r="AA2"/>
      <c r="AB2"/>
    </row>
    <row r="3" spans="1:28">
      <c r="A3" s="8" t="s">
        <v>13</v>
      </c>
      <c r="B3" s="17"/>
      <c r="C3" s="17"/>
      <c r="D3" s="17"/>
      <c r="E3" s="17"/>
      <c r="F3" s="17"/>
      <c r="G3" s="17"/>
      <c r="H3" s="17"/>
      <c r="I3" s="17"/>
      <c r="J3" s="17"/>
      <c r="K3" s="17"/>
      <c r="L3" s="17"/>
      <c r="M3" s="18"/>
      <c r="N3" s="31"/>
      <c r="O3" s="48"/>
      <c r="P3"/>
      <c r="Q3"/>
      <c r="R3"/>
      <c r="S3"/>
      <c r="T3"/>
      <c r="U3"/>
      <c r="V3"/>
      <c r="W3"/>
      <c r="X3"/>
      <c r="Y3"/>
      <c r="Z3"/>
      <c r="AA3"/>
      <c r="AB3"/>
    </row>
    <row r="4" spans="1:28">
      <c r="A4" s="9">
        <f>INDEX('Point Grid'!B:B,MATCH(A1,'Point Grid'!A:A,0))</f>
        <v>1</v>
      </c>
      <c r="B4" s="17"/>
      <c r="C4" s="17"/>
      <c r="D4" s="17"/>
      <c r="E4" s="17"/>
      <c r="F4" s="17"/>
      <c r="G4" s="17"/>
      <c r="H4" s="17"/>
      <c r="I4" s="17"/>
      <c r="J4" s="17"/>
      <c r="K4" s="17"/>
      <c r="L4" s="17"/>
      <c r="M4" s="18"/>
      <c r="N4" s="31"/>
      <c r="O4" s="48"/>
      <c r="P4"/>
      <c r="Q4"/>
      <c r="R4"/>
      <c r="S4"/>
      <c r="T4"/>
      <c r="U4"/>
      <c r="V4"/>
      <c r="W4"/>
      <c r="X4"/>
      <c r="Y4"/>
      <c r="Z4"/>
      <c r="AA4"/>
      <c r="AB4"/>
    </row>
    <row r="5" spans="1:28">
      <c r="A5" s="16"/>
      <c r="B5" s="17"/>
      <c r="C5" s="17"/>
      <c r="D5" s="17"/>
      <c r="E5" s="17"/>
      <c r="F5" s="17"/>
      <c r="G5" s="17"/>
      <c r="H5" s="17"/>
      <c r="I5" s="17"/>
      <c r="J5" s="17"/>
      <c r="K5" s="17"/>
      <c r="L5" s="17"/>
      <c r="M5" s="18"/>
      <c r="N5" s="31"/>
      <c r="O5" s="48"/>
      <c r="P5"/>
      <c r="Q5"/>
      <c r="R5"/>
      <c r="S5"/>
      <c r="T5"/>
      <c r="U5"/>
      <c r="V5"/>
      <c r="W5"/>
      <c r="X5"/>
      <c r="Y5"/>
      <c r="Z5"/>
      <c r="AA5"/>
      <c r="AB5"/>
    </row>
    <row r="6" spans="1:28">
      <c r="A6" s="25" t="s">
        <v>2</v>
      </c>
      <c r="B6" s="139" t="s">
        <v>872</v>
      </c>
      <c r="C6" s="139"/>
      <c r="D6" s="139"/>
      <c r="E6" s="139"/>
      <c r="F6" s="407">
        <v>2021</v>
      </c>
      <c r="G6" s="139" t="s">
        <v>873</v>
      </c>
      <c r="H6" s="139"/>
      <c r="I6" s="139"/>
      <c r="J6" s="407">
        <v>2024</v>
      </c>
      <c r="K6" s="119"/>
      <c r="L6" s="119"/>
      <c r="M6" s="18"/>
      <c r="N6" s="31"/>
      <c r="O6" s="153" t="s">
        <v>2</v>
      </c>
      <c r="P6" s="121" t="s">
        <v>881</v>
      </c>
      <c r="Q6" s="121"/>
      <c r="R6" s="843">
        <f>F6</f>
        <v>2021</v>
      </c>
      <c r="S6" s="121" t="s">
        <v>873</v>
      </c>
      <c r="T6" s="121"/>
      <c r="U6" s="121"/>
      <c r="V6" s="843">
        <f>J6</f>
        <v>2024</v>
      </c>
      <c r="W6" s="121" t="s">
        <v>882</v>
      </c>
      <c r="X6" s="121"/>
      <c r="Y6" s="121"/>
      <c r="Z6" s="121"/>
      <c r="AA6" s="121"/>
      <c r="AB6"/>
    </row>
    <row r="7" spans="1:28" ht="15.75" thickBot="1">
      <c r="A7" s="9">
        <f>INDEX('Point Grid'!$C$8:$I$54,MATCH($A$1,'Point Grid'!$A$8:$A$54,0),MATCH(A6,'Point Grid'!$C$7:$I$7,0))</f>
        <v>0.5</v>
      </c>
      <c r="B7" s="189"/>
      <c r="C7" s="139"/>
      <c r="D7" s="139"/>
      <c r="E7" s="139"/>
      <c r="F7" s="139"/>
      <c r="G7" s="139"/>
      <c r="H7" s="139"/>
      <c r="I7" s="139"/>
      <c r="J7" s="139"/>
      <c r="K7" s="139"/>
      <c r="L7" s="139"/>
      <c r="M7" s="18"/>
      <c r="N7" s="31"/>
      <c r="O7" s="121"/>
      <c r="P7" s="121"/>
      <c r="Q7" s="121"/>
      <c r="R7" s="121"/>
      <c r="S7" s="121"/>
      <c r="T7" s="121"/>
      <c r="U7" s="121"/>
      <c r="V7" s="121"/>
      <c r="W7" s="121"/>
      <c r="X7" s="121"/>
      <c r="Y7" s="121"/>
      <c r="Z7" s="121"/>
      <c r="AA7" s="121"/>
      <c r="AB7"/>
    </row>
    <row r="8" spans="1:28" ht="15.75" thickBot="1">
      <c r="A8" s="855"/>
      <c r="B8" s="189"/>
      <c r="C8" s="265"/>
      <c r="D8" s="119"/>
      <c r="E8" s="119"/>
      <c r="F8" s="119"/>
      <c r="G8" s="119"/>
      <c r="H8" s="119"/>
      <c r="I8" s="119"/>
      <c r="J8" s="119"/>
      <c r="K8" s="119"/>
      <c r="L8" s="119"/>
      <c r="M8" s="18"/>
      <c r="N8" s="31"/>
      <c r="O8" s="121"/>
      <c r="P8" s="153" t="s">
        <v>875</v>
      </c>
      <c r="Q8" s="112"/>
      <c r="R8" s="153" t="s">
        <v>883</v>
      </c>
      <c r="S8" s="121"/>
      <c r="T8" s="121"/>
      <c r="U8" s="121"/>
      <c r="V8" s="121"/>
      <c r="W8" s="121"/>
      <c r="X8" s="121"/>
      <c r="Y8" s="121"/>
      <c r="Z8" s="121"/>
      <c r="AA8" s="121"/>
      <c r="AB8"/>
    </row>
    <row r="9" spans="1:28">
      <c r="A9" s="25"/>
      <c r="B9" s="190"/>
      <c r="C9" s="139"/>
      <c r="D9" s="139"/>
      <c r="E9" s="139"/>
      <c r="F9" s="139"/>
      <c r="G9" s="139"/>
      <c r="H9" s="139"/>
      <c r="I9" s="139"/>
      <c r="J9" s="139"/>
      <c r="K9" s="139"/>
      <c r="L9" s="139"/>
      <c r="M9" s="18"/>
      <c r="N9" s="31"/>
      <c r="O9" s="121"/>
      <c r="P9" s="115" t="s">
        <v>877</v>
      </c>
      <c r="Q9" s="116" t="s">
        <v>884</v>
      </c>
      <c r="R9" s="115" t="s">
        <v>885</v>
      </c>
      <c r="S9" s="121"/>
      <c r="T9" s="133"/>
      <c r="U9" s="133"/>
      <c r="V9" s="133"/>
      <c r="W9" s="133"/>
      <c r="X9" s="133"/>
      <c r="Y9" s="133"/>
      <c r="Z9" s="121"/>
      <c r="AA9" s="121"/>
      <c r="AB9"/>
    </row>
    <row r="10" spans="1:28">
      <c r="A10" s="25" t="s">
        <v>3</v>
      </c>
      <c r="B10" s="139" t="s">
        <v>872</v>
      </c>
      <c r="C10" s="139"/>
      <c r="D10" s="139"/>
      <c r="E10" s="139"/>
      <c r="F10" s="407">
        <v>2022</v>
      </c>
      <c r="G10" s="139" t="s">
        <v>874</v>
      </c>
      <c r="H10" s="139"/>
      <c r="I10" s="139"/>
      <c r="J10" s="407">
        <v>2023</v>
      </c>
      <c r="K10" s="139"/>
      <c r="L10" s="139"/>
      <c r="M10" s="18"/>
      <c r="N10" s="31"/>
      <c r="O10" s="121"/>
      <c r="P10" s="226">
        <f>F6</f>
        <v>2021</v>
      </c>
      <c r="Q10" s="845">
        <v>0</v>
      </c>
      <c r="R10" s="121">
        <f>IF(AND(P10 &lt;= B21, P10 &lt;= J6),VLOOKUP(P10,B17:G21,Q10+2,FALSE), 0)</f>
        <v>36960</v>
      </c>
      <c r="S10" s="155" t="s">
        <v>886</v>
      </c>
      <c r="T10" s="846" t="s">
        <v>887</v>
      </c>
      <c r="U10" s="723"/>
      <c r="V10" s="226" t="str">
        <f>"(" &amp; P10 &amp; ", " &amp; Q10 &amp; ")"</f>
        <v>(2021, 0)</v>
      </c>
      <c r="W10" s="259" t="str">
        <f>IF(AND(P10 &lt;= B21, P10 &lt;= J6), "", " &lt;== not applicable")</f>
        <v/>
      </c>
      <c r="X10" s="121"/>
      <c r="Y10" s="121"/>
      <c r="Z10" s="121"/>
      <c r="AA10" s="121"/>
      <c r="AB10"/>
    </row>
    <row r="11" spans="1:28" ht="15.75" thickBot="1">
      <c r="A11" s="9">
        <f>INDEX('Point Grid'!$C$8:$I$54,MATCH($A$1,'Point Grid'!$A$8:$A$54,0),MATCH(A10,'Point Grid'!$C$7:$I$7,0))</f>
        <v>0.5</v>
      </c>
      <c r="B11" s="190"/>
      <c r="C11" s="119"/>
      <c r="D11" s="119"/>
      <c r="E11" s="119"/>
      <c r="F11" s="119"/>
      <c r="G11" s="119"/>
      <c r="H11" s="119"/>
      <c r="I11" s="119"/>
      <c r="J11" s="119"/>
      <c r="K11" s="119"/>
      <c r="L11" s="119"/>
      <c r="M11" s="18"/>
      <c r="N11" s="31"/>
      <c r="O11" s="121"/>
      <c r="P11" s="226">
        <f>P10+1</f>
        <v>2022</v>
      </c>
      <c r="Q11" s="845">
        <f>Q10+1</f>
        <v>1</v>
      </c>
      <c r="R11" s="121">
        <f>IF(AND(P11 &lt;= B21, P11 &lt;= J6),VLOOKUP(P11,B17:G21,Q11+2,FALSE), 0)</f>
        <v>39200</v>
      </c>
      <c r="S11" s="155" t="s">
        <v>886</v>
      </c>
      <c r="T11" s="846" t="s">
        <v>887</v>
      </c>
      <c r="U11" s="723"/>
      <c r="V11" s="226" t="str">
        <f t="shared" ref="V11:V14" si="0">"(" &amp; P11 &amp; ", " &amp; Q11 &amp; ")"</f>
        <v>(2022, 1)</v>
      </c>
      <c r="W11" s="259" t="str">
        <f>IF(AND(P11 &lt;= B21, P11 &lt;= J6), "", " &lt;== not applicable")</f>
        <v/>
      </c>
      <c r="X11" s="121"/>
      <c r="Y11" s="121"/>
      <c r="Z11" s="121"/>
      <c r="AA11" s="121"/>
      <c r="AB11"/>
    </row>
    <row r="12" spans="1:28" ht="15.75" thickBot="1">
      <c r="A12" s="855"/>
      <c r="B12" s="190"/>
      <c r="C12" s="119"/>
      <c r="D12" s="119"/>
      <c r="E12" s="119"/>
      <c r="F12" s="119"/>
      <c r="G12" s="119"/>
      <c r="H12" s="119"/>
      <c r="I12" s="119"/>
      <c r="J12" s="119"/>
      <c r="K12" s="119"/>
      <c r="L12" s="119"/>
      <c r="M12" s="18"/>
      <c r="N12" s="31"/>
      <c r="O12" s="121"/>
      <c r="P12" s="226">
        <f t="shared" ref="P12:Q14" si="1">P11+1</f>
        <v>2023</v>
      </c>
      <c r="Q12" s="845">
        <f t="shared" si="1"/>
        <v>2</v>
      </c>
      <c r="R12" s="121">
        <f>IF(AND(P12 &lt;= B21, P12 &lt;= J6),VLOOKUP(P12,B17:G21,Q12+2,FALSE), 0)</f>
        <v>69630</v>
      </c>
      <c r="S12" s="155" t="s">
        <v>886</v>
      </c>
      <c r="T12" s="846" t="s">
        <v>887</v>
      </c>
      <c r="U12" s="723"/>
      <c r="V12" s="226" t="str">
        <f t="shared" si="0"/>
        <v>(2023, 2)</v>
      </c>
      <c r="W12" s="259" t="str">
        <f>IF(AND(P12 &lt;= B21, P12 &lt;= J6), "", " &lt;== not applicable")</f>
        <v/>
      </c>
      <c r="X12" s="121"/>
      <c r="Y12" s="121"/>
      <c r="Z12" s="121"/>
      <c r="AA12" s="121"/>
      <c r="AB12"/>
    </row>
    <row r="13" spans="1:28">
      <c r="A13" s="25"/>
      <c r="B13" s="119" t="s">
        <v>907</v>
      </c>
      <c r="C13" s="119"/>
      <c r="D13" s="119"/>
      <c r="E13" s="119"/>
      <c r="F13" s="119"/>
      <c r="G13" s="119"/>
      <c r="H13" s="119"/>
      <c r="I13" s="119"/>
      <c r="J13" s="119"/>
      <c r="K13" s="119"/>
      <c r="L13" s="119"/>
      <c r="M13" s="18"/>
      <c r="N13" s="31"/>
      <c r="O13" s="121"/>
      <c r="P13" s="226">
        <f t="shared" si="1"/>
        <v>2024</v>
      </c>
      <c r="Q13" s="845">
        <f t="shared" si="1"/>
        <v>3</v>
      </c>
      <c r="R13" s="121">
        <f>IF(AND(P13 &lt;= B21, P13 &lt;= J6),VLOOKUP(P13,B17:G21,Q13+2,FALSE), 0)</f>
        <v>73940</v>
      </c>
      <c r="S13" s="155" t="s">
        <v>886</v>
      </c>
      <c r="T13" s="846" t="s">
        <v>887</v>
      </c>
      <c r="U13" s="723"/>
      <c r="V13" s="226" t="str">
        <f t="shared" si="0"/>
        <v>(2024, 3)</v>
      </c>
      <c r="W13" s="259" t="str">
        <f>IF(AND(P13 &lt;= B21, P13 &lt;= J6), "", " &lt;== not applicable")</f>
        <v/>
      </c>
      <c r="X13" s="121"/>
      <c r="Y13" s="121"/>
      <c r="Z13" s="121"/>
      <c r="AA13" s="121"/>
      <c r="AB13"/>
    </row>
    <row r="14" spans="1:28">
      <c r="A14" s="25"/>
      <c r="B14" s="119"/>
      <c r="C14" s="119"/>
      <c r="D14" s="119"/>
      <c r="E14" s="119"/>
      <c r="F14" s="119"/>
      <c r="G14" s="119"/>
      <c r="H14" s="119"/>
      <c r="I14" s="119"/>
      <c r="J14" s="119"/>
      <c r="K14" s="119"/>
      <c r="L14" s="119"/>
      <c r="M14" s="18"/>
      <c r="N14" s="31"/>
      <c r="O14" s="121"/>
      <c r="P14" s="226">
        <f t="shared" si="1"/>
        <v>2025</v>
      </c>
      <c r="Q14" s="845">
        <f t="shared" si="1"/>
        <v>4</v>
      </c>
      <c r="R14" s="121">
        <f>IF(AND(P14 &lt;= B21, P14 &lt;= J6),VLOOKUP(P14,B17:G21,Q14+2,FALSE), 0)</f>
        <v>0</v>
      </c>
      <c r="S14" s="155" t="s">
        <v>886</v>
      </c>
      <c r="T14" s="846" t="s">
        <v>887</v>
      </c>
      <c r="U14" s="723"/>
      <c r="V14" s="226" t="str">
        <f t="shared" si="0"/>
        <v>(2025, 4)</v>
      </c>
      <c r="W14" s="259" t="str">
        <f>IF(AND(P14 &lt;= B21, P14 &lt;= J6), "", " &lt;== not applicable")</f>
        <v xml:space="preserve"> &lt;== not applicable</v>
      </c>
      <c r="X14" s="121"/>
      <c r="Y14" s="121"/>
      <c r="Z14" s="121"/>
      <c r="AA14" s="121"/>
      <c r="AB14"/>
    </row>
    <row r="15" spans="1:28">
      <c r="A15" s="25"/>
      <c r="B15" s="191" t="s">
        <v>875</v>
      </c>
      <c r="C15" s="627" t="s">
        <v>876</v>
      </c>
      <c r="D15" s="627"/>
      <c r="E15" s="627"/>
      <c r="F15" s="627"/>
      <c r="G15" s="284"/>
      <c r="H15" s="139"/>
      <c r="I15" s="139"/>
      <c r="J15" s="139"/>
      <c r="K15" s="139"/>
      <c r="L15" s="119"/>
      <c r="M15" s="18"/>
      <c r="N15" s="31"/>
      <c r="O15" s="121"/>
      <c r="P15" s="125"/>
      <c r="Q15" s="847" t="s">
        <v>888</v>
      </c>
      <c r="R15" s="848">
        <f>SUM(R10:R14)</f>
        <v>219730</v>
      </c>
      <c r="S15" s="159"/>
      <c r="T15" s="125"/>
      <c r="U15" s="125"/>
      <c r="V15" s="125"/>
      <c r="W15" s="125"/>
      <c r="X15" s="125"/>
      <c r="Y15" s="125"/>
      <c r="Z15" s="121"/>
      <c r="AA15" s="121"/>
      <c r="AB15"/>
    </row>
    <row r="16" spans="1:28">
      <c r="A16" s="119"/>
      <c r="B16" s="194" t="s">
        <v>877</v>
      </c>
      <c r="C16" s="271">
        <v>0</v>
      </c>
      <c r="D16" s="271">
        <v>1</v>
      </c>
      <c r="E16" s="271">
        <v>2</v>
      </c>
      <c r="F16" s="271">
        <v>3</v>
      </c>
      <c r="G16" s="272">
        <v>4</v>
      </c>
      <c r="H16" s="139"/>
      <c r="I16" s="139"/>
      <c r="J16" s="139"/>
      <c r="K16" s="139"/>
      <c r="L16" s="119"/>
      <c r="M16" s="18"/>
      <c r="N16" s="31"/>
      <c r="O16" s="121"/>
      <c r="P16" s="121"/>
      <c r="Q16" s="121"/>
      <c r="R16" s="159" t="s">
        <v>889</v>
      </c>
      <c r="S16" s="121"/>
      <c r="T16" s="121"/>
      <c r="U16" s="121"/>
      <c r="V16" s="121"/>
      <c r="W16" s="121"/>
      <c r="X16" s="121"/>
      <c r="Y16" s="121"/>
      <c r="Z16" s="121"/>
      <c r="AA16" s="121"/>
      <c r="AB16"/>
    </row>
    <row r="17" spans="1:28">
      <c r="A17" s="119"/>
      <c r="B17" s="199">
        <v>2020</v>
      </c>
      <c r="C17" s="141">
        <v>67770</v>
      </c>
      <c r="D17" s="141">
        <v>55220</v>
      </c>
      <c r="E17" s="141">
        <v>50200</v>
      </c>
      <c r="F17" s="141">
        <v>52710</v>
      </c>
      <c r="G17" s="142">
        <v>25100</v>
      </c>
      <c r="H17" s="139"/>
      <c r="I17" s="139"/>
      <c r="J17" s="139"/>
      <c r="K17" s="139"/>
      <c r="L17" s="119"/>
      <c r="M17" s="18"/>
      <c r="N17" s="31"/>
      <c r="O17" s="37"/>
      <c r="P17" s="37"/>
      <c r="Q17" s="37"/>
      <c r="R17" s="37"/>
      <c r="S17" s="37"/>
      <c r="T17" s="37"/>
      <c r="U17" s="37"/>
      <c r="V17" s="37"/>
      <c r="W17" s="37"/>
      <c r="X17" s="37"/>
      <c r="Y17" s="37"/>
      <c r="Z17" s="37"/>
      <c r="AA17" s="121"/>
      <c r="AB17"/>
    </row>
    <row r="18" spans="1:28" ht="15" customHeight="1">
      <c r="A18" s="119"/>
      <c r="B18" s="199">
        <v>2021</v>
      </c>
      <c r="C18" s="141">
        <v>36960</v>
      </c>
      <c r="D18" s="141">
        <v>44880</v>
      </c>
      <c r="E18" s="141">
        <v>63360</v>
      </c>
      <c r="F18" s="141">
        <v>66000</v>
      </c>
      <c r="G18" s="142">
        <v>52800</v>
      </c>
      <c r="H18" s="139"/>
      <c r="I18" s="139"/>
      <c r="J18" s="139"/>
      <c r="K18" s="139"/>
      <c r="L18" s="119"/>
      <c r="M18" s="18"/>
      <c r="N18" s="31"/>
      <c r="O18" s="153" t="s">
        <v>3</v>
      </c>
      <c r="P18" s="121" t="s">
        <v>881</v>
      </c>
      <c r="Q18" s="121"/>
      <c r="R18" s="843">
        <f>F10</f>
        <v>2022</v>
      </c>
      <c r="S18" s="121" t="s">
        <v>890</v>
      </c>
      <c r="T18" s="121"/>
      <c r="U18" s="121"/>
      <c r="V18" s="843">
        <f>J10</f>
        <v>2023</v>
      </c>
      <c r="W18" s="121" t="s">
        <v>891</v>
      </c>
      <c r="X18" s="121"/>
      <c r="Y18" s="121"/>
      <c r="Z18" s="121"/>
      <c r="AA18" s="121"/>
      <c r="AB18"/>
    </row>
    <row r="19" spans="1:28" ht="15" customHeight="1">
      <c r="A19" s="25"/>
      <c r="B19" s="199">
        <v>2022</v>
      </c>
      <c r="C19" s="141">
        <v>61250</v>
      </c>
      <c r="D19" s="141">
        <v>39200</v>
      </c>
      <c r="E19" s="141">
        <v>34300</v>
      </c>
      <c r="F19" s="141">
        <v>49000</v>
      </c>
      <c r="G19" s="142">
        <v>61250</v>
      </c>
      <c r="H19" s="139"/>
      <c r="I19" s="139"/>
      <c r="J19" s="139"/>
      <c r="K19" s="139"/>
      <c r="L19" s="119"/>
      <c r="M19" s="18"/>
      <c r="N19" s="31"/>
      <c r="O19" s="121"/>
      <c r="P19" s="121"/>
      <c r="Q19" s="121"/>
      <c r="R19" s="121"/>
      <c r="S19" s="121"/>
      <c r="T19" s="121"/>
      <c r="U19" s="121"/>
      <c r="V19" s="121"/>
      <c r="W19" s="121"/>
      <c r="X19" s="121"/>
      <c r="Y19" s="121"/>
      <c r="Z19" s="121"/>
      <c r="AA19" s="121"/>
      <c r="AB19"/>
    </row>
    <row r="20" spans="1:28" ht="15" customHeight="1">
      <c r="A20" s="25"/>
      <c r="B20" s="199">
        <v>2023</v>
      </c>
      <c r="C20" s="141">
        <v>50880</v>
      </c>
      <c r="D20" s="141">
        <v>61590</v>
      </c>
      <c r="E20" s="141">
        <v>69630</v>
      </c>
      <c r="F20" s="141">
        <v>21420</v>
      </c>
      <c r="G20" s="142">
        <v>64270</v>
      </c>
      <c r="H20" s="398"/>
      <c r="I20" s="139"/>
      <c r="J20" s="139"/>
      <c r="K20" s="139"/>
      <c r="L20" s="119"/>
      <c r="M20" s="18"/>
      <c r="N20" s="31"/>
      <c r="O20" s="121"/>
      <c r="P20" s="37" t="s">
        <v>892</v>
      </c>
      <c r="Q20" s="37"/>
      <c r="R20" s="37"/>
      <c r="S20" s="849" t="s">
        <v>880</v>
      </c>
      <c r="T20" s="844">
        <f>K24</f>
        <v>2022</v>
      </c>
      <c r="U20" s="850" t="s">
        <v>886</v>
      </c>
      <c r="V20" s="159" t="s">
        <v>893</v>
      </c>
      <c r="W20" s="121"/>
      <c r="X20" s="121"/>
      <c r="Y20" s="121"/>
      <c r="Z20" s="121"/>
      <c r="AA20" s="121"/>
      <c r="AB20"/>
    </row>
    <row r="21" spans="1:28" ht="15" customHeight="1">
      <c r="A21" s="25"/>
      <c r="B21" s="203">
        <v>2024</v>
      </c>
      <c r="C21" s="148">
        <v>56880</v>
      </c>
      <c r="D21" s="148">
        <v>65410</v>
      </c>
      <c r="E21" s="148">
        <v>42660</v>
      </c>
      <c r="F21" s="148">
        <v>73940</v>
      </c>
      <c r="G21" s="149">
        <v>45500</v>
      </c>
      <c r="H21" s="139"/>
      <c r="I21" s="139"/>
      <c r="J21" s="139"/>
      <c r="K21" s="139"/>
      <c r="L21" s="119"/>
      <c r="M21" s="18"/>
      <c r="N21" s="31"/>
      <c r="O21" s="121"/>
      <c r="P21" s="37" t="s">
        <v>894</v>
      </c>
      <c r="Q21" s="37"/>
      <c r="R21" s="37"/>
      <c r="S21" s="849" t="s">
        <v>880</v>
      </c>
      <c r="T21" s="844">
        <f>K25</f>
        <v>2022</v>
      </c>
      <c r="U21" s="851" t="s">
        <v>886</v>
      </c>
      <c r="V21" s="852" t="s">
        <v>895</v>
      </c>
      <c r="W21" s="121"/>
      <c r="X21" s="121"/>
      <c r="Y21" s="121"/>
      <c r="Z21" s="121"/>
      <c r="AA21" s="121"/>
      <c r="AB21"/>
    </row>
    <row r="22" spans="1:28" ht="15" customHeight="1">
      <c r="A22" s="25"/>
      <c r="B22" s="139"/>
      <c r="C22" s="139"/>
      <c r="D22" s="139"/>
      <c r="E22" s="139"/>
      <c r="F22" s="139"/>
      <c r="G22" s="139"/>
      <c r="H22" s="139"/>
      <c r="I22" s="139"/>
      <c r="J22" s="139"/>
      <c r="K22" s="139"/>
      <c r="L22" s="28"/>
      <c r="M22" s="18"/>
      <c r="N22" s="31"/>
      <c r="O22" s="121"/>
      <c r="P22" s="37"/>
      <c r="Q22" s="37"/>
      <c r="R22" s="37"/>
      <c r="S22" s="37"/>
      <c r="T22" s="121"/>
      <c r="U22" s="121"/>
      <c r="V22" s="852" t="s">
        <v>896</v>
      </c>
      <c r="W22" s="121"/>
      <c r="X22" s="121"/>
      <c r="Y22" s="121"/>
      <c r="Z22" s="121"/>
      <c r="AA22" s="121"/>
      <c r="AB22"/>
    </row>
    <row r="23" spans="1:28" ht="15" customHeight="1">
      <c r="A23" s="25"/>
      <c r="B23" s="854" t="s">
        <v>772</v>
      </c>
      <c r="C23" s="139" t="s">
        <v>878</v>
      </c>
      <c r="D23" s="139"/>
      <c r="E23" s="139"/>
      <c r="F23" s="139"/>
      <c r="G23" s="139"/>
      <c r="H23" s="139"/>
      <c r="I23" s="139"/>
      <c r="J23" s="139"/>
      <c r="K23" s="139"/>
      <c r="L23" s="28"/>
      <c r="M23" s="18"/>
      <c r="N23" s="31"/>
      <c r="O23" s="121"/>
      <c r="P23" s="37" t="s">
        <v>897</v>
      </c>
      <c r="Q23" s="37"/>
      <c r="R23" s="37"/>
      <c r="S23" s="37"/>
      <c r="T23" s="121"/>
      <c r="U23" s="121"/>
      <c r="V23" s="121"/>
      <c r="W23" s="121"/>
      <c r="X23" s="121"/>
      <c r="Y23" s="121"/>
      <c r="Z23" s="121"/>
      <c r="AA23" s="121"/>
      <c r="AB23"/>
    </row>
    <row r="24" spans="1:28" ht="15" customHeight="1">
      <c r="A24" s="25"/>
      <c r="B24" s="854" t="s">
        <v>772</v>
      </c>
      <c r="C24" s="139" t="s">
        <v>879</v>
      </c>
      <c r="D24" s="139"/>
      <c r="E24" s="139"/>
      <c r="F24" s="139"/>
      <c r="G24" s="139"/>
      <c r="H24" s="139"/>
      <c r="I24" s="139"/>
      <c r="J24" s="213" t="s">
        <v>880</v>
      </c>
      <c r="K24" s="222">
        <v>2022</v>
      </c>
      <c r="L24" s="28"/>
      <c r="M24" s="18"/>
      <c r="N24" s="31"/>
      <c r="O24" s="121"/>
      <c r="P24" s="37"/>
      <c r="Q24" s="37"/>
      <c r="R24" s="37"/>
      <c r="S24" s="37"/>
      <c r="T24" s="121"/>
      <c r="U24" s="121"/>
      <c r="V24" s="121"/>
      <c r="W24" s="121"/>
      <c r="X24" s="121"/>
      <c r="Y24" s="121"/>
      <c r="Z24" s="121"/>
      <c r="AA24" s="121"/>
      <c r="AB24"/>
    </row>
    <row r="25" spans="1:28" ht="15" customHeight="1">
      <c r="A25" s="25"/>
      <c r="B25" s="139"/>
      <c r="C25" s="139"/>
      <c r="D25" s="139"/>
      <c r="E25" s="139"/>
      <c r="F25" s="139"/>
      <c r="G25" s="139"/>
      <c r="H25" s="139"/>
      <c r="I25" s="280" t="s">
        <v>908</v>
      </c>
      <c r="J25" s="213" t="s">
        <v>880</v>
      </c>
      <c r="K25" s="222">
        <v>2022</v>
      </c>
      <c r="L25" s="28"/>
      <c r="M25" s="18"/>
      <c r="N25" s="31"/>
      <c r="O25" s="121"/>
      <c r="P25" s="37"/>
      <c r="Q25" s="37"/>
      <c r="R25" s="37"/>
      <c r="S25" s="37"/>
      <c r="T25" s="121"/>
      <c r="U25" s="121"/>
      <c r="V25" s="121"/>
      <c r="W25" s="121"/>
      <c r="X25" s="121"/>
      <c r="Y25" s="121"/>
      <c r="Z25" s="121"/>
      <c r="AA25" s="121"/>
      <c r="AB25"/>
    </row>
    <row r="26" spans="1:28" ht="15" customHeight="1">
      <c r="A26" s="25"/>
      <c r="B26" s="17"/>
      <c r="C26" s="28"/>
      <c r="D26" s="28"/>
      <c r="E26" s="28"/>
      <c r="F26" s="28"/>
      <c r="G26" s="28"/>
      <c r="H26" s="28"/>
      <c r="I26" s="28"/>
      <c r="J26" s="28"/>
      <c r="K26" s="28"/>
      <c r="L26" s="28"/>
      <c r="M26" s="18"/>
      <c r="N26" s="31"/>
      <c r="O26" s="121"/>
      <c r="P26" s="153" t="s">
        <v>875</v>
      </c>
      <c r="Q26" s="112"/>
      <c r="R26" s="153" t="s">
        <v>883</v>
      </c>
      <c r="S26" s="121"/>
      <c r="T26" s="121"/>
      <c r="U26" s="121"/>
      <c r="V26" s="121"/>
      <c r="W26" s="121"/>
      <c r="X26" s="121"/>
      <c r="Y26" s="121"/>
      <c r="Z26" s="121"/>
      <c r="AA26" s="121"/>
      <c r="AB26"/>
    </row>
    <row r="27" spans="1:28" ht="15" customHeight="1">
      <c r="A27" s="25"/>
      <c r="B27" s="17"/>
      <c r="C27" s="28"/>
      <c r="D27" s="28"/>
      <c r="E27" s="28"/>
      <c r="F27" s="28"/>
      <c r="G27" s="28"/>
      <c r="H27" s="28"/>
      <c r="I27" s="28"/>
      <c r="J27" s="28"/>
      <c r="K27" s="28"/>
      <c r="L27" s="28"/>
      <c r="M27" s="18"/>
      <c r="N27" s="31"/>
      <c r="O27" s="121"/>
      <c r="P27" s="115" t="s">
        <v>877</v>
      </c>
      <c r="Q27" s="116" t="s">
        <v>884</v>
      </c>
      <c r="R27" s="115" t="s">
        <v>885</v>
      </c>
      <c r="S27" s="121"/>
      <c r="T27" s="133"/>
      <c r="U27" s="133"/>
      <c r="V27" s="133"/>
      <c r="W27" s="133"/>
      <c r="X27" s="133"/>
      <c r="Y27" s="133"/>
      <c r="Z27" s="121"/>
      <c r="AA27" s="121"/>
    </row>
    <row r="28" spans="1:28" ht="15" customHeight="1">
      <c r="A28" s="25"/>
      <c r="B28" s="17"/>
      <c r="C28" s="28"/>
      <c r="D28" s="28"/>
      <c r="E28" s="28"/>
      <c r="F28" s="28"/>
      <c r="G28" s="28"/>
      <c r="H28" s="28"/>
      <c r="I28" s="28"/>
      <c r="J28" s="28"/>
      <c r="K28" s="28"/>
      <c r="L28" s="28"/>
      <c r="M28" s="18"/>
      <c r="N28" s="31"/>
      <c r="O28" s="121"/>
      <c r="P28" s="226">
        <f>R18</f>
        <v>2022</v>
      </c>
      <c r="Q28" s="845">
        <v>0</v>
      </c>
      <c r="R28" s="121">
        <f>IF(P28+Q28&lt;=V18,IFERROR(VLOOKUP(P28,B17:G21,Q28+2,FALSE),0),0)</f>
        <v>61250</v>
      </c>
      <c r="S28" s="155" t="s">
        <v>886</v>
      </c>
      <c r="T28" s="846" t="s">
        <v>898</v>
      </c>
      <c r="U28" s="723"/>
      <c r="V28" s="226" t="str">
        <f>"(" &amp; P28 &amp; ", " &amp; Q28 &amp; ")"</f>
        <v>(2022, 0)</v>
      </c>
      <c r="W28" s="259" t="str">
        <f>IF(P28+Q28 &gt; V18," &lt;== prior to retroactive date (don't include)","")</f>
        <v/>
      </c>
      <c r="X28" s="121"/>
      <c r="Y28" s="121"/>
      <c r="Z28" s="121"/>
      <c r="AA28" s="121"/>
    </row>
    <row r="29" spans="1:28" ht="15" customHeight="1">
      <c r="A29" s="22"/>
      <c r="B29" s="17"/>
      <c r="C29" s="17"/>
      <c r="D29" s="17"/>
      <c r="E29" s="17"/>
      <c r="F29" s="17"/>
      <c r="G29" s="17"/>
      <c r="H29" s="17"/>
      <c r="I29" s="17"/>
      <c r="J29" s="17"/>
      <c r="K29" s="17"/>
      <c r="L29" s="17"/>
      <c r="M29" s="18"/>
      <c r="N29" s="31"/>
      <c r="O29" s="121"/>
      <c r="P29" s="226">
        <f>R18</f>
        <v>2022</v>
      </c>
      <c r="Q29" s="845">
        <f>Q28+1</f>
        <v>1</v>
      </c>
      <c r="R29" s="121">
        <f>IF(P29+Q29&lt;=V18,IFERROR(VLOOKUP(P29,B17:G21,Q29+2,FALSE),0),0)</f>
        <v>39200</v>
      </c>
      <c r="S29" s="155" t="s">
        <v>886</v>
      </c>
      <c r="T29" s="846" t="s">
        <v>898</v>
      </c>
      <c r="U29" s="723"/>
      <c r="V29" s="226" t="str">
        <f t="shared" ref="V29:V32" si="2">"(" &amp; P29 &amp; ", " &amp; Q29 &amp; ")"</f>
        <v>(2022, 1)</v>
      </c>
      <c r="W29" s="259" t="str">
        <f>IF(P29+Q29 &gt; V18," &lt;== prior to retroactive date (don't include)","")</f>
        <v/>
      </c>
      <c r="X29" s="121"/>
      <c r="Y29" s="121"/>
      <c r="Z29" s="121"/>
      <c r="AA29" s="121"/>
    </row>
    <row r="30" spans="1:28" ht="15" customHeight="1" thickBot="1">
      <c r="A30" s="24"/>
      <c r="B30" s="32"/>
      <c r="C30" s="32"/>
      <c r="D30" s="32"/>
      <c r="E30" s="32"/>
      <c r="F30" s="32"/>
      <c r="G30" s="32"/>
      <c r="H30" s="32"/>
      <c r="I30" s="32"/>
      <c r="J30" s="32"/>
      <c r="K30" s="32"/>
      <c r="L30" s="32"/>
      <c r="M30" s="33"/>
      <c r="N30" s="31"/>
      <c r="O30" s="121"/>
      <c r="P30" s="226">
        <f>R18</f>
        <v>2022</v>
      </c>
      <c r="Q30" s="845">
        <f t="shared" ref="Q30:Q32" si="3">Q29+1</f>
        <v>2</v>
      </c>
      <c r="R30" s="121">
        <f>IF(P30+Q30&lt;=V18,IFERROR(VLOOKUP(P30,B17:G21,Q30+2,FALSE),0),0)</f>
        <v>0</v>
      </c>
      <c r="S30" s="155" t="s">
        <v>886</v>
      </c>
      <c r="T30" s="846" t="s">
        <v>898</v>
      </c>
      <c r="U30" s="723"/>
      <c r="V30" s="226" t="str">
        <f t="shared" si="2"/>
        <v>(2022, 2)</v>
      </c>
      <c r="W30" s="259" t="str">
        <f>IF(P30+Q30 &gt; V18," &lt;== prior to retroactive date (don't include)","")</f>
        <v xml:space="preserve"> &lt;== prior to retroactive date (don't include)</v>
      </c>
      <c r="X30" s="121"/>
      <c r="Y30" s="121"/>
      <c r="Z30" s="121"/>
      <c r="AA30" s="121"/>
    </row>
    <row r="31" spans="1:28" ht="15" customHeight="1">
      <c r="B31" s="31"/>
      <c r="C31" s="31"/>
      <c r="D31" s="31"/>
      <c r="E31" s="31"/>
      <c r="F31" s="31"/>
      <c r="G31" s="31"/>
      <c r="H31" s="31"/>
      <c r="I31" s="31"/>
      <c r="J31" s="31"/>
      <c r="K31" s="31"/>
      <c r="L31" s="31"/>
      <c r="M31" s="31"/>
      <c r="N31" s="31"/>
      <c r="O31" s="121"/>
      <c r="P31" s="226">
        <f>R18</f>
        <v>2022</v>
      </c>
      <c r="Q31" s="845">
        <f t="shared" si="3"/>
        <v>3</v>
      </c>
      <c r="R31" s="121">
        <f>IF(P31+Q31&lt;=V18,IFERROR(VLOOKUP(P31,B17:G21,Q31+2,FALSE),0),0)</f>
        <v>0</v>
      </c>
      <c r="S31" s="155" t="s">
        <v>886</v>
      </c>
      <c r="T31" s="846" t="s">
        <v>898</v>
      </c>
      <c r="U31" s="723"/>
      <c r="V31" s="226" t="str">
        <f t="shared" si="2"/>
        <v>(2022, 3)</v>
      </c>
      <c r="W31" s="259" t="str">
        <f>IF(P31+Q31 &gt; V18," &lt;== prior to retroactive date (don't include)","")</f>
        <v xml:space="preserve"> &lt;== prior to retroactive date (don't include)</v>
      </c>
      <c r="X31" s="121"/>
      <c r="Y31" s="121"/>
      <c r="Z31" s="121"/>
      <c r="AA31" s="121"/>
    </row>
    <row r="32" spans="1:28" ht="15" customHeight="1">
      <c r="N32" s="31"/>
      <c r="O32" s="121"/>
      <c r="P32" s="226">
        <f>R18</f>
        <v>2022</v>
      </c>
      <c r="Q32" s="845">
        <f t="shared" si="3"/>
        <v>4</v>
      </c>
      <c r="R32" s="121">
        <f>IF(P32+Q32&lt;=V18,IFERROR(VLOOKUP(P32,B17:G21,Q32+2,FALSE),0),0)</f>
        <v>0</v>
      </c>
      <c r="S32" s="155" t="s">
        <v>886</v>
      </c>
      <c r="T32" s="846" t="s">
        <v>898</v>
      </c>
      <c r="U32" s="723"/>
      <c r="V32" s="226" t="str">
        <f t="shared" si="2"/>
        <v>(2022, 4)</v>
      </c>
      <c r="W32" s="259" t="str">
        <f>IF(P32+Q32 &gt; V18," &lt;== prior to retroactive date (don't include)","")</f>
        <v xml:space="preserve"> &lt;== prior to retroactive date (don't include)</v>
      </c>
      <c r="X32" s="121"/>
      <c r="Y32" s="121"/>
      <c r="Z32" s="121"/>
      <c r="AA32" s="121"/>
    </row>
    <row r="33" spans="2:27" ht="15" customHeight="1">
      <c r="N33" s="31"/>
      <c r="O33" s="121"/>
      <c r="P33" s="125"/>
      <c r="Q33" s="847" t="s">
        <v>888</v>
      </c>
      <c r="R33" s="848">
        <f>SUM(R28:R32)</f>
        <v>100450</v>
      </c>
      <c r="S33" s="159"/>
      <c r="T33" s="125"/>
      <c r="U33" s="125"/>
      <c r="V33" s="125"/>
      <c r="W33" s="125"/>
      <c r="X33" s="125"/>
      <c r="Y33" s="125"/>
      <c r="Z33" s="121"/>
      <c r="AA33" s="121"/>
    </row>
    <row r="34" spans="2:27" ht="15" customHeight="1">
      <c r="N34" s="31"/>
      <c r="O34" s="121"/>
      <c r="P34" s="121"/>
      <c r="Q34" s="121"/>
      <c r="R34" s="159" t="s">
        <v>899</v>
      </c>
      <c r="S34" s="121"/>
      <c r="T34" s="121"/>
      <c r="U34" s="121"/>
      <c r="V34" s="121"/>
      <c r="W34" s="121"/>
      <c r="X34" s="121"/>
      <c r="Y34" s="121"/>
      <c r="Z34" s="121"/>
      <c r="AA34" s="121"/>
    </row>
    <row r="35" spans="2:27" ht="15" customHeight="1">
      <c r="N35" s="31"/>
      <c r="O35" s="121"/>
      <c r="P35" s="121"/>
      <c r="Q35" s="121"/>
      <c r="R35" s="121"/>
      <c r="S35" s="121"/>
      <c r="T35" s="121"/>
      <c r="U35" s="121"/>
      <c r="V35" s="121"/>
      <c r="W35" s="121"/>
      <c r="X35" s="121"/>
      <c r="Y35" s="121"/>
      <c r="Z35" s="121"/>
      <c r="AA35" s="121"/>
    </row>
    <row r="36" spans="2:27" ht="15" customHeight="1">
      <c r="N36" s="31"/>
      <c r="O36" s="121"/>
      <c r="P36" s="853" t="s">
        <v>900</v>
      </c>
      <c r="Q36" s="121"/>
      <c r="R36" s="121"/>
      <c r="S36" s="121"/>
      <c r="T36" s="121"/>
      <c r="U36" s="121"/>
      <c r="V36" s="121"/>
      <c r="W36" s="121"/>
      <c r="X36" s="121"/>
      <c r="Y36" s="121"/>
      <c r="Z36" s="121"/>
      <c r="AA36" s="121"/>
    </row>
    <row r="37" spans="2:27" ht="15" customHeight="1">
      <c r="N37" s="31"/>
      <c r="O37" s="121"/>
      <c r="P37" s="121"/>
      <c r="Q37" s="121"/>
      <c r="R37" s="121"/>
      <c r="S37" s="121"/>
      <c r="T37" s="121"/>
      <c r="U37" s="121"/>
      <c r="V37" s="121"/>
      <c r="W37" s="121"/>
      <c r="X37" s="121"/>
      <c r="Y37" s="121"/>
      <c r="Z37" s="121"/>
      <c r="AA37" s="121"/>
    </row>
    <row r="38" spans="2:27" ht="15" customHeight="1">
      <c r="N38" s="31"/>
      <c r="O38" s="121"/>
      <c r="P38" s="177" t="s">
        <v>901</v>
      </c>
      <c r="Q38" s="121"/>
      <c r="R38" s="121"/>
      <c r="S38" s="121"/>
      <c r="T38" s="121"/>
      <c r="U38" s="121"/>
      <c r="V38" s="121"/>
      <c r="W38" s="121"/>
      <c r="X38" s="121"/>
      <c r="Y38" s="121"/>
      <c r="Z38" s="121"/>
      <c r="AA38" s="121"/>
    </row>
    <row r="39" spans="2:27" ht="15" customHeight="1">
      <c r="N39" s="31"/>
      <c r="O39" s="121"/>
      <c r="P39" s="121" t="s">
        <v>902</v>
      </c>
      <c r="Q39" s="121"/>
      <c r="R39" s="121"/>
      <c r="S39" s="121"/>
      <c r="T39" s="121"/>
      <c r="U39" s="121"/>
      <c r="V39" s="121"/>
      <c r="W39" s="121"/>
      <c r="X39" s="121"/>
      <c r="Y39" s="121"/>
      <c r="Z39" s="121"/>
      <c r="AA39" s="121"/>
    </row>
    <row r="40" spans="2:27" ht="15" customHeight="1">
      <c r="N40" s="31"/>
      <c r="O40" s="121"/>
      <c r="P40" s="121" t="s">
        <v>903</v>
      </c>
      <c r="Q40" s="121"/>
      <c r="R40" s="121"/>
      <c r="S40" s="121"/>
      <c r="T40" s="121"/>
      <c r="U40" s="121"/>
      <c r="V40" s="121"/>
      <c r="W40" s="121"/>
      <c r="X40" s="121"/>
      <c r="Y40" s="121"/>
      <c r="Z40" s="121"/>
      <c r="AA40" s="121"/>
    </row>
    <row r="41" spans="2:27" ht="15" customHeight="1">
      <c r="N41" s="31"/>
      <c r="O41" s="121"/>
      <c r="P41" s="121"/>
      <c r="Q41" s="121"/>
      <c r="R41" s="121"/>
      <c r="S41" s="121"/>
      <c r="T41" s="121"/>
      <c r="U41" s="121"/>
      <c r="V41" s="121"/>
      <c r="W41" s="121"/>
      <c r="X41" s="121"/>
      <c r="Y41" s="121"/>
      <c r="Z41" s="121"/>
      <c r="AA41" s="121"/>
    </row>
    <row r="42" spans="2:27" ht="15" customHeight="1">
      <c r="N42" s="31"/>
      <c r="O42" s="121"/>
      <c r="P42" s="177" t="s">
        <v>904</v>
      </c>
      <c r="Q42" s="121"/>
      <c r="R42" s="121"/>
      <c r="S42" s="121"/>
      <c r="T42" s="121"/>
      <c r="U42" s="121"/>
      <c r="V42" s="121"/>
      <c r="W42" s="121"/>
      <c r="X42" s="121"/>
      <c r="Y42" s="121"/>
      <c r="Z42" s="121"/>
      <c r="AA42" s="121"/>
    </row>
    <row r="43" spans="2:27" ht="15" customHeight="1">
      <c r="N43" s="31"/>
      <c r="O43" s="121"/>
      <c r="P43" s="121" t="s">
        <v>905</v>
      </c>
      <c r="Q43" s="121"/>
      <c r="R43" s="121"/>
      <c r="S43" s="121"/>
      <c r="T43" s="121"/>
      <c r="U43" s="121"/>
      <c r="V43" s="121"/>
      <c r="W43" s="121"/>
      <c r="X43" s="121"/>
      <c r="Y43" s="121"/>
      <c r="Z43" s="121"/>
      <c r="AA43" s="121"/>
    </row>
    <row r="44" spans="2:27" ht="15" customHeight="1">
      <c r="N44" s="31"/>
      <c r="O44" s="121"/>
      <c r="P44" s="121" t="s">
        <v>906</v>
      </c>
      <c r="Q44" s="121"/>
      <c r="R44" s="121"/>
      <c r="S44" s="121"/>
      <c r="T44" s="121"/>
      <c r="U44" s="121"/>
      <c r="V44" s="121"/>
      <c r="W44" s="121"/>
      <c r="X44" s="121"/>
      <c r="Y44" s="121"/>
      <c r="Z44" s="121"/>
      <c r="AA44" s="121"/>
    </row>
    <row r="45" spans="2:27" ht="15" customHeight="1">
      <c r="N45" s="31"/>
      <c r="O45" s="121"/>
      <c r="P45" s="121"/>
      <c r="Q45" s="121"/>
      <c r="R45" s="121"/>
      <c r="S45" s="121"/>
      <c r="T45" s="121"/>
      <c r="U45" s="121"/>
      <c r="V45" s="121"/>
      <c r="W45" s="121"/>
      <c r="X45" s="121"/>
      <c r="Y45" s="121"/>
      <c r="Z45" s="121"/>
      <c r="AA45" s="121"/>
    </row>
    <row r="46" spans="2:27" ht="15" customHeight="1">
      <c r="B46" s="31"/>
      <c r="C46" s="31"/>
      <c r="D46" s="31"/>
      <c r="E46" s="31"/>
      <c r="F46" s="31"/>
      <c r="G46" s="31"/>
      <c r="H46" s="31"/>
      <c r="I46" s="31"/>
      <c r="J46" s="31"/>
      <c r="K46" s="31"/>
      <c r="L46" s="31"/>
      <c r="M46" s="31"/>
      <c r="N46" s="31"/>
      <c r="O46" s="121"/>
      <c r="P46" s="121"/>
      <c r="Q46" s="121"/>
      <c r="R46" s="121"/>
      <c r="S46" s="121"/>
      <c r="T46" s="121"/>
      <c r="U46" s="121"/>
      <c r="V46" s="121"/>
      <c r="W46" s="121"/>
      <c r="X46" s="121"/>
      <c r="Y46" s="121"/>
      <c r="Z46" s="121"/>
      <c r="AA46" s="121"/>
    </row>
    <row r="47" spans="2:27" ht="15" customHeight="1">
      <c r="B47" s="31"/>
      <c r="C47" s="31"/>
      <c r="D47" s="31"/>
      <c r="E47" s="31"/>
      <c r="F47" s="31"/>
      <c r="G47" s="31"/>
      <c r="H47" s="31"/>
      <c r="I47" s="31"/>
      <c r="J47" s="31"/>
      <c r="K47" s="31"/>
      <c r="L47" s="31"/>
      <c r="M47" s="31"/>
      <c r="N47" s="31"/>
      <c r="O47"/>
      <c r="P47"/>
      <c r="Q47"/>
      <c r="R47"/>
      <c r="S47"/>
      <c r="T47"/>
      <c r="U47"/>
      <c r="V47"/>
      <c r="W47"/>
      <c r="X47"/>
      <c r="Y47"/>
    </row>
    <row r="48" spans="2:27" ht="15" customHeight="1">
      <c r="B48" s="31"/>
      <c r="C48" s="31"/>
      <c r="D48" s="31"/>
      <c r="E48" s="31"/>
      <c r="F48" s="31"/>
      <c r="G48" s="31"/>
      <c r="H48" s="31"/>
      <c r="I48" s="31"/>
      <c r="J48" s="31"/>
      <c r="K48" s="31"/>
      <c r="L48" s="31"/>
      <c r="M48" s="31"/>
      <c r="N48" s="31"/>
      <c r="O48"/>
      <c r="P48"/>
      <c r="Q48"/>
      <c r="R48"/>
      <c r="S48"/>
      <c r="T48"/>
      <c r="U48"/>
      <c r="V48"/>
      <c r="W48"/>
      <c r="X48"/>
      <c r="Y48"/>
    </row>
    <row r="49" spans="2:25" ht="15" customHeight="1">
      <c r="B49" s="31"/>
      <c r="C49" s="31"/>
      <c r="D49" s="31"/>
      <c r="E49" s="31"/>
      <c r="F49" s="31"/>
      <c r="G49" s="31"/>
      <c r="H49" s="31"/>
      <c r="I49" s="31"/>
      <c r="J49" s="31"/>
      <c r="K49" s="31"/>
      <c r="L49" s="31"/>
      <c r="M49" s="31"/>
      <c r="N49" s="31"/>
      <c r="O49"/>
      <c r="P49"/>
      <c r="Q49"/>
      <c r="R49"/>
      <c r="S49"/>
      <c r="T49"/>
      <c r="U49"/>
      <c r="V49"/>
      <c r="W49"/>
      <c r="X49"/>
      <c r="Y49"/>
    </row>
    <row r="50" spans="2:25" ht="15" customHeight="1">
      <c r="B50" s="31"/>
      <c r="C50" s="31"/>
      <c r="D50" s="31"/>
      <c r="E50" s="31"/>
      <c r="F50" s="31"/>
      <c r="G50" s="31"/>
      <c r="H50" s="31"/>
      <c r="I50" s="31"/>
      <c r="J50" s="31"/>
      <c r="K50" s="31"/>
      <c r="L50" s="31"/>
      <c r="M50" s="31"/>
      <c r="N50" s="31"/>
      <c r="O50"/>
      <c r="P50"/>
      <c r="Q50"/>
      <c r="R50"/>
      <c r="S50"/>
      <c r="T50"/>
      <c r="U50"/>
      <c r="V50"/>
      <c r="W50"/>
      <c r="X50"/>
      <c r="Y50"/>
    </row>
    <row r="51" spans="2:25" ht="15" customHeight="1">
      <c r="B51" s="31"/>
      <c r="C51" s="31"/>
      <c r="D51" s="31"/>
      <c r="E51" s="31"/>
      <c r="F51" s="31"/>
      <c r="G51" s="31"/>
      <c r="H51" s="31"/>
      <c r="I51" s="31"/>
      <c r="J51" s="31"/>
      <c r="K51" s="31"/>
      <c r="L51" s="31"/>
      <c r="M51" s="31"/>
      <c r="N51" s="31"/>
    </row>
    <row r="52" spans="2:25" ht="15" customHeight="1">
      <c r="B52" s="31"/>
      <c r="C52" s="31"/>
      <c r="D52" s="31"/>
      <c r="E52" s="31"/>
      <c r="F52" s="31"/>
      <c r="G52" s="31"/>
      <c r="H52" s="31"/>
      <c r="I52" s="31"/>
      <c r="J52" s="31"/>
      <c r="K52" s="31"/>
      <c r="L52" s="31"/>
      <c r="M52" s="31"/>
      <c r="N52" s="31"/>
    </row>
    <row r="53" spans="2:25" ht="15" customHeight="1">
      <c r="B53" s="31"/>
      <c r="C53" s="31"/>
      <c r="D53" s="31"/>
      <c r="E53" s="31"/>
      <c r="F53" s="31"/>
      <c r="G53" s="31"/>
      <c r="H53" s="31"/>
      <c r="I53" s="31"/>
      <c r="J53" s="31"/>
      <c r="K53" s="31"/>
      <c r="L53" s="31"/>
      <c r="M53" s="31"/>
      <c r="N53" s="31"/>
    </row>
    <row r="54" spans="2:25" ht="15" customHeight="1">
      <c r="B54" s="31"/>
      <c r="C54" s="31"/>
      <c r="D54" s="31"/>
      <c r="E54" s="31"/>
      <c r="F54" s="31"/>
      <c r="G54" s="31"/>
      <c r="H54" s="31"/>
      <c r="I54" s="31"/>
      <c r="J54" s="31"/>
      <c r="K54" s="31"/>
      <c r="L54" s="31"/>
      <c r="M54" s="31"/>
      <c r="N54" s="31"/>
    </row>
    <row r="55" spans="2:25" ht="15" customHeight="1">
      <c r="B55" s="31"/>
      <c r="C55" s="31"/>
      <c r="D55" s="31"/>
      <c r="E55" s="31"/>
      <c r="F55" s="31"/>
      <c r="G55" s="31"/>
      <c r="H55" s="31"/>
      <c r="I55" s="31"/>
      <c r="J55" s="31"/>
      <c r="K55" s="31"/>
      <c r="L55" s="31"/>
      <c r="M55" s="31"/>
      <c r="N55" s="31"/>
    </row>
    <row r="56" spans="2:25" ht="15" customHeight="1">
      <c r="B56" s="31"/>
      <c r="C56" s="31"/>
      <c r="D56" s="31"/>
      <c r="E56" s="31"/>
      <c r="F56" s="31"/>
      <c r="G56" s="31"/>
      <c r="H56" s="31"/>
      <c r="I56" s="31"/>
      <c r="J56" s="31"/>
      <c r="K56" s="31"/>
      <c r="L56" s="31"/>
      <c r="M56" s="31"/>
      <c r="N56" s="31"/>
    </row>
    <row r="57" spans="2:25" ht="15" customHeight="1">
      <c r="B57" s="31"/>
      <c r="C57" s="31"/>
      <c r="D57" s="31"/>
      <c r="E57" s="31"/>
      <c r="F57" s="31"/>
      <c r="G57" s="31"/>
      <c r="H57" s="31"/>
      <c r="I57" s="31"/>
      <c r="J57" s="31"/>
      <c r="K57" s="31"/>
      <c r="L57" s="31"/>
      <c r="M57" s="31"/>
      <c r="N57" s="31"/>
    </row>
    <row r="58" spans="2:25" ht="15" customHeight="1">
      <c r="B58" s="31"/>
      <c r="C58" s="31"/>
      <c r="D58" s="31"/>
      <c r="E58" s="31"/>
      <c r="F58" s="31"/>
      <c r="G58" s="31"/>
      <c r="H58" s="31"/>
      <c r="I58" s="31"/>
      <c r="J58" s="31"/>
      <c r="K58" s="31"/>
      <c r="L58" s="31"/>
      <c r="M58" s="31"/>
      <c r="N58" s="31"/>
    </row>
    <row r="59" spans="2:25" ht="15" customHeight="1">
      <c r="B59" s="31"/>
      <c r="C59" s="31"/>
      <c r="D59" s="31"/>
      <c r="E59" s="31"/>
      <c r="F59" s="31"/>
      <c r="G59" s="31"/>
      <c r="H59" s="31"/>
      <c r="I59" s="31"/>
      <c r="J59" s="31"/>
      <c r="K59" s="31"/>
      <c r="L59" s="31"/>
      <c r="M59" s="31"/>
      <c r="N59" s="31"/>
    </row>
    <row r="60" spans="2:25" ht="15" customHeight="1">
      <c r="B60" s="31"/>
      <c r="C60" s="31"/>
      <c r="D60" s="31"/>
      <c r="E60" s="31"/>
      <c r="F60" s="31"/>
      <c r="G60" s="31"/>
      <c r="H60" s="31"/>
      <c r="I60" s="31"/>
      <c r="J60" s="31"/>
      <c r="K60" s="31"/>
      <c r="L60" s="31"/>
      <c r="M60" s="31"/>
      <c r="N60" s="31"/>
    </row>
    <row r="61" spans="2:25" ht="15" customHeight="1">
      <c r="B61" s="31"/>
      <c r="C61" s="31"/>
      <c r="D61" s="31"/>
      <c r="E61" s="31"/>
      <c r="F61" s="31"/>
      <c r="G61" s="31"/>
      <c r="H61" s="31"/>
      <c r="I61" s="31"/>
      <c r="J61" s="31"/>
      <c r="K61" s="31"/>
      <c r="L61" s="31"/>
      <c r="M61" s="31"/>
      <c r="N61" s="31"/>
    </row>
    <row r="62" spans="2:25" ht="15" customHeight="1">
      <c r="B62" s="31"/>
      <c r="C62" s="31"/>
      <c r="D62" s="31"/>
      <c r="E62" s="31"/>
      <c r="F62" s="31"/>
      <c r="G62" s="31"/>
      <c r="H62" s="31"/>
      <c r="I62" s="31"/>
      <c r="J62" s="31"/>
      <c r="K62" s="31"/>
      <c r="L62" s="31"/>
      <c r="M62" s="31"/>
      <c r="N62" s="31"/>
    </row>
    <row r="63" spans="2:25" ht="15" customHeight="1">
      <c r="B63" s="31"/>
      <c r="C63" s="31"/>
      <c r="D63" s="31"/>
      <c r="E63" s="31"/>
      <c r="F63" s="31"/>
      <c r="G63" s="31"/>
      <c r="H63" s="31"/>
      <c r="I63" s="31"/>
      <c r="J63" s="31"/>
      <c r="K63" s="31"/>
      <c r="L63" s="31"/>
      <c r="M63" s="31"/>
      <c r="N63" s="31"/>
    </row>
    <row r="64" spans="2:25" ht="15" customHeight="1">
      <c r="B64" s="31"/>
      <c r="C64" s="31"/>
      <c r="D64" s="31"/>
      <c r="E64" s="31"/>
      <c r="F64" s="31"/>
      <c r="G64" s="31"/>
      <c r="H64" s="31"/>
      <c r="I64" s="31"/>
      <c r="J64" s="31"/>
      <c r="K64" s="31"/>
      <c r="L64" s="31"/>
      <c r="M64" s="31"/>
      <c r="N64" s="31"/>
    </row>
    <row r="65" spans="2:14" ht="15" customHeight="1">
      <c r="B65" s="31"/>
      <c r="C65" s="31"/>
      <c r="D65" s="31"/>
      <c r="E65" s="31"/>
      <c r="F65" s="31"/>
      <c r="G65" s="31"/>
      <c r="H65" s="31"/>
      <c r="I65" s="31"/>
      <c r="J65" s="31"/>
      <c r="K65" s="31"/>
      <c r="L65" s="31"/>
      <c r="M65" s="31"/>
      <c r="N65" s="31"/>
    </row>
    <row r="66" spans="2:14" ht="15" customHeight="1">
      <c r="B66" s="31"/>
      <c r="C66" s="31"/>
      <c r="D66" s="31"/>
      <c r="E66" s="31"/>
      <c r="F66" s="31"/>
      <c r="G66" s="31"/>
      <c r="H66" s="31"/>
      <c r="I66" s="31"/>
      <c r="J66" s="31"/>
      <c r="K66" s="31"/>
      <c r="L66" s="31"/>
      <c r="M66" s="31"/>
      <c r="N66" s="31"/>
    </row>
    <row r="67" spans="2:14" ht="15" customHeight="1">
      <c r="B67" s="31"/>
      <c r="C67" s="31"/>
      <c r="D67" s="31"/>
      <c r="E67" s="31"/>
      <c r="F67" s="31"/>
      <c r="G67" s="31"/>
      <c r="H67" s="31"/>
      <c r="I67" s="31"/>
      <c r="J67" s="31"/>
      <c r="K67" s="31"/>
      <c r="L67" s="31"/>
      <c r="M67" s="31"/>
      <c r="N67" s="31"/>
    </row>
    <row r="68" spans="2:14" ht="15" customHeight="1">
      <c r="B68" s="31"/>
      <c r="C68" s="31"/>
      <c r="D68" s="31"/>
      <c r="E68" s="31"/>
      <c r="F68" s="31"/>
      <c r="G68" s="31"/>
      <c r="H68" s="31"/>
      <c r="I68" s="31"/>
      <c r="J68" s="31"/>
      <c r="K68" s="31"/>
      <c r="L68" s="31"/>
      <c r="M68" s="31"/>
      <c r="N68" s="31"/>
    </row>
    <row r="69" spans="2:14" ht="15" customHeight="1">
      <c r="B69" s="31"/>
      <c r="C69" s="31"/>
      <c r="D69" s="31"/>
      <c r="E69" s="31"/>
      <c r="F69" s="31"/>
      <c r="G69" s="31"/>
      <c r="H69" s="31"/>
      <c r="I69" s="31"/>
      <c r="J69" s="31"/>
      <c r="K69" s="31"/>
      <c r="L69" s="31"/>
      <c r="M69" s="31"/>
      <c r="N69" s="31"/>
    </row>
    <row r="70" spans="2:14" ht="15" customHeight="1">
      <c r="B70" s="31"/>
      <c r="C70" s="31"/>
      <c r="D70" s="31"/>
      <c r="E70" s="31"/>
      <c r="F70" s="31"/>
      <c r="G70" s="31"/>
      <c r="H70" s="31"/>
      <c r="I70" s="31"/>
      <c r="J70" s="31"/>
      <c r="K70" s="31"/>
      <c r="L70" s="31"/>
      <c r="M70" s="31"/>
      <c r="N70" s="31"/>
    </row>
    <row r="71" spans="2:14" ht="15" customHeight="1">
      <c r="B71" s="31"/>
      <c r="C71" s="31"/>
      <c r="D71" s="31"/>
      <c r="E71" s="31"/>
      <c r="F71" s="31"/>
      <c r="G71" s="31"/>
      <c r="H71" s="31"/>
      <c r="I71" s="31"/>
      <c r="J71" s="31"/>
      <c r="K71" s="31"/>
      <c r="L71" s="31"/>
      <c r="M71" s="31"/>
      <c r="N71" s="31"/>
    </row>
    <row r="72" spans="2:14" ht="15" customHeight="1">
      <c r="B72" s="31"/>
      <c r="C72" s="31"/>
      <c r="D72" s="31"/>
      <c r="E72" s="31"/>
      <c r="F72" s="31"/>
      <c r="G72" s="31"/>
      <c r="H72" s="31"/>
      <c r="I72" s="31"/>
      <c r="J72" s="31"/>
      <c r="K72" s="31"/>
      <c r="L72" s="31"/>
      <c r="M72" s="31"/>
      <c r="N72" s="31"/>
    </row>
    <row r="73" spans="2:14" ht="15" customHeight="1">
      <c r="B73" s="31"/>
      <c r="C73" s="31"/>
      <c r="D73" s="31"/>
      <c r="E73" s="31"/>
      <c r="F73" s="31"/>
      <c r="G73" s="31"/>
      <c r="H73" s="31"/>
      <c r="I73" s="31"/>
      <c r="J73" s="31"/>
      <c r="K73" s="31"/>
      <c r="L73" s="31"/>
      <c r="M73" s="31"/>
      <c r="N73" s="31"/>
    </row>
    <row r="74" spans="2:14" ht="15" customHeight="1">
      <c r="B74" s="31"/>
      <c r="C74" s="31"/>
      <c r="D74" s="31"/>
      <c r="E74" s="31"/>
      <c r="F74" s="31"/>
      <c r="G74" s="31"/>
      <c r="H74" s="31"/>
      <c r="I74" s="31"/>
      <c r="J74" s="31"/>
      <c r="K74" s="31"/>
      <c r="L74" s="31"/>
      <c r="M74" s="31"/>
      <c r="N74" s="31"/>
    </row>
    <row r="75" spans="2:14" ht="15" customHeight="1">
      <c r="B75" s="31"/>
      <c r="C75" s="31"/>
      <c r="D75" s="31"/>
      <c r="E75" s="31"/>
      <c r="F75" s="31"/>
      <c r="G75" s="31"/>
      <c r="H75" s="31"/>
      <c r="I75" s="31"/>
      <c r="J75" s="31"/>
      <c r="K75" s="31"/>
      <c r="L75" s="31"/>
      <c r="M75" s="31"/>
      <c r="N75" s="31"/>
    </row>
    <row r="76" spans="2:14" ht="15" customHeight="1">
      <c r="B76" s="31"/>
      <c r="C76" s="31"/>
      <c r="D76" s="31"/>
      <c r="E76" s="31"/>
      <c r="F76" s="31"/>
      <c r="G76" s="31"/>
      <c r="H76" s="31"/>
      <c r="I76" s="31"/>
      <c r="J76" s="31"/>
      <c r="K76" s="31"/>
      <c r="L76" s="31"/>
      <c r="M76" s="31"/>
      <c r="N76" s="31"/>
    </row>
    <row r="77" spans="2:14" ht="15" customHeight="1">
      <c r="B77" s="31"/>
      <c r="C77" s="31"/>
      <c r="D77" s="31"/>
      <c r="E77" s="31"/>
      <c r="F77" s="31"/>
      <c r="G77" s="31"/>
      <c r="H77" s="31"/>
      <c r="I77" s="31"/>
      <c r="J77" s="31"/>
      <c r="K77" s="31"/>
      <c r="L77" s="31"/>
      <c r="M77" s="31"/>
      <c r="N77" s="31"/>
    </row>
    <row r="78" spans="2:14" ht="15" customHeight="1">
      <c r="B78" s="31"/>
      <c r="C78" s="31"/>
      <c r="D78" s="31"/>
      <c r="E78" s="31"/>
      <c r="F78" s="31"/>
      <c r="G78" s="31"/>
      <c r="H78" s="31"/>
      <c r="I78" s="31"/>
      <c r="J78" s="31"/>
      <c r="K78" s="31"/>
      <c r="L78" s="31"/>
      <c r="M78" s="31"/>
      <c r="N78" s="31"/>
    </row>
    <row r="79" spans="2:14" ht="15" customHeight="1">
      <c r="B79" s="31"/>
      <c r="C79" s="31"/>
      <c r="D79" s="31"/>
      <c r="E79" s="31"/>
      <c r="F79" s="31"/>
      <c r="G79" s="31"/>
      <c r="H79" s="31"/>
      <c r="I79" s="31"/>
      <c r="J79" s="31"/>
      <c r="K79" s="31"/>
      <c r="L79" s="31"/>
      <c r="M79" s="31"/>
      <c r="N79" s="31"/>
    </row>
    <row r="80" spans="2:14" ht="15" customHeight="1">
      <c r="B80" s="31"/>
      <c r="C80" s="31"/>
      <c r="D80" s="31"/>
      <c r="E80" s="31"/>
      <c r="F80" s="31"/>
      <c r="G80" s="31"/>
      <c r="H80" s="31"/>
      <c r="I80" s="31"/>
      <c r="J80" s="31"/>
      <c r="K80" s="31"/>
      <c r="L80" s="31"/>
      <c r="M80" s="31"/>
      <c r="N80" s="31"/>
    </row>
    <row r="81" spans="2:14" ht="15" customHeight="1">
      <c r="B81" s="31"/>
      <c r="C81" s="31"/>
      <c r="D81" s="31"/>
      <c r="E81" s="31"/>
      <c r="F81" s="31"/>
      <c r="G81" s="31"/>
      <c r="H81" s="31"/>
      <c r="I81" s="31"/>
      <c r="J81" s="31"/>
      <c r="K81" s="31"/>
      <c r="L81" s="31"/>
      <c r="M81" s="31"/>
      <c r="N81" s="31"/>
    </row>
    <row r="82" spans="2:14" ht="15" customHeight="1">
      <c r="B82" s="31"/>
      <c r="C82" s="31"/>
      <c r="D82" s="31"/>
      <c r="E82" s="31"/>
      <c r="F82" s="31"/>
      <c r="G82" s="31"/>
      <c r="H82" s="31"/>
      <c r="I82" s="31"/>
      <c r="J82" s="31"/>
      <c r="K82" s="31"/>
      <c r="L82" s="31"/>
      <c r="M82" s="31"/>
      <c r="N82" s="31"/>
    </row>
    <row r="83" spans="2:14" ht="15" customHeight="1">
      <c r="B83" s="31"/>
      <c r="C83" s="31"/>
      <c r="D83" s="31"/>
      <c r="E83" s="31"/>
      <c r="F83" s="31"/>
      <c r="G83" s="31"/>
      <c r="H83" s="31"/>
      <c r="I83" s="31"/>
      <c r="J83" s="31"/>
      <c r="K83" s="31"/>
      <c r="L83" s="31"/>
      <c r="M83" s="31"/>
      <c r="N83" s="31"/>
    </row>
    <row r="84" spans="2:14" ht="15" customHeight="1">
      <c r="B84" s="31"/>
      <c r="C84" s="31"/>
      <c r="D84" s="31"/>
      <c r="E84" s="31"/>
      <c r="F84" s="31"/>
      <c r="G84" s="31"/>
      <c r="H84" s="31"/>
      <c r="I84" s="31"/>
      <c r="J84" s="31"/>
      <c r="K84" s="31"/>
      <c r="L84" s="31"/>
      <c r="M84" s="31"/>
      <c r="N84" s="31"/>
    </row>
    <row r="85" spans="2:14" ht="15" customHeight="1">
      <c r="B85" s="31"/>
      <c r="C85" s="31"/>
      <c r="D85" s="31"/>
      <c r="E85" s="31"/>
      <c r="F85" s="31"/>
      <c r="G85" s="31"/>
      <c r="H85" s="31"/>
      <c r="I85" s="31"/>
      <c r="J85" s="31"/>
      <c r="K85" s="31"/>
      <c r="L85" s="31"/>
      <c r="M85" s="31"/>
      <c r="N85" s="31"/>
    </row>
    <row r="86" spans="2:14" ht="15" customHeight="1">
      <c r="B86" s="31"/>
      <c r="C86" s="31"/>
      <c r="D86" s="31"/>
      <c r="E86" s="31"/>
      <c r="F86" s="31"/>
      <c r="G86" s="31"/>
      <c r="H86" s="31"/>
      <c r="I86" s="31"/>
      <c r="J86" s="31"/>
      <c r="K86" s="31"/>
      <c r="L86" s="31"/>
      <c r="M86" s="31"/>
      <c r="N86" s="31"/>
    </row>
    <row r="87" spans="2:14" ht="15" customHeight="1">
      <c r="B87" s="31"/>
      <c r="C87" s="31"/>
      <c r="D87" s="31"/>
      <c r="E87" s="31"/>
      <c r="F87" s="31"/>
      <c r="G87" s="31"/>
      <c r="H87" s="31"/>
      <c r="I87" s="31"/>
      <c r="J87" s="31"/>
      <c r="K87" s="31"/>
      <c r="L87" s="31"/>
      <c r="M87" s="31"/>
      <c r="N87" s="31"/>
    </row>
    <row r="88" spans="2:14" ht="15" customHeight="1">
      <c r="B88" s="31"/>
      <c r="C88" s="31"/>
      <c r="D88" s="31"/>
      <c r="E88" s="31"/>
      <c r="F88" s="31"/>
      <c r="G88" s="31"/>
      <c r="H88" s="31"/>
      <c r="I88" s="31"/>
      <c r="J88" s="31"/>
      <c r="K88" s="31"/>
      <c r="L88" s="31"/>
      <c r="M88" s="31"/>
      <c r="N88" s="31"/>
    </row>
    <row r="89" spans="2:14" ht="15" customHeight="1">
      <c r="B89" s="31"/>
      <c r="C89" s="31"/>
      <c r="D89" s="31"/>
      <c r="E89" s="31"/>
      <c r="F89" s="31"/>
      <c r="G89" s="31"/>
      <c r="H89" s="31"/>
      <c r="I89" s="31"/>
      <c r="J89" s="31"/>
      <c r="K89" s="31"/>
      <c r="L89" s="31"/>
      <c r="M89" s="31"/>
      <c r="N89" s="31"/>
    </row>
    <row r="90" spans="2:14" ht="15" customHeight="1">
      <c r="B90" s="31"/>
      <c r="C90" s="31"/>
      <c r="D90" s="31"/>
      <c r="E90" s="31"/>
      <c r="F90" s="31"/>
      <c r="G90" s="31"/>
      <c r="H90" s="31"/>
      <c r="I90" s="31"/>
      <c r="J90" s="31"/>
      <c r="K90" s="31"/>
      <c r="L90" s="31"/>
      <c r="M90" s="31"/>
      <c r="N90" s="31"/>
    </row>
    <row r="91" spans="2:14" ht="15" customHeight="1">
      <c r="B91" s="31"/>
      <c r="C91" s="31"/>
      <c r="D91" s="31"/>
      <c r="E91" s="31"/>
      <c r="F91" s="31"/>
      <c r="G91" s="31"/>
      <c r="H91" s="31"/>
      <c r="I91" s="31"/>
      <c r="J91" s="31"/>
      <c r="K91" s="31"/>
      <c r="L91" s="31"/>
      <c r="M91" s="31"/>
      <c r="N91" s="31"/>
    </row>
    <row r="92" spans="2:14" ht="15" customHeight="1">
      <c r="B92" s="31"/>
      <c r="C92" s="31"/>
      <c r="D92" s="31"/>
      <c r="E92" s="31"/>
      <c r="F92" s="31"/>
      <c r="G92" s="31"/>
      <c r="H92" s="31"/>
      <c r="I92" s="31"/>
      <c r="J92" s="31"/>
      <c r="K92" s="31"/>
      <c r="L92" s="31"/>
      <c r="M92" s="31"/>
      <c r="N92" s="31"/>
    </row>
    <row r="93" spans="2:14" ht="15" customHeight="1">
      <c r="B93" s="31"/>
      <c r="C93" s="31"/>
      <c r="D93" s="31"/>
      <c r="E93" s="31"/>
      <c r="F93" s="31"/>
      <c r="G93" s="31"/>
      <c r="H93" s="31"/>
      <c r="I93" s="31"/>
      <c r="J93" s="31"/>
      <c r="K93" s="31"/>
      <c r="L93" s="31"/>
      <c r="M93" s="31"/>
      <c r="N93" s="31"/>
    </row>
    <row r="94" spans="2:14" ht="15" customHeight="1">
      <c r="B94" s="31"/>
      <c r="C94" s="31"/>
      <c r="D94" s="31"/>
      <c r="E94" s="31"/>
      <c r="F94" s="31"/>
      <c r="G94" s="31"/>
      <c r="H94" s="31"/>
      <c r="I94" s="31"/>
      <c r="J94" s="31"/>
      <c r="K94" s="31"/>
      <c r="L94" s="31"/>
      <c r="M94" s="31"/>
      <c r="N94" s="31"/>
    </row>
    <row r="95" spans="2:14" ht="15" customHeight="1">
      <c r="B95" s="31"/>
      <c r="C95" s="31"/>
      <c r="D95" s="31"/>
      <c r="E95" s="31"/>
      <c r="F95" s="31"/>
      <c r="G95" s="31"/>
      <c r="H95" s="31"/>
      <c r="I95" s="31"/>
      <c r="J95" s="31"/>
      <c r="K95" s="31"/>
      <c r="L95" s="31"/>
      <c r="M95" s="31"/>
      <c r="N95" s="31"/>
    </row>
    <row r="96" spans="2:14" ht="15" customHeight="1">
      <c r="B96" s="31"/>
      <c r="C96" s="31"/>
      <c r="D96" s="31"/>
      <c r="E96" s="31"/>
      <c r="F96" s="31"/>
      <c r="G96" s="31"/>
      <c r="H96" s="31"/>
      <c r="I96" s="31"/>
      <c r="J96" s="31"/>
      <c r="K96" s="31"/>
      <c r="L96" s="31"/>
      <c r="M96" s="31"/>
      <c r="N96" s="31"/>
    </row>
    <row r="97" spans="2:14" ht="15" customHeight="1">
      <c r="B97" s="31"/>
      <c r="C97" s="31"/>
      <c r="D97" s="31"/>
      <c r="E97" s="31"/>
      <c r="F97" s="31"/>
      <c r="G97" s="31"/>
      <c r="H97" s="31"/>
      <c r="I97" s="31"/>
      <c r="J97" s="31"/>
      <c r="K97" s="31"/>
      <c r="L97" s="31"/>
      <c r="M97" s="31"/>
      <c r="N97" s="31"/>
    </row>
    <row r="98" spans="2:14" ht="15" customHeight="1">
      <c r="B98" s="31"/>
      <c r="C98" s="31"/>
      <c r="D98" s="31"/>
      <c r="E98" s="31"/>
      <c r="F98" s="31"/>
      <c r="G98" s="31"/>
      <c r="H98" s="31"/>
      <c r="I98" s="31"/>
      <c r="J98" s="31"/>
      <c r="K98" s="31"/>
      <c r="L98" s="31"/>
      <c r="M98" s="31"/>
      <c r="N98" s="31"/>
    </row>
    <row r="99" spans="2:14" ht="15" customHeight="1">
      <c r="B99" s="31"/>
      <c r="C99" s="31"/>
      <c r="D99" s="31"/>
      <c r="E99" s="31"/>
      <c r="F99" s="31"/>
      <c r="G99" s="31"/>
      <c r="H99" s="31"/>
      <c r="I99" s="31"/>
      <c r="J99" s="31"/>
      <c r="K99" s="31"/>
      <c r="L99" s="31"/>
      <c r="M99" s="31"/>
      <c r="N99" s="31"/>
    </row>
    <row r="100" spans="2:14" ht="15" customHeight="1">
      <c r="B100" s="31"/>
      <c r="C100" s="31"/>
      <c r="D100" s="31"/>
      <c r="E100" s="31"/>
      <c r="F100" s="31"/>
      <c r="G100" s="31"/>
      <c r="H100" s="31"/>
      <c r="I100" s="31"/>
      <c r="J100" s="31"/>
      <c r="K100" s="31"/>
      <c r="L100" s="31"/>
      <c r="M100" s="31"/>
      <c r="N100" s="31"/>
    </row>
    <row r="101" spans="2:14" ht="15" customHeight="1">
      <c r="B101" s="31"/>
      <c r="C101" s="31"/>
      <c r="D101" s="31"/>
      <c r="E101" s="31"/>
      <c r="F101" s="31"/>
      <c r="G101" s="31"/>
      <c r="H101" s="31"/>
      <c r="I101" s="31"/>
      <c r="J101" s="31"/>
      <c r="K101" s="31"/>
      <c r="L101" s="31"/>
      <c r="M101" s="31"/>
      <c r="N101" s="31"/>
    </row>
  </sheetData>
  <mergeCells count="1">
    <mergeCell ref="L1:M1"/>
  </mergeCells>
  <conditionalFormatting sqref="B1">
    <cfRule type="cellIs" dxfId="38" priority="1" operator="equal">
      <formula>"Incomplete"</formula>
    </cfRule>
    <cfRule type="cellIs" dxfId="37" priority="2" operator="equal">
      <formula>"Flag for Review"</formula>
    </cfRule>
    <cfRule type="cellIs" dxfId="3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L1" location="'Point Grid'!A8" display="Return to Point Grid"/>
    <hyperlink ref="L1:M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19</v>
      </c>
      <c r="B1" s="27" t="s">
        <v>12</v>
      </c>
      <c r="C1" s="20"/>
      <c r="D1" s="20"/>
      <c r="E1" s="20"/>
      <c r="F1" s="20"/>
      <c r="G1" s="20"/>
      <c r="H1" s="886" t="s">
        <v>24</v>
      </c>
      <c r="I1" s="887"/>
      <c r="K1" s="1" t="s">
        <v>33</v>
      </c>
      <c r="L1" s="52" t="str">
        <f>VLOOKUP(A1,'Point Grid'!$L$8:$T$54,9,FALSE)</f>
        <v>Reserving - Chap 1: Overview</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916</v>
      </c>
      <c r="M3"/>
      <c r="N3"/>
      <c r="O3"/>
      <c r="P3"/>
      <c r="Q3"/>
      <c r="R3"/>
      <c r="S3"/>
      <c r="T3"/>
      <c r="U3"/>
    </row>
    <row r="4" spans="1:21">
      <c r="A4" s="9">
        <f>INDEX('Point Grid'!B:B,MATCH(A1,'Point Grid'!A:A,0))</f>
        <v>0.75</v>
      </c>
      <c r="B4" s="17"/>
      <c r="C4" s="17"/>
      <c r="D4" s="17"/>
      <c r="E4" s="17"/>
      <c r="F4" s="17"/>
      <c r="G4" s="17"/>
      <c r="H4" s="17"/>
      <c r="I4" s="18"/>
      <c r="J4" s="31"/>
      <c r="K4" s="48"/>
      <c r="L4"/>
      <c r="M4"/>
      <c r="N4"/>
      <c r="O4"/>
      <c r="P4"/>
      <c r="Q4"/>
      <c r="R4"/>
      <c r="S4"/>
      <c r="T4"/>
      <c r="U4"/>
    </row>
    <row r="5" spans="1:21">
      <c r="A5" s="16"/>
      <c r="B5" s="17"/>
      <c r="C5" s="17"/>
      <c r="D5" s="17"/>
      <c r="E5" s="17"/>
      <c r="F5" s="17"/>
      <c r="G5" s="17"/>
      <c r="H5" s="17"/>
      <c r="I5" s="18"/>
      <c r="J5" s="31"/>
      <c r="K5" s="48"/>
      <c r="L5" s="48" t="s">
        <v>60</v>
      </c>
      <c r="M5" t="s">
        <v>920</v>
      </c>
      <c r="N5"/>
      <c r="O5"/>
      <c r="P5"/>
      <c r="Q5"/>
      <c r="R5"/>
      <c r="S5"/>
      <c r="T5"/>
      <c r="U5"/>
    </row>
    <row r="6" spans="1:21">
      <c r="A6" s="25" t="s">
        <v>2</v>
      </c>
      <c r="B6" s="17" t="s">
        <v>917</v>
      </c>
      <c r="C6" s="17"/>
      <c r="D6" s="17"/>
      <c r="E6" s="17"/>
      <c r="F6" s="17"/>
      <c r="G6" s="17"/>
      <c r="H6" s="17"/>
      <c r="I6" s="18"/>
      <c r="J6" s="31"/>
      <c r="K6" s="48"/>
      <c r="L6" s="3"/>
      <c r="M6"/>
      <c r="N6"/>
      <c r="O6"/>
      <c r="P6"/>
      <c r="Q6"/>
      <c r="R6"/>
      <c r="S6"/>
      <c r="T6"/>
      <c r="U6"/>
    </row>
    <row r="7" spans="1:21" ht="15.75" thickBot="1">
      <c r="A7" s="9">
        <f>INDEX('Point Grid'!$C$8:$I$54,MATCH($A$1,'Point Grid'!$A$8:$A$54,0),MATCH(A6,'Point Grid'!$C$7:$I$7,0))</f>
        <v>0.75</v>
      </c>
      <c r="B7" s="17"/>
      <c r="C7" s="17"/>
      <c r="D7" s="17"/>
      <c r="E7" s="17"/>
      <c r="F7" s="17"/>
      <c r="G7" s="17"/>
      <c r="H7" s="17"/>
      <c r="I7" s="18"/>
      <c r="J7" s="31"/>
      <c r="K7" s="48"/>
      <c r="L7" s="48" t="s">
        <v>61</v>
      </c>
      <c r="M7" t="s">
        <v>918</v>
      </c>
      <c r="N7"/>
      <c r="O7"/>
      <c r="P7"/>
      <c r="Q7"/>
      <c r="R7"/>
      <c r="S7"/>
      <c r="T7"/>
      <c r="U7"/>
    </row>
    <row r="8" spans="1:21" ht="15.75" thickBot="1">
      <c r="A8" s="5"/>
      <c r="B8" s="35" t="s">
        <v>60</v>
      </c>
      <c r="C8" s="28" t="s">
        <v>311</v>
      </c>
      <c r="D8" s="28"/>
      <c r="E8" s="28"/>
      <c r="F8" s="28"/>
      <c r="G8" s="28"/>
      <c r="H8" s="28"/>
      <c r="I8" s="18"/>
      <c r="J8" s="31"/>
      <c r="K8"/>
      <c r="L8" s="48"/>
      <c r="M8"/>
      <c r="N8"/>
      <c r="O8"/>
      <c r="P8"/>
      <c r="Q8"/>
      <c r="R8"/>
      <c r="S8"/>
      <c r="T8"/>
      <c r="U8"/>
    </row>
    <row r="9" spans="1:21">
      <c r="A9" s="25"/>
      <c r="B9" s="35" t="s">
        <v>61</v>
      </c>
      <c r="C9" s="17" t="s">
        <v>312</v>
      </c>
      <c r="D9" s="17"/>
      <c r="E9" s="17"/>
      <c r="F9" s="17"/>
      <c r="G9" s="17"/>
      <c r="H9" s="17"/>
      <c r="I9" s="18"/>
      <c r="J9" s="31"/>
      <c r="K9" s="48"/>
      <c r="L9" s="48" t="s">
        <v>310</v>
      </c>
      <c r="M9" t="s">
        <v>919</v>
      </c>
      <c r="N9"/>
      <c r="O9"/>
      <c r="P9"/>
      <c r="Q9"/>
      <c r="R9"/>
      <c r="S9"/>
    </row>
    <row r="10" spans="1:21">
      <c r="A10" s="25"/>
      <c r="B10" s="35" t="s">
        <v>310</v>
      </c>
      <c r="C10" s="17" t="s">
        <v>313</v>
      </c>
      <c r="D10" s="17"/>
      <c r="E10" s="17"/>
      <c r="F10" s="17"/>
      <c r="G10" s="17"/>
      <c r="H10" s="17"/>
      <c r="I10" s="18"/>
      <c r="J10" s="31"/>
      <c r="K10"/>
      <c r="L10" s="1"/>
      <c r="M10"/>
      <c r="N10"/>
      <c r="O10"/>
      <c r="P10"/>
      <c r="Q10"/>
      <c r="R10"/>
      <c r="S10"/>
      <c r="T10"/>
      <c r="U10"/>
    </row>
    <row r="11" spans="1:21">
      <c r="A11" s="25"/>
      <c r="B11" s="17"/>
      <c r="C11" s="17"/>
      <c r="D11" s="17"/>
      <c r="E11" s="17"/>
      <c r="F11" s="17"/>
      <c r="G11" s="17"/>
      <c r="H11" s="17"/>
      <c r="I11" s="18"/>
      <c r="J11" s="31"/>
      <c r="K11"/>
      <c r="L11"/>
      <c r="M11"/>
      <c r="N11"/>
      <c r="O11"/>
      <c r="P11"/>
      <c r="Q11"/>
      <c r="R11"/>
      <c r="S11"/>
      <c r="T11"/>
      <c r="U11"/>
    </row>
    <row r="12" spans="1:21">
      <c r="A12" s="25"/>
      <c r="B12" s="17"/>
      <c r="C12" s="17"/>
      <c r="D12" s="17"/>
      <c r="E12" s="17"/>
      <c r="F12" s="17"/>
      <c r="G12" s="17"/>
      <c r="H12" s="17"/>
      <c r="I12" s="18"/>
      <c r="J12" s="31"/>
      <c r="K12"/>
      <c r="L12"/>
      <c r="M12"/>
      <c r="N12"/>
      <c r="O12"/>
      <c r="P12"/>
      <c r="Q12"/>
      <c r="R12"/>
      <c r="S12"/>
      <c r="T12"/>
      <c r="U12"/>
    </row>
    <row r="13" spans="1:21">
      <c r="A13" s="25"/>
      <c r="B13" s="17"/>
      <c r="C13" s="17"/>
      <c r="D13" s="17"/>
      <c r="E13" s="17"/>
      <c r="F13" s="17"/>
      <c r="G13" s="17"/>
      <c r="H13" s="17"/>
      <c r="I13" s="18"/>
      <c r="J13" s="31"/>
      <c r="K13" s="48"/>
      <c r="L13"/>
      <c r="M13"/>
      <c r="N13"/>
      <c r="O13"/>
      <c r="P13"/>
      <c r="Q13"/>
      <c r="R13"/>
      <c r="S13"/>
      <c r="T13"/>
      <c r="U13"/>
    </row>
    <row r="14" spans="1:21">
      <c r="A14" s="25"/>
      <c r="B14" s="17"/>
      <c r="C14" s="17"/>
      <c r="D14" s="17"/>
      <c r="E14" s="17"/>
      <c r="F14" s="17"/>
      <c r="G14" s="17"/>
      <c r="H14" s="17"/>
      <c r="I14" s="18"/>
      <c r="J14" s="31"/>
      <c r="K14"/>
      <c r="L14"/>
      <c r="M14"/>
      <c r="N14"/>
      <c r="O14"/>
      <c r="P14"/>
      <c r="Q14"/>
      <c r="R14"/>
      <c r="S14"/>
      <c r="T14"/>
      <c r="U14"/>
    </row>
    <row r="15" spans="1:21">
      <c r="A15" s="25"/>
      <c r="B15" s="17"/>
      <c r="C15" s="17"/>
      <c r="D15" s="17"/>
      <c r="E15" s="17"/>
      <c r="F15" s="17"/>
      <c r="G15" s="17"/>
      <c r="H15" s="17"/>
      <c r="I15" s="18"/>
      <c r="J15" s="31"/>
      <c r="K15"/>
      <c r="L15"/>
      <c r="M15"/>
      <c r="N15"/>
      <c r="O15"/>
      <c r="P15"/>
      <c r="Q15"/>
      <c r="R15"/>
      <c r="S15"/>
      <c r="T15"/>
      <c r="U15"/>
    </row>
    <row r="16" spans="1:21">
      <c r="A16" s="25"/>
      <c r="B16" s="17"/>
      <c r="C16" s="17"/>
      <c r="D16" s="17"/>
      <c r="E16" s="17"/>
      <c r="F16" s="17"/>
      <c r="G16" s="17"/>
      <c r="H16" s="17"/>
      <c r="I16" s="18"/>
      <c r="J16" s="31"/>
      <c r="K16" s="48"/>
      <c r="L16" s="1"/>
      <c r="M16"/>
      <c r="N16"/>
      <c r="O16"/>
      <c r="P16"/>
      <c r="Q16"/>
      <c r="R16"/>
      <c r="S16"/>
      <c r="T16"/>
      <c r="U16"/>
    </row>
    <row r="17" spans="1:21">
      <c r="A17" s="25"/>
      <c r="B17" s="17"/>
      <c r="C17" s="17"/>
      <c r="D17" s="17"/>
      <c r="E17" s="17"/>
      <c r="F17" s="17"/>
      <c r="G17" s="17"/>
      <c r="H17" s="17"/>
      <c r="I17" s="18"/>
      <c r="J17" s="31"/>
      <c r="K17"/>
      <c r="L17"/>
      <c r="M17"/>
      <c r="N17"/>
      <c r="O17"/>
      <c r="P17"/>
      <c r="Q17"/>
      <c r="R17"/>
      <c r="S17"/>
      <c r="T17"/>
      <c r="U17"/>
    </row>
    <row r="18" spans="1:21" ht="15" customHeight="1">
      <c r="A18" s="25"/>
      <c r="B18" s="17"/>
      <c r="C18" s="17"/>
      <c r="D18" s="17"/>
      <c r="E18" s="17"/>
      <c r="F18" s="17"/>
      <c r="G18" s="17"/>
      <c r="H18" s="17"/>
      <c r="I18" s="18"/>
      <c r="J18" s="31"/>
      <c r="K18"/>
      <c r="L18"/>
      <c r="M18"/>
      <c r="N18"/>
      <c r="O18"/>
      <c r="P18"/>
      <c r="Q18"/>
      <c r="R18"/>
      <c r="S18"/>
      <c r="T18"/>
      <c r="U18"/>
    </row>
    <row r="19" spans="1:21" ht="15" customHeight="1">
      <c r="A19" s="25"/>
      <c r="B19" s="17"/>
      <c r="C19" s="17"/>
      <c r="D19" s="17"/>
      <c r="E19" s="17"/>
      <c r="F19" s="17"/>
      <c r="G19" s="17"/>
      <c r="H19" s="17"/>
      <c r="I19" s="18"/>
      <c r="J19" s="31"/>
      <c r="K19"/>
      <c r="L19"/>
      <c r="M19"/>
      <c r="N19"/>
      <c r="O19"/>
      <c r="P19"/>
      <c r="Q19"/>
      <c r="R19"/>
      <c r="S19"/>
      <c r="T19"/>
      <c r="U19"/>
    </row>
    <row r="20" spans="1:21" ht="15" customHeight="1">
      <c r="A20" s="25"/>
      <c r="B20" s="17"/>
      <c r="C20" s="17"/>
      <c r="D20" s="17"/>
      <c r="E20" s="17"/>
      <c r="F20" s="17"/>
      <c r="G20" s="17"/>
      <c r="H20" s="17"/>
      <c r="I20" s="18"/>
      <c r="J20" s="31"/>
      <c r="K20"/>
      <c r="L20"/>
      <c r="M20"/>
      <c r="N20"/>
      <c r="O20"/>
      <c r="P20"/>
      <c r="Q20"/>
      <c r="R20"/>
      <c r="S20"/>
      <c r="T20"/>
      <c r="U20"/>
    </row>
    <row r="21" spans="1:21" ht="15" customHeight="1">
      <c r="A21" s="25"/>
      <c r="B21" s="17"/>
      <c r="C21" s="17"/>
      <c r="D21" s="17"/>
      <c r="E21" s="17"/>
      <c r="F21" s="17"/>
      <c r="G21" s="17"/>
      <c r="H21" s="17"/>
      <c r="I21" s="18"/>
      <c r="J21" s="31"/>
      <c r="K21"/>
      <c r="L21"/>
      <c r="M21"/>
      <c r="N21"/>
      <c r="O21"/>
      <c r="P21"/>
      <c r="Q21"/>
      <c r="R21"/>
      <c r="S21"/>
      <c r="T21"/>
      <c r="U21"/>
    </row>
    <row r="22" spans="1:21" ht="15" customHeight="1">
      <c r="A22" s="25"/>
      <c r="B22" s="17"/>
      <c r="C22" s="17"/>
      <c r="D22" s="17"/>
      <c r="E22" s="17"/>
      <c r="F22" s="17"/>
      <c r="G22" s="17"/>
      <c r="H22" s="17"/>
      <c r="I22" s="18"/>
      <c r="J22" s="31"/>
      <c r="K22"/>
      <c r="L22"/>
      <c r="M22"/>
      <c r="N22"/>
      <c r="O22"/>
      <c r="P22"/>
      <c r="Q22"/>
      <c r="R22"/>
      <c r="S22"/>
      <c r="T22"/>
      <c r="U22"/>
    </row>
    <row r="23" spans="1:21" ht="15" customHeight="1">
      <c r="A23" s="25"/>
      <c r="B23" s="17"/>
      <c r="C23" s="17"/>
      <c r="D23" s="17"/>
      <c r="E23" s="17"/>
      <c r="F23" s="17"/>
      <c r="G23" s="17"/>
      <c r="H23" s="17"/>
      <c r="I23" s="18"/>
      <c r="J23" s="31"/>
      <c r="K23"/>
      <c r="L23"/>
      <c r="M23"/>
      <c r="N23"/>
      <c r="O23"/>
      <c r="P23"/>
      <c r="Q23"/>
      <c r="R23"/>
      <c r="S23"/>
      <c r="T23"/>
      <c r="U23"/>
    </row>
    <row r="24" spans="1:21" ht="15" customHeight="1">
      <c r="A24" s="25"/>
      <c r="B24" s="17"/>
      <c r="C24" s="17"/>
      <c r="D24" s="17"/>
      <c r="E24" s="17"/>
      <c r="F24" s="17"/>
      <c r="G24" s="17"/>
      <c r="H24" s="17"/>
      <c r="I24" s="18"/>
      <c r="J24" s="31"/>
      <c r="K24"/>
      <c r="L24"/>
      <c r="M24"/>
      <c r="N24"/>
      <c r="O24"/>
      <c r="P24"/>
      <c r="Q24"/>
      <c r="R24"/>
      <c r="S24"/>
      <c r="T24"/>
      <c r="U24"/>
    </row>
    <row r="25" spans="1:21" ht="15" customHeight="1">
      <c r="A25" s="25"/>
      <c r="B25" s="17"/>
      <c r="C25" s="17"/>
      <c r="D25" s="17"/>
      <c r="E25" s="17"/>
      <c r="F25" s="17"/>
      <c r="G25" s="17"/>
      <c r="H25" s="17"/>
      <c r="I25" s="18"/>
      <c r="J25" s="31"/>
      <c r="K25"/>
      <c r="L25"/>
      <c r="M25"/>
      <c r="N25"/>
      <c r="O25"/>
      <c r="P25"/>
      <c r="Q25"/>
      <c r="R25"/>
      <c r="S25"/>
      <c r="T25"/>
      <c r="U25"/>
    </row>
    <row r="26" spans="1:21" ht="15" customHeight="1">
      <c r="A26" s="25"/>
      <c r="B26" s="17"/>
      <c r="C26" s="17"/>
      <c r="D26" s="17"/>
      <c r="E26" s="17"/>
      <c r="F26" s="17"/>
      <c r="G26" s="17"/>
      <c r="H26" s="17"/>
      <c r="I26" s="18"/>
      <c r="J26" s="31"/>
      <c r="K26"/>
      <c r="L26"/>
      <c r="M26"/>
      <c r="N26"/>
      <c r="O26"/>
      <c r="P26"/>
      <c r="Q26"/>
      <c r="R26"/>
      <c r="S26"/>
      <c r="T26"/>
      <c r="U26"/>
    </row>
    <row r="27" spans="1:21" ht="15" customHeight="1">
      <c r="A27" s="25"/>
      <c r="B27" s="17"/>
      <c r="C27" s="17"/>
      <c r="D27" s="17"/>
      <c r="E27" s="17"/>
      <c r="F27" s="17"/>
      <c r="G27" s="17"/>
      <c r="H27" s="17"/>
      <c r="I27" s="18"/>
      <c r="J27" s="31"/>
      <c r="K27"/>
      <c r="L27"/>
      <c r="M27"/>
      <c r="N27"/>
      <c r="O27"/>
      <c r="P27"/>
      <c r="Q27"/>
      <c r="R27"/>
      <c r="S27"/>
      <c r="T27"/>
      <c r="U27"/>
    </row>
    <row r="28" spans="1:21" ht="15" customHeight="1">
      <c r="A28" s="25"/>
      <c r="B28" s="17"/>
      <c r="C28" s="17"/>
      <c r="D28" s="17"/>
      <c r="E28" s="17"/>
      <c r="F28" s="17"/>
      <c r="G28" s="17"/>
      <c r="H28" s="17"/>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35" priority="1" operator="equal">
      <formula>"Incomplete"</formula>
    </cfRule>
    <cfRule type="cellIs" dxfId="34" priority="2" operator="equal">
      <formula>"Flag for Review"</formula>
    </cfRule>
    <cfRule type="cellIs" dxfId="3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Y153"/>
  <sheetViews>
    <sheetView zoomScaleNormal="100" workbookViewId="0"/>
  </sheetViews>
  <sheetFormatPr defaultColWidth="9.140625" defaultRowHeight="15"/>
  <cols>
    <col min="1" max="1" width="9.140625" style="21"/>
    <col min="2" max="2" width="16" style="21" bestFit="1" customWidth="1"/>
    <col min="3" max="12" width="11.140625" style="21" customWidth="1"/>
    <col min="13" max="16384" width="9.140625" style="21"/>
  </cols>
  <sheetData>
    <row r="1" spans="1:51">
      <c r="A1" s="7">
        <v>20</v>
      </c>
      <c r="B1" s="27" t="s">
        <v>12</v>
      </c>
      <c r="C1" s="20"/>
      <c r="D1" s="20"/>
      <c r="E1" s="20"/>
      <c r="F1" s="20"/>
      <c r="G1" s="20"/>
      <c r="H1" s="20"/>
      <c r="I1" s="20"/>
      <c r="J1" s="20"/>
      <c r="K1" s="886" t="s">
        <v>24</v>
      </c>
      <c r="L1" s="887"/>
      <c r="N1" s="1" t="s">
        <v>33</v>
      </c>
      <c r="O1" s="52" t="str">
        <f>VLOOKUP(A1,'Point Grid'!$L$8:$T$54,9,FALSE)</f>
        <v>Reserving - Chap 5: Triangles</v>
      </c>
      <c r="P1"/>
      <c r="Q1"/>
      <c r="R1"/>
      <c r="S1"/>
      <c r="T1"/>
      <c r="U1"/>
      <c r="V1"/>
      <c r="W1"/>
      <c r="X1"/>
    </row>
    <row r="2" spans="1:51">
      <c r="A2" s="22"/>
      <c r="B2" s="19"/>
      <c r="C2" s="19"/>
      <c r="D2" s="19"/>
      <c r="E2" s="19"/>
      <c r="F2" s="19"/>
      <c r="G2" s="19"/>
      <c r="H2" s="19"/>
      <c r="I2" s="19"/>
      <c r="J2" s="19"/>
      <c r="K2" s="19"/>
      <c r="L2" s="23"/>
      <c r="N2" s="1"/>
      <c r="O2"/>
      <c r="P2"/>
      <c r="Q2"/>
      <c r="R2"/>
      <c r="S2"/>
      <c r="T2"/>
      <c r="U2"/>
      <c r="V2"/>
      <c r="W2"/>
      <c r="X2"/>
    </row>
    <row r="3" spans="1:51">
      <c r="A3" s="8" t="s">
        <v>13</v>
      </c>
      <c r="B3" s="17"/>
      <c r="C3" s="17"/>
      <c r="D3" s="17"/>
      <c r="E3" s="17"/>
      <c r="F3" s="17"/>
      <c r="G3" s="17"/>
      <c r="H3" s="17"/>
      <c r="I3" s="17"/>
      <c r="J3" s="17"/>
      <c r="K3" s="17"/>
      <c r="L3" s="18"/>
      <c r="M3" s="31"/>
      <c r="N3" s="345" t="s">
        <v>2</v>
      </c>
      <c r="O3" s="346">
        <f>VLOOKUP(E6,B34:H39,G6/12+1,FALSE)</f>
        <v>65318.400000000001</v>
      </c>
      <c r="P3" s="277" t="s">
        <v>329</v>
      </c>
      <c r="Q3" s="187" t="s">
        <v>330</v>
      </c>
      <c r="R3" s="108"/>
      <c r="S3" s="108"/>
      <c r="T3" s="108"/>
      <c r="U3" s="108"/>
      <c r="V3" s="108"/>
      <c r="W3" s="108"/>
      <c r="X3"/>
      <c r="Z3"/>
      <c r="AA3"/>
      <c r="AB3"/>
      <c r="AC3"/>
      <c r="AD3"/>
      <c r="AE3"/>
      <c r="AF3"/>
      <c r="AG3"/>
      <c r="AH3"/>
      <c r="AI3"/>
      <c r="AJ3"/>
      <c r="AK3"/>
      <c r="AL3"/>
      <c r="AM3"/>
      <c r="AN3"/>
      <c r="AO3"/>
      <c r="AP3"/>
      <c r="AQ3"/>
      <c r="AR3"/>
      <c r="AS3"/>
      <c r="AT3"/>
      <c r="AU3"/>
      <c r="AV3"/>
      <c r="AW3"/>
      <c r="AX3"/>
      <c r="AY3"/>
    </row>
    <row r="4" spans="1:51">
      <c r="A4" s="9">
        <f>INDEX('Point Grid'!B:B,MATCH(A1,'Point Grid'!A:A,0))</f>
        <v>1.5</v>
      </c>
      <c r="B4" s="17" t="s">
        <v>315</v>
      </c>
      <c r="C4" s="17"/>
      <c r="D4" s="17"/>
      <c r="E4" s="17"/>
      <c r="F4" s="17"/>
      <c r="G4" s="17"/>
      <c r="H4" s="17"/>
      <c r="I4" s="17"/>
      <c r="J4" s="17"/>
      <c r="K4" s="17"/>
      <c r="L4" s="18"/>
      <c r="M4" s="31"/>
      <c r="N4"/>
      <c r="O4"/>
      <c r="P4"/>
      <c r="Q4"/>
      <c r="R4"/>
      <c r="S4"/>
      <c r="T4"/>
      <c r="U4"/>
      <c r="V4"/>
      <c r="W4"/>
      <c r="X4"/>
      <c r="Z4"/>
      <c r="AA4"/>
      <c r="AB4"/>
      <c r="AC4"/>
      <c r="AD4"/>
      <c r="AE4"/>
      <c r="AF4"/>
      <c r="AG4"/>
      <c r="AH4"/>
      <c r="AI4"/>
      <c r="AJ4"/>
      <c r="AK4"/>
      <c r="AL4"/>
      <c r="AM4"/>
      <c r="AN4"/>
      <c r="AO4"/>
      <c r="AP4"/>
      <c r="AQ4"/>
      <c r="AR4"/>
      <c r="AS4"/>
      <c r="AT4"/>
      <c r="AU4"/>
      <c r="AV4"/>
      <c r="AW4"/>
      <c r="AX4"/>
      <c r="AY4"/>
    </row>
    <row r="5" spans="1:51">
      <c r="A5" s="16"/>
      <c r="B5" s="17"/>
      <c r="C5" s="17"/>
      <c r="D5" s="17"/>
      <c r="E5" s="17"/>
      <c r="F5" s="17"/>
      <c r="G5" s="17"/>
      <c r="H5" s="17"/>
      <c r="I5" s="17"/>
      <c r="J5" s="17"/>
      <c r="K5" s="17"/>
      <c r="L5" s="18"/>
      <c r="M5" s="31"/>
      <c r="N5" s="345" t="s">
        <v>3</v>
      </c>
      <c r="O5" s="346">
        <f>Q5-S5</f>
        <v>39716.353593750006</v>
      </c>
      <c r="P5" s="347" t="s">
        <v>34</v>
      </c>
      <c r="Q5" s="277">
        <f>VLOOKUP(E10,B34:H39,G10/12+1,FALSE)</f>
        <v>77388.483105468753</v>
      </c>
      <c r="R5" s="347" t="s">
        <v>119</v>
      </c>
      <c r="S5" s="279">
        <f>IF(G10=12,0,VLOOKUP(E10,B34:H39,G10/12,FALSE))</f>
        <v>37672.129511718747</v>
      </c>
      <c r="T5" s="108"/>
      <c r="U5" s="108"/>
      <c r="V5" s="108"/>
      <c r="W5" s="108"/>
      <c r="X5"/>
      <c r="Z5"/>
      <c r="AA5"/>
      <c r="AB5"/>
      <c r="AC5"/>
      <c r="AD5"/>
      <c r="AE5"/>
      <c r="AF5"/>
      <c r="AG5"/>
      <c r="AH5"/>
      <c r="AI5"/>
      <c r="AJ5"/>
      <c r="AK5"/>
      <c r="AL5"/>
      <c r="AM5"/>
      <c r="AN5"/>
      <c r="AO5"/>
      <c r="AP5"/>
      <c r="AQ5"/>
      <c r="AR5"/>
      <c r="AS5"/>
      <c r="AT5"/>
      <c r="AU5"/>
      <c r="AV5"/>
      <c r="AW5"/>
      <c r="AX5"/>
      <c r="AY5"/>
    </row>
    <row r="6" spans="1:51">
      <c r="A6" s="25" t="s">
        <v>2</v>
      </c>
      <c r="B6" s="190" t="s">
        <v>316</v>
      </c>
      <c r="C6" s="190"/>
      <c r="D6" s="352"/>
      <c r="E6" s="353">
        <v>2020</v>
      </c>
      <c r="F6" s="281" t="s">
        <v>317</v>
      </c>
      <c r="G6" s="354">
        <v>24</v>
      </c>
      <c r="H6" s="281" t="s">
        <v>147</v>
      </c>
      <c r="I6" s="17"/>
      <c r="J6" s="17"/>
      <c r="K6" s="17"/>
      <c r="L6" s="18"/>
      <c r="M6" s="31"/>
      <c r="N6"/>
      <c r="O6"/>
      <c r="P6"/>
      <c r="Q6"/>
      <c r="R6"/>
      <c r="S6"/>
      <c r="T6"/>
      <c r="U6"/>
      <c r="V6"/>
      <c r="W6"/>
      <c r="X6"/>
      <c r="Z6"/>
      <c r="AA6"/>
      <c r="AB6"/>
      <c r="AC6"/>
      <c r="AD6"/>
      <c r="AE6"/>
      <c r="AF6"/>
      <c r="AG6"/>
      <c r="AH6"/>
      <c r="AI6"/>
      <c r="AJ6"/>
      <c r="AK6"/>
      <c r="AL6"/>
      <c r="AM6"/>
      <c r="AN6"/>
      <c r="AO6"/>
      <c r="AP6"/>
      <c r="AQ6"/>
      <c r="AR6"/>
      <c r="AS6"/>
      <c r="AT6"/>
      <c r="AU6"/>
      <c r="AV6"/>
      <c r="AW6"/>
      <c r="AX6"/>
      <c r="AY6"/>
    </row>
    <row r="7" spans="1:51" ht="15.75" thickBot="1">
      <c r="A7" s="9">
        <f>INDEX('Point Grid'!$C$8:$I$54,MATCH($A$1,'Point Grid'!$A$8:$A$54,0),MATCH(A6,'Point Grid'!$C$7:$I$7,0))</f>
        <v>0.25</v>
      </c>
      <c r="B7" s="17"/>
      <c r="C7" s="17"/>
      <c r="D7" s="17"/>
      <c r="E7" s="17"/>
      <c r="F7" s="17"/>
      <c r="G7" s="17"/>
      <c r="H7" s="17"/>
      <c r="I7" s="17"/>
      <c r="J7" s="17"/>
      <c r="K7" s="17"/>
      <c r="L7" s="18"/>
      <c r="M7" s="31"/>
      <c r="N7" s="345" t="s">
        <v>4</v>
      </c>
      <c r="O7" s="346">
        <f>Q7+S7</f>
        <v>35640</v>
      </c>
      <c r="P7" s="347" t="s">
        <v>34</v>
      </c>
      <c r="Q7" s="277">
        <f>VLOOKUP(E14,B34:H39,G14/12+1,FALSE)</f>
        <v>11534.4</v>
      </c>
      <c r="R7" s="347" t="s">
        <v>35</v>
      </c>
      <c r="S7" s="277">
        <f>VLOOKUP(E14,B43:H48,G14/12+1,FALSE)</f>
        <v>24105.599999999999</v>
      </c>
      <c r="T7" s="108"/>
      <c r="U7" s="108"/>
      <c r="V7" s="108"/>
      <c r="W7" s="108"/>
      <c r="X7"/>
      <c r="Z7"/>
      <c r="AA7"/>
      <c r="AB7"/>
      <c r="AC7"/>
      <c r="AD7"/>
      <c r="AE7"/>
      <c r="AF7"/>
      <c r="AG7"/>
      <c r="AH7"/>
      <c r="AI7"/>
      <c r="AJ7"/>
      <c r="AK7"/>
      <c r="AL7"/>
      <c r="AM7"/>
      <c r="AN7"/>
      <c r="AO7"/>
      <c r="AP7"/>
      <c r="AQ7"/>
      <c r="AR7"/>
      <c r="AS7"/>
      <c r="AT7"/>
      <c r="AU7"/>
      <c r="AV7"/>
      <c r="AW7"/>
      <c r="AX7"/>
      <c r="AY7"/>
    </row>
    <row r="8" spans="1:51" ht="15.75" thickBot="1">
      <c r="A8" s="5"/>
      <c r="B8" s="17"/>
      <c r="C8" s="28"/>
      <c r="D8" s="28"/>
      <c r="E8" s="28"/>
      <c r="F8" s="28"/>
      <c r="G8" s="28"/>
      <c r="H8" s="28"/>
      <c r="I8" s="28"/>
      <c r="J8" s="28"/>
      <c r="K8" s="28"/>
      <c r="L8" s="18"/>
      <c r="M8" s="31"/>
      <c r="N8"/>
      <c r="O8"/>
      <c r="P8"/>
      <c r="Q8"/>
      <c r="R8"/>
      <c r="S8"/>
      <c r="T8"/>
      <c r="U8"/>
      <c r="V8"/>
      <c r="W8"/>
      <c r="X8"/>
      <c r="Z8"/>
      <c r="AA8"/>
      <c r="AB8"/>
      <c r="AC8"/>
      <c r="AD8"/>
      <c r="AE8"/>
      <c r="AF8"/>
      <c r="AG8"/>
      <c r="AH8"/>
      <c r="AI8"/>
      <c r="AJ8"/>
      <c r="AK8"/>
      <c r="AL8"/>
      <c r="AM8"/>
      <c r="AN8"/>
      <c r="AO8"/>
      <c r="AP8"/>
      <c r="AQ8"/>
      <c r="AR8"/>
      <c r="AS8"/>
      <c r="AT8"/>
      <c r="AU8"/>
      <c r="AV8"/>
      <c r="AW8"/>
      <c r="AX8"/>
      <c r="AY8"/>
    </row>
    <row r="9" spans="1:51">
      <c r="A9" s="25"/>
      <c r="B9" s="17"/>
      <c r="C9" s="17"/>
      <c r="D9" s="17"/>
      <c r="E9" s="17"/>
      <c r="F9" s="17"/>
      <c r="G9" s="17"/>
      <c r="H9" s="17"/>
      <c r="I9" s="17"/>
      <c r="J9" s="17"/>
      <c r="K9" s="17"/>
      <c r="L9" s="18"/>
      <c r="M9" s="31"/>
      <c r="N9" s="345" t="s">
        <v>5</v>
      </c>
      <c r="O9" s="346">
        <f>Q9+S9-U9-W9</f>
        <v>9201.5999999999985</v>
      </c>
      <c r="P9" s="347" t="s">
        <v>34</v>
      </c>
      <c r="Q9" s="277">
        <f>VLOOKUP(E18,B34:H39,G18/12+1,FALSE)</f>
        <v>27540</v>
      </c>
      <c r="R9" s="347" t="s">
        <v>35</v>
      </c>
      <c r="S9" s="277">
        <f>VLOOKUP(E18,B43:H48,G18/12+1,FALSE)</f>
        <v>17301.599999999999</v>
      </c>
      <c r="T9" s="347" t="s">
        <v>119</v>
      </c>
      <c r="U9" s="279">
        <f>IF(G18=12,0,VLOOKUP(E18,B34:H39,G18/12,FALSE))</f>
        <v>11534.4</v>
      </c>
      <c r="V9" s="347" t="s">
        <v>119</v>
      </c>
      <c r="W9" s="279">
        <f>IF(G18=12,0,VLOOKUP(E18,B43:H48,G18/12,FALSE))</f>
        <v>24105.599999999999</v>
      </c>
      <c r="Z9"/>
      <c r="AA9"/>
      <c r="AB9"/>
      <c r="AC9"/>
      <c r="AD9"/>
      <c r="AE9"/>
      <c r="AF9"/>
      <c r="AG9"/>
      <c r="AH9"/>
      <c r="AI9"/>
      <c r="AJ9"/>
      <c r="AK9"/>
      <c r="AL9"/>
      <c r="AM9"/>
      <c r="AN9"/>
      <c r="AO9"/>
      <c r="AP9"/>
      <c r="AQ9"/>
      <c r="AR9"/>
      <c r="AS9"/>
      <c r="AT9"/>
      <c r="AU9"/>
      <c r="AV9"/>
      <c r="AW9"/>
      <c r="AX9"/>
      <c r="AY9"/>
    </row>
    <row r="10" spans="1:51">
      <c r="A10" s="25" t="s">
        <v>3</v>
      </c>
      <c r="B10" s="190" t="s">
        <v>318</v>
      </c>
      <c r="C10" s="190"/>
      <c r="D10" s="352"/>
      <c r="E10" s="353">
        <v>2021</v>
      </c>
      <c r="F10" s="281" t="s">
        <v>317</v>
      </c>
      <c r="G10" s="354">
        <v>36</v>
      </c>
      <c r="H10" s="281" t="s">
        <v>147</v>
      </c>
      <c r="I10" s="17"/>
      <c r="J10" s="17"/>
      <c r="K10" s="17"/>
      <c r="L10" s="18"/>
      <c r="M10" s="31"/>
      <c r="N10"/>
      <c r="O10"/>
      <c r="P10"/>
      <c r="Q10"/>
      <c r="R10"/>
      <c r="S10"/>
      <c r="T10"/>
      <c r="U10"/>
      <c r="V10"/>
      <c r="W10"/>
      <c r="X10"/>
      <c r="Z10"/>
      <c r="AA10"/>
      <c r="AB10"/>
      <c r="AC10"/>
      <c r="AD10"/>
      <c r="AE10"/>
      <c r="AF10"/>
      <c r="AG10"/>
      <c r="AH10"/>
      <c r="AI10"/>
      <c r="AJ10"/>
      <c r="AK10"/>
      <c r="AL10"/>
      <c r="AM10"/>
      <c r="AN10"/>
      <c r="AO10"/>
      <c r="AP10"/>
      <c r="AQ10"/>
      <c r="AR10"/>
      <c r="AS10"/>
      <c r="AT10"/>
      <c r="AU10"/>
      <c r="AV10"/>
      <c r="AW10"/>
      <c r="AX10"/>
      <c r="AY10"/>
    </row>
    <row r="11" spans="1:51" ht="15.75" thickBot="1">
      <c r="A11" s="9">
        <f>INDEX('Point Grid'!$C$8:$I$54,MATCH($A$1,'Point Grid'!$A$8:$A$54,0),MATCH(A10,'Point Grid'!$C$7:$I$7,0))</f>
        <v>0.25</v>
      </c>
      <c r="B11" s="17"/>
      <c r="C11" s="17"/>
      <c r="D11" s="17"/>
      <c r="E11" s="17"/>
      <c r="F11" s="17"/>
      <c r="G11" s="17"/>
      <c r="H11" s="17"/>
      <c r="I11" s="17"/>
      <c r="J11" s="17"/>
      <c r="K11" s="17"/>
      <c r="L11" s="18"/>
      <c r="M11" s="31"/>
      <c r="N11" s="345" t="s">
        <v>6</v>
      </c>
      <c r="O11" s="348">
        <f>Q11+S11</f>
        <v>48.24</v>
      </c>
      <c r="P11" s="347" t="s">
        <v>34</v>
      </c>
      <c r="Q11" s="277">
        <f>VLOOKUP(E22,B52:H57,G22/12+1,FALSE)</f>
        <v>23.76</v>
      </c>
      <c r="R11" s="347" t="s">
        <v>35</v>
      </c>
      <c r="S11" s="277">
        <f>VLOOKUP(E22,B61:H66,G22/12+1,FALSE)</f>
        <v>24.48</v>
      </c>
      <c r="T11" s="108"/>
      <c r="U11" s="108"/>
      <c r="V11" s="108"/>
      <c r="W11" s="108"/>
      <c r="X11"/>
      <c r="Z11"/>
      <c r="AA11"/>
      <c r="AB11"/>
      <c r="AC11"/>
      <c r="AD11"/>
      <c r="AE11"/>
      <c r="AF11"/>
      <c r="AG11"/>
      <c r="AH11"/>
      <c r="AI11"/>
      <c r="AJ11"/>
      <c r="AK11"/>
      <c r="AL11"/>
      <c r="AM11"/>
      <c r="AN11"/>
      <c r="AO11"/>
      <c r="AP11"/>
      <c r="AQ11"/>
      <c r="AR11"/>
      <c r="AS11"/>
      <c r="AT11"/>
      <c r="AU11"/>
      <c r="AV11"/>
      <c r="AW11"/>
      <c r="AX11"/>
      <c r="AY11"/>
    </row>
    <row r="12" spans="1:51" ht="15.75" thickBot="1">
      <c r="A12" s="5"/>
      <c r="B12" s="17"/>
      <c r="C12" s="28"/>
      <c r="D12" s="28"/>
      <c r="E12" s="28"/>
      <c r="F12" s="28"/>
      <c r="G12" s="28"/>
      <c r="H12" s="28"/>
      <c r="I12" s="28"/>
      <c r="J12" s="28"/>
      <c r="K12" s="28"/>
      <c r="L12" s="18"/>
      <c r="M12" s="31"/>
      <c r="N12" s="108"/>
      <c r="O12" s="108"/>
      <c r="P12" s="108"/>
      <c r="Q12" s="108"/>
      <c r="R12" s="108"/>
      <c r="S12" s="108"/>
      <c r="T12" s="108"/>
      <c r="U12" s="108"/>
      <c r="V12" s="108"/>
      <c r="W12" s="108"/>
      <c r="X12"/>
      <c r="Z12"/>
      <c r="AA12"/>
      <c r="AB12"/>
      <c r="AC12"/>
      <c r="AD12"/>
      <c r="AE12"/>
      <c r="AF12"/>
      <c r="AG12"/>
      <c r="AH12"/>
      <c r="AI12"/>
      <c r="AJ12"/>
      <c r="AK12"/>
      <c r="AL12"/>
      <c r="AM12"/>
      <c r="AN12"/>
      <c r="AO12"/>
      <c r="AP12"/>
      <c r="AQ12"/>
      <c r="AR12"/>
      <c r="AS12"/>
      <c r="AT12"/>
      <c r="AU12"/>
      <c r="AV12"/>
      <c r="AW12"/>
      <c r="AX12"/>
      <c r="AY12"/>
    </row>
    <row r="13" spans="1:51">
      <c r="A13" s="25"/>
      <c r="B13" s="17"/>
      <c r="C13" s="28"/>
      <c r="D13" s="28"/>
      <c r="E13" s="28"/>
      <c r="F13" s="28"/>
      <c r="G13" s="28"/>
      <c r="H13" s="28"/>
      <c r="I13" s="28"/>
      <c r="J13" s="28"/>
      <c r="K13" s="28"/>
      <c r="L13" s="18"/>
      <c r="M13" s="31"/>
      <c r="N13" s="345" t="s">
        <v>7</v>
      </c>
      <c r="O13" s="346">
        <f>INDEX(P31:U31,E26-B34+1)</f>
        <v>38772.576657714846</v>
      </c>
      <c r="P13" s="277" t="s">
        <v>329</v>
      </c>
      <c r="Q13" s="187" t="s">
        <v>331</v>
      </c>
      <c r="R13" s="108"/>
      <c r="S13" s="108"/>
      <c r="T13" s="108"/>
      <c r="U13" s="108"/>
      <c r="V13" s="108"/>
      <c r="W13" s="108"/>
      <c r="X13"/>
      <c r="Z13"/>
      <c r="AA13"/>
      <c r="AB13"/>
      <c r="AC13"/>
      <c r="AD13"/>
      <c r="AE13"/>
      <c r="AF13"/>
      <c r="AG13"/>
      <c r="AH13"/>
      <c r="AI13"/>
      <c r="AJ13"/>
      <c r="AK13"/>
      <c r="AL13"/>
      <c r="AM13"/>
      <c r="AN13"/>
      <c r="AO13"/>
      <c r="AP13"/>
      <c r="AQ13"/>
      <c r="AR13"/>
      <c r="AS13"/>
      <c r="AT13"/>
      <c r="AU13"/>
      <c r="AV13"/>
      <c r="AW13"/>
      <c r="AX13"/>
      <c r="AY13"/>
    </row>
    <row r="14" spans="1:51">
      <c r="A14" s="25" t="s">
        <v>4</v>
      </c>
      <c r="B14" s="190" t="s">
        <v>339</v>
      </c>
      <c r="C14" s="190"/>
      <c r="D14" s="352"/>
      <c r="E14" s="353">
        <v>2022</v>
      </c>
      <c r="F14" s="281" t="s">
        <v>317</v>
      </c>
      <c r="G14" s="354">
        <v>12</v>
      </c>
      <c r="H14" s="281" t="s">
        <v>147</v>
      </c>
      <c r="I14" s="17"/>
      <c r="J14" s="17"/>
      <c r="K14" s="17"/>
      <c r="L14" s="18"/>
      <c r="M14" s="31"/>
      <c r="N14" s="108"/>
      <c r="O14" s="108"/>
      <c r="P14" s="108"/>
      <c r="Q14" s="108"/>
      <c r="R14" s="108"/>
      <c r="S14" s="108"/>
      <c r="T14" s="108"/>
      <c r="U14" s="108"/>
      <c r="V14" s="108"/>
      <c r="W14" s="108"/>
      <c r="X14"/>
      <c r="Z14"/>
      <c r="AA14"/>
      <c r="AB14"/>
      <c r="AC14"/>
      <c r="AD14"/>
      <c r="AE14"/>
      <c r="AF14"/>
      <c r="AG14"/>
      <c r="AH14"/>
      <c r="AI14"/>
      <c r="AJ14"/>
      <c r="AK14"/>
      <c r="AL14"/>
      <c r="AM14"/>
      <c r="AN14"/>
      <c r="AO14"/>
      <c r="AP14"/>
      <c r="AQ14"/>
      <c r="AR14"/>
      <c r="AS14"/>
      <c r="AT14"/>
      <c r="AU14"/>
      <c r="AV14"/>
      <c r="AW14"/>
      <c r="AX14"/>
      <c r="AY14"/>
    </row>
    <row r="15" spans="1:51" ht="15.75" thickBot="1">
      <c r="A15" s="9">
        <f>INDEX('Point Grid'!$C$8:$I$54,MATCH($A$1,'Point Grid'!$A$8:$A$54,0),MATCH(A14,'Point Grid'!$C$7:$I$7,0))</f>
        <v>0.25</v>
      </c>
      <c r="B15" s="17"/>
      <c r="C15" s="17"/>
      <c r="D15" s="17"/>
      <c r="E15" s="17"/>
      <c r="F15" s="17"/>
      <c r="G15" s="17"/>
      <c r="H15" s="17"/>
      <c r="I15" s="17"/>
      <c r="J15" s="17"/>
      <c r="K15" s="17"/>
      <c r="L15" s="18"/>
      <c r="M15" s="31"/>
      <c r="N15" s="108"/>
      <c r="O15" s="108"/>
      <c r="P15" s="108"/>
      <c r="Q15" s="108"/>
      <c r="R15" s="108"/>
      <c r="S15" s="108"/>
      <c r="T15" s="108"/>
      <c r="U15" s="108"/>
      <c r="V15" s="108"/>
      <c r="W15" s="108"/>
      <c r="X15"/>
      <c r="Z15"/>
      <c r="AA15"/>
      <c r="AB15"/>
      <c r="AC15"/>
      <c r="AD15"/>
      <c r="AE15"/>
      <c r="AF15"/>
      <c r="AG15"/>
      <c r="AH15"/>
      <c r="AI15"/>
      <c r="AJ15"/>
      <c r="AK15"/>
      <c r="AL15"/>
      <c r="AM15"/>
      <c r="AN15"/>
      <c r="AO15"/>
      <c r="AP15"/>
      <c r="AQ15"/>
      <c r="AR15"/>
      <c r="AS15"/>
      <c r="AT15"/>
      <c r="AU15"/>
      <c r="AV15"/>
      <c r="AW15"/>
      <c r="AX15"/>
      <c r="AY15"/>
    </row>
    <row r="16" spans="1:51" ht="15.75" thickBot="1">
      <c r="A16" s="5"/>
      <c r="B16" s="17"/>
      <c r="C16" s="17"/>
      <c r="D16" s="17"/>
      <c r="E16" s="17"/>
      <c r="F16" s="17"/>
      <c r="G16" s="17"/>
      <c r="H16" s="17"/>
      <c r="I16" s="17"/>
      <c r="J16" s="17"/>
      <c r="K16" s="17"/>
      <c r="L16" s="18"/>
      <c r="M16" s="31"/>
      <c r="N16" s="108"/>
      <c r="O16" s="108"/>
      <c r="P16" s="108"/>
      <c r="Q16" s="108"/>
      <c r="R16" s="108"/>
      <c r="S16" s="108"/>
      <c r="T16" s="108"/>
      <c r="U16" s="108"/>
      <c r="V16" s="108"/>
      <c r="W16" s="108"/>
      <c r="X16"/>
      <c r="Z16"/>
      <c r="AA16"/>
      <c r="AB16"/>
      <c r="AC16"/>
      <c r="AD16"/>
      <c r="AE16"/>
      <c r="AF16"/>
      <c r="AG16"/>
      <c r="AH16"/>
      <c r="AI16"/>
      <c r="AJ16"/>
      <c r="AK16"/>
      <c r="AL16"/>
      <c r="AM16"/>
      <c r="AN16"/>
      <c r="AO16"/>
      <c r="AP16"/>
      <c r="AQ16"/>
      <c r="AR16"/>
      <c r="AS16"/>
      <c r="AT16"/>
      <c r="AU16"/>
      <c r="AV16"/>
      <c r="AW16"/>
      <c r="AX16"/>
      <c r="AY16"/>
    </row>
    <row r="17" spans="1:51">
      <c r="A17" s="22"/>
      <c r="B17" s="17"/>
      <c r="C17" s="17"/>
      <c r="D17" s="17"/>
      <c r="E17" s="17"/>
      <c r="F17" s="17"/>
      <c r="G17" s="17"/>
      <c r="H17" s="17"/>
      <c r="I17" s="17"/>
      <c r="J17" s="17"/>
      <c r="K17" s="17"/>
      <c r="L17" s="18"/>
      <c r="M17" s="31"/>
      <c r="N17" s="108"/>
      <c r="O17" s="108"/>
      <c r="P17" s="108"/>
      <c r="Q17" s="108"/>
      <c r="R17" s="108"/>
      <c r="S17" s="108"/>
      <c r="T17" s="108"/>
      <c r="U17" s="108"/>
      <c r="V17" s="108"/>
      <c r="W17" s="108"/>
      <c r="X17"/>
      <c r="Z17"/>
      <c r="AA17"/>
      <c r="AB17"/>
      <c r="AC17"/>
      <c r="AD17"/>
      <c r="AE17"/>
      <c r="AF17"/>
      <c r="AG17"/>
      <c r="AH17"/>
      <c r="AI17"/>
      <c r="AJ17"/>
      <c r="AK17"/>
      <c r="AL17"/>
      <c r="AM17"/>
      <c r="AN17"/>
      <c r="AO17"/>
      <c r="AP17"/>
      <c r="AQ17"/>
      <c r="AR17"/>
      <c r="AS17"/>
      <c r="AT17"/>
      <c r="AU17"/>
      <c r="AV17"/>
      <c r="AW17"/>
      <c r="AX17"/>
      <c r="AY17"/>
    </row>
    <row r="18" spans="1:51" ht="15" customHeight="1">
      <c r="A18" s="25" t="s">
        <v>5</v>
      </c>
      <c r="B18" s="190" t="s">
        <v>319</v>
      </c>
      <c r="C18" s="190"/>
      <c r="D18" s="352"/>
      <c r="E18" s="353">
        <v>2022</v>
      </c>
      <c r="F18" s="281" t="s">
        <v>317</v>
      </c>
      <c r="G18" s="354">
        <v>24</v>
      </c>
      <c r="H18" s="281" t="s">
        <v>147</v>
      </c>
      <c r="I18" s="17"/>
      <c r="J18" s="17"/>
      <c r="K18" s="17"/>
      <c r="L18" s="18"/>
      <c r="M18" s="31"/>
      <c r="N18" s="108"/>
      <c r="O18" s="108"/>
      <c r="P18" s="108"/>
      <c r="Q18" s="108"/>
      <c r="R18" s="108"/>
      <c r="S18" s="108"/>
      <c r="T18" s="108"/>
      <c r="U18" s="108"/>
      <c r="V18" s="108"/>
      <c r="W18" s="108"/>
      <c r="X18"/>
      <c r="Z18"/>
      <c r="AA18"/>
      <c r="AB18"/>
      <c r="AC18"/>
      <c r="AD18"/>
      <c r="AE18"/>
      <c r="AF18"/>
      <c r="AG18"/>
      <c r="AH18"/>
      <c r="AI18"/>
      <c r="AJ18"/>
      <c r="AK18"/>
      <c r="AL18"/>
      <c r="AM18"/>
      <c r="AN18"/>
      <c r="AO18"/>
      <c r="AP18"/>
      <c r="AQ18"/>
      <c r="AR18"/>
      <c r="AS18"/>
      <c r="AT18"/>
      <c r="AU18"/>
      <c r="AV18"/>
      <c r="AW18"/>
      <c r="AX18"/>
      <c r="AY18"/>
    </row>
    <row r="19" spans="1:51" ht="15" customHeight="1" thickBot="1">
      <c r="A19" s="9">
        <f>INDEX('Point Grid'!$C$8:$I$54,MATCH($A$1,'Point Grid'!$A$8:$A$54,0),MATCH(A18,'Point Grid'!$C$7:$I$7,0))</f>
        <v>0.25</v>
      </c>
      <c r="B19" s="17"/>
      <c r="C19" s="17"/>
      <c r="D19" s="17"/>
      <c r="E19" s="17"/>
      <c r="F19" s="17"/>
      <c r="G19" s="17"/>
      <c r="H19" s="17"/>
      <c r="I19" s="17"/>
      <c r="J19" s="17"/>
      <c r="K19" s="17"/>
      <c r="L19" s="18"/>
      <c r="M19" s="31"/>
      <c r="N19" s="108"/>
      <c r="O19" s="108"/>
      <c r="P19" s="108"/>
      <c r="Q19" s="108"/>
      <c r="R19" s="108"/>
      <c r="S19" s="108"/>
      <c r="T19" s="108"/>
      <c r="U19" s="108"/>
      <c r="V19" s="108"/>
      <c r="W19" s="108"/>
      <c r="X19"/>
      <c r="Z19"/>
      <c r="AA19"/>
      <c r="AB19"/>
      <c r="AC19"/>
      <c r="AD19"/>
      <c r="AE19"/>
      <c r="AF19"/>
      <c r="AG19"/>
      <c r="AH19"/>
      <c r="AI19"/>
      <c r="AJ19"/>
      <c r="AK19"/>
      <c r="AL19"/>
      <c r="AM19"/>
      <c r="AN19"/>
      <c r="AO19"/>
      <c r="AP19"/>
      <c r="AQ19"/>
      <c r="AR19"/>
      <c r="AS19"/>
      <c r="AT19"/>
      <c r="AU19"/>
      <c r="AV19"/>
      <c r="AW19"/>
      <c r="AX19"/>
      <c r="AY19"/>
    </row>
    <row r="20" spans="1:51" ht="15" customHeight="1" thickBot="1">
      <c r="A20" s="5"/>
      <c r="B20" s="17"/>
      <c r="C20" s="17"/>
      <c r="D20" s="17"/>
      <c r="E20" s="17"/>
      <c r="F20" s="17"/>
      <c r="G20" s="17"/>
      <c r="H20" s="17"/>
      <c r="I20" s="17"/>
      <c r="J20" s="17"/>
      <c r="K20" s="17"/>
      <c r="L20" s="18"/>
      <c r="M20" s="31"/>
      <c r="N20" s="177" t="s">
        <v>332</v>
      </c>
      <c r="O20" s="108"/>
      <c r="P20" s="108" t="s">
        <v>333</v>
      </c>
      <c r="Q20" s="108"/>
      <c r="R20" s="108"/>
      <c r="S20" s="108"/>
      <c r="T20" s="108"/>
      <c r="U20" s="108"/>
      <c r="V20" s="108"/>
      <c r="W20" s="108"/>
      <c r="X20"/>
      <c r="Z20"/>
      <c r="AA20"/>
      <c r="AB20"/>
      <c r="AC20"/>
      <c r="AD20"/>
      <c r="AE20"/>
      <c r="AF20"/>
      <c r="AG20"/>
      <c r="AH20"/>
      <c r="AI20"/>
      <c r="AJ20"/>
      <c r="AK20"/>
      <c r="AL20"/>
      <c r="AM20"/>
      <c r="AN20"/>
      <c r="AO20"/>
      <c r="AP20"/>
      <c r="AQ20"/>
      <c r="AR20"/>
      <c r="AS20"/>
      <c r="AT20"/>
      <c r="AU20"/>
      <c r="AV20"/>
      <c r="AW20"/>
      <c r="AX20"/>
      <c r="AY20"/>
    </row>
    <row r="21" spans="1:51" ht="15" customHeight="1">
      <c r="A21" s="22"/>
      <c r="B21" s="17"/>
      <c r="C21" s="17"/>
      <c r="D21" s="17"/>
      <c r="E21" s="17"/>
      <c r="F21" s="17"/>
      <c r="G21" s="17"/>
      <c r="H21" s="17"/>
      <c r="I21" s="17"/>
      <c r="J21" s="17"/>
      <c r="K21" s="17"/>
      <c r="L21" s="18"/>
      <c r="M21" s="31"/>
      <c r="N21" s="108"/>
      <c r="O21" s="108"/>
      <c r="P21" s="108"/>
      <c r="Q21" s="108"/>
      <c r="R21" s="108"/>
      <c r="S21" s="108"/>
      <c r="T21" s="108"/>
      <c r="U21" s="108"/>
      <c r="V21" s="108"/>
      <c r="W21" s="108"/>
      <c r="X21"/>
      <c r="Z21"/>
      <c r="AA21"/>
      <c r="AB21"/>
      <c r="AC21"/>
      <c r="AD21"/>
      <c r="AE21"/>
      <c r="AF21"/>
      <c r="AG21"/>
      <c r="AH21"/>
      <c r="AI21"/>
      <c r="AJ21"/>
      <c r="AK21"/>
      <c r="AL21"/>
      <c r="AM21"/>
      <c r="AN21"/>
      <c r="AO21"/>
      <c r="AP21"/>
      <c r="AQ21"/>
      <c r="AR21"/>
      <c r="AS21"/>
      <c r="AT21"/>
      <c r="AU21"/>
      <c r="AV21"/>
      <c r="AW21"/>
      <c r="AX21"/>
      <c r="AY21"/>
    </row>
    <row r="22" spans="1:51" ht="15" customHeight="1">
      <c r="A22" s="25" t="s">
        <v>6</v>
      </c>
      <c r="B22" s="190" t="s">
        <v>340</v>
      </c>
      <c r="C22" s="190"/>
      <c r="D22" s="352"/>
      <c r="E22" s="353">
        <v>2025</v>
      </c>
      <c r="F22" s="281" t="s">
        <v>317</v>
      </c>
      <c r="G22" s="354">
        <v>12</v>
      </c>
      <c r="H22" s="281" t="s">
        <v>147</v>
      </c>
      <c r="I22" s="17"/>
      <c r="J22" s="17"/>
      <c r="K22" s="17"/>
      <c r="L22" s="18"/>
      <c r="M22" s="31"/>
      <c r="N22" s="108"/>
      <c r="O22" s="330" t="s">
        <v>320</v>
      </c>
      <c r="P22" s="331" t="s">
        <v>321</v>
      </c>
      <c r="Q22" s="76"/>
      <c r="R22" s="76" t="s">
        <v>334</v>
      </c>
      <c r="S22" s="76"/>
      <c r="T22" s="76"/>
      <c r="U22" s="76"/>
      <c r="V22" s="108"/>
      <c r="W22" s="108"/>
      <c r="X22"/>
      <c r="Z22"/>
      <c r="AA22"/>
      <c r="AB22"/>
      <c r="AC22"/>
      <c r="AD22"/>
      <c r="AE22"/>
      <c r="AF22"/>
      <c r="AG22"/>
      <c r="AH22"/>
      <c r="AI22"/>
      <c r="AJ22"/>
      <c r="AK22"/>
      <c r="AL22"/>
      <c r="AM22"/>
      <c r="AN22"/>
      <c r="AO22"/>
      <c r="AP22"/>
      <c r="AQ22"/>
      <c r="AR22"/>
      <c r="AS22"/>
      <c r="AT22"/>
      <c r="AU22"/>
      <c r="AV22"/>
      <c r="AW22"/>
      <c r="AX22"/>
      <c r="AY22"/>
    </row>
    <row r="23" spans="1:51" ht="15" customHeight="1" thickBot="1">
      <c r="A23" s="9">
        <f>INDEX('Point Grid'!$C$8:$I$54,MATCH($A$1,'Point Grid'!$A$8:$A$54,0),MATCH(A22,'Point Grid'!$C$7:$I$7,0))</f>
        <v>0.25</v>
      </c>
      <c r="B23" s="17"/>
      <c r="C23" s="17"/>
      <c r="D23" s="17"/>
      <c r="E23" s="17"/>
      <c r="F23" s="17"/>
      <c r="G23" s="17"/>
      <c r="H23" s="17"/>
      <c r="I23" s="17"/>
      <c r="J23" s="17"/>
      <c r="K23" s="17"/>
      <c r="L23" s="18"/>
      <c r="M23" s="31"/>
      <c r="N23" s="108"/>
      <c r="O23" s="332" t="s">
        <v>89</v>
      </c>
      <c r="P23" s="333">
        <v>2020</v>
      </c>
      <c r="Q23" s="333">
        <f>P23+1</f>
        <v>2021</v>
      </c>
      <c r="R23" s="333">
        <f>Q23+1</f>
        <v>2022</v>
      </c>
      <c r="S23" s="333">
        <f>R23+1</f>
        <v>2023</v>
      </c>
      <c r="T23" s="333">
        <f>S23+1</f>
        <v>2024</v>
      </c>
      <c r="U23" s="333">
        <f>T23+1</f>
        <v>2025</v>
      </c>
      <c r="V23" s="108"/>
      <c r="W23" s="108"/>
      <c r="X23"/>
      <c r="Z23"/>
      <c r="AA23"/>
      <c r="AB23"/>
      <c r="AC23"/>
      <c r="AD23"/>
      <c r="AE23"/>
      <c r="AF23"/>
      <c r="AG23"/>
      <c r="AH23"/>
      <c r="AI23"/>
      <c r="AJ23"/>
      <c r="AK23"/>
      <c r="AL23"/>
      <c r="AM23"/>
      <c r="AN23"/>
      <c r="AO23"/>
      <c r="AP23"/>
      <c r="AQ23"/>
      <c r="AR23"/>
      <c r="AS23"/>
      <c r="AT23"/>
      <c r="AU23"/>
      <c r="AV23"/>
      <c r="AW23"/>
      <c r="AX23"/>
      <c r="AY23"/>
    </row>
    <row r="24" spans="1:51" ht="15" customHeight="1" thickBot="1">
      <c r="A24" s="5"/>
      <c r="B24" s="17"/>
      <c r="C24" s="17"/>
      <c r="D24" s="17"/>
      <c r="E24" s="17"/>
      <c r="F24" s="17"/>
      <c r="G24" s="17"/>
      <c r="H24" s="17"/>
      <c r="I24" s="17"/>
      <c r="J24" s="17"/>
      <c r="K24" s="17"/>
      <c r="L24" s="18"/>
      <c r="M24" s="31"/>
      <c r="N24" s="108"/>
      <c r="O24" s="334">
        <v>2020</v>
      </c>
      <c r="P24" s="335">
        <f t="shared" ref="P24:U24" si="0">C34</f>
        <v>23068.799999999999</v>
      </c>
      <c r="Q24" s="335">
        <f t="shared" si="0"/>
        <v>65318.400000000001</v>
      </c>
      <c r="R24" s="335">
        <f t="shared" si="0"/>
        <v>84672</v>
      </c>
      <c r="S24" s="335">
        <f t="shared" si="0"/>
        <v>114566.39999999999</v>
      </c>
      <c r="T24" s="335">
        <f t="shared" si="0"/>
        <v>107654.39999999999</v>
      </c>
      <c r="U24" s="335">
        <f t="shared" si="0"/>
        <v>136857.60000000001</v>
      </c>
      <c r="V24" s="108"/>
      <c r="W24" s="108"/>
      <c r="X24"/>
      <c r="Z24"/>
      <c r="AA24"/>
      <c r="AB24"/>
      <c r="AC24"/>
      <c r="AD24"/>
      <c r="AE24"/>
      <c r="AF24"/>
      <c r="AG24"/>
      <c r="AH24"/>
      <c r="AI24"/>
      <c r="AJ24"/>
      <c r="AK24"/>
      <c r="AL24"/>
      <c r="AM24"/>
      <c r="AN24"/>
      <c r="AO24"/>
      <c r="AP24"/>
      <c r="AQ24"/>
      <c r="AR24"/>
      <c r="AS24"/>
      <c r="AT24"/>
      <c r="AU24"/>
      <c r="AV24"/>
      <c r="AW24"/>
      <c r="AX24"/>
      <c r="AY24"/>
    </row>
    <row r="25" spans="1:51" ht="15" customHeight="1">
      <c r="A25" s="22"/>
      <c r="B25" s="17"/>
      <c r="C25" s="17"/>
      <c r="D25" s="17"/>
      <c r="E25" s="17"/>
      <c r="F25" s="17"/>
      <c r="G25" s="17"/>
      <c r="H25" s="17"/>
      <c r="I25" s="17"/>
      <c r="J25" s="17"/>
      <c r="K25" s="17"/>
      <c r="L25" s="18"/>
      <c r="M25" s="31"/>
      <c r="N25" s="108"/>
      <c r="O25" s="334">
        <f>O24+1</f>
        <v>2021</v>
      </c>
      <c r="P25" s="335"/>
      <c r="Q25" s="335">
        <f>C35</f>
        <v>14455.584580078124</v>
      </c>
      <c r="R25" s="335">
        <f>D35</f>
        <v>37672.129511718747</v>
      </c>
      <c r="S25" s="335">
        <f>E35</f>
        <v>77388.483105468753</v>
      </c>
      <c r="T25" s="335">
        <f>F35</f>
        <v>90237.891621093746</v>
      </c>
      <c r="U25" s="335">
        <f>G35</f>
        <v>87317.571503906249</v>
      </c>
      <c r="V25" s="108"/>
      <c r="W25" s="108"/>
      <c r="X25"/>
      <c r="Z25"/>
      <c r="AA25"/>
      <c r="AB25"/>
      <c r="AC25"/>
      <c r="AD25"/>
      <c r="AE25"/>
      <c r="AF25"/>
      <c r="AG25"/>
      <c r="AH25"/>
      <c r="AI25"/>
      <c r="AJ25"/>
      <c r="AK25"/>
      <c r="AL25"/>
      <c r="AM25"/>
      <c r="AN25"/>
      <c r="AO25"/>
      <c r="AP25"/>
      <c r="AQ25"/>
      <c r="AR25"/>
      <c r="AS25"/>
      <c r="AT25"/>
      <c r="AU25"/>
      <c r="AV25"/>
      <c r="AW25"/>
      <c r="AX25"/>
      <c r="AY25"/>
    </row>
    <row r="26" spans="1:51" ht="15" customHeight="1">
      <c r="A26" s="25" t="s">
        <v>7</v>
      </c>
      <c r="B26" s="190" t="s">
        <v>341</v>
      </c>
      <c r="C26" s="190"/>
      <c r="D26" s="352"/>
      <c r="E26" s="353">
        <v>2024</v>
      </c>
      <c r="F26" s="281"/>
      <c r="G26" s="17"/>
      <c r="H26" s="17"/>
      <c r="I26" s="17"/>
      <c r="J26" s="17"/>
      <c r="K26" s="17"/>
      <c r="L26" s="18"/>
      <c r="M26" s="31"/>
      <c r="N26" s="108"/>
      <c r="O26" s="334">
        <f>O25+1</f>
        <v>2022</v>
      </c>
      <c r="P26" s="335"/>
      <c r="Q26" s="335"/>
      <c r="R26" s="335">
        <f>C36</f>
        <v>11534.4</v>
      </c>
      <c r="S26" s="335">
        <f>D36</f>
        <v>27540</v>
      </c>
      <c r="T26" s="335">
        <f>E36</f>
        <v>44582.400000000001</v>
      </c>
      <c r="U26" s="335">
        <f>F36</f>
        <v>63504</v>
      </c>
      <c r="V26" s="108"/>
      <c r="W26" s="108"/>
      <c r="X26"/>
      <c r="Z26"/>
      <c r="AA26"/>
      <c r="AB26"/>
      <c r="AC26"/>
      <c r="AD26"/>
      <c r="AE26"/>
      <c r="AF26"/>
      <c r="AG26"/>
      <c r="AH26"/>
      <c r="AI26"/>
      <c r="AJ26"/>
      <c r="AK26"/>
      <c r="AL26"/>
      <c r="AM26"/>
      <c r="AN26"/>
      <c r="AO26"/>
      <c r="AP26"/>
      <c r="AQ26"/>
      <c r="AR26"/>
      <c r="AS26"/>
      <c r="AT26"/>
      <c r="AU26"/>
      <c r="AV26"/>
      <c r="AW26"/>
      <c r="AX26"/>
      <c r="AY26"/>
    </row>
    <row r="27" spans="1:51" ht="15" customHeight="1" thickBot="1">
      <c r="A27" s="9">
        <f>INDEX('Point Grid'!$C$8:$I$54,MATCH($A$1,'Point Grid'!$A$8:$A$54,0),MATCH(A26,'Point Grid'!$C$7:$I$7,0))</f>
        <v>0.25</v>
      </c>
      <c r="B27" s="17"/>
      <c r="C27" s="17"/>
      <c r="D27" s="17"/>
      <c r="E27" s="17"/>
      <c r="F27" s="17"/>
      <c r="G27" s="17"/>
      <c r="H27" s="17"/>
      <c r="I27" s="17"/>
      <c r="J27" s="17"/>
      <c r="K27" s="17"/>
      <c r="L27" s="18"/>
      <c r="M27" s="31"/>
      <c r="N27" s="108"/>
      <c r="O27" s="334">
        <f>O26+1</f>
        <v>2023</v>
      </c>
      <c r="P27" s="335"/>
      <c r="Q27" s="335"/>
      <c r="R27" s="335"/>
      <c r="S27" s="335">
        <f>C37</f>
        <v>5454.5040710449221</v>
      </c>
      <c r="T27" s="335">
        <f>D37</f>
        <v>16363.512213134765</v>
      </c>
      <c r="U27" s="335">
        <f>E37</f>
        <v>26147.880340576172</v>
      </c>
      <c r="V27" s="108"/>
      <c r="W27" s="108"/>
      <c r="X27"/>
      <c r="Z27"/>
      <c r="AA27"/>
      <c r="AB27"/>
      <c r="AC27"/>
      <c r="AD27"/>
      <c r="AE27"/>
      <c r="AF27"/>
      <c r="AG27"/>
      <c r="AH27"/>
      <c r="AI27"/>
      <c r="AJ27"/>
      <c r="AK27"/>
      <c r="AL27"/>
      <c r="AM27"/>
      <c r="AN27"/>
      <c r="AO27"/>
      <c r="AP27"/>
      <c r="AQ27"/>
      <c r="AR27"/>
      <c r="AS27"/>
      <c r="AT27"/>
      <c r="AU27"/>
      <c r="AV27"/>
      <c r="AW27"/>
      <c r="AX27"/>
      <c r="AY27"/>
    </row>
    <row r="28" spans="1:51" ht="15" customHeight="1" thickBot="1">
      <c r="A28" s="5"/>
      <c r="B28" s="17"/>
      <c r="C28" s="17"/>
      <c r="D28" s="17"/>
      <c r="E28" s="17"/>
      <c r="F28" s="17"/>
      <c r="G28" s="17"/>
      <c r="H28" s="17"/>
      <c r="I28" s="17"/>
      <c r="J28" s="17"/>
      <c r="K28" s="17"/>
      <c r="L28" s="18"/>
      <c r="M28" s="31"/>
      <c r="N28" s="108"/>
      <c r="O28" s="334">
        <f>O27+1</f>
        <v>2024</v>
      </c>
      <c r="P28" s="335"/>
      <c r="Q28" s="335"/>
      <c r="R28" s="335"/>
      <c r="S28" s="335"/>
      <c r="T28" s="335">
        <f>C38</f>
        <v>4883.76</v>
      </c>
      <c r="U28" s="335">
        <f>D38</f>
        <v>12496.68</v>
      </c>
      <c r="V28" s="108"/>
      <c r="W28" s="108"/>
      <c r="X28"/>
      <c r="Z28"/>
      <c r="AA28"/>
      <c r="AB28"/>
      <c r="AC28"/>
      <c r="AD28"/>
      <c r="AE28"/>
      <c r="AF28"/>
      <c r="AG28"/>
      <c r="AH28"/>
      <c r="AI28"/>
      <c r="AJ28"/>
      <c r="AK28"/>
      <c r="AL28"/>
      <c r="AM28"/>
      <c r="AN28"/>
      <c r="AO28"/>
      <c r="AP28"/>
      <c r="AQ28"/>
      <c r="AR28"/>
      <c r="AS28"/>
      <c r="AT28"/>
      <c r="AU28"/>
      <c r="AV28"/>
      <c r="AW28"/>
      <c r="AX28"/>
      <c r="AY28"/>
    </row>
    <row r="29" spans="1:51" ht="15" customHeight="1" thickBot="1">
      <c r="A29" s="22"/>
      <c r="B29" s="17"/>
      <c r="C29" s="17"/>
      <c r="D29" s="17"/>
      <c r="E29" s="17"/>
      <c r="F29" s="17"/>
      <c r="G29" s="17"/>
      <c r="H29" s="17"/>
      <c r="I29" s="17"/>
      <c r="J29" s="17"/>
      <c r="K29" s="17"/>
      <c r="L29" s="18"/>
      <c r="M29" s="31"/>
      <c r="N29" s="108"/>
      <c r="O29" s="334">
        <f>O28+1</f>
        <v>2025</v>
      </c>
      <c r="P29" s="335"/>
      <c r="Q29" s="335"/>
      <c r="R29" s="335"/>
      <c r="S29" s="335"/>
      <c r="T29" s="335"/>
      <c r="U29" s="335">
        <f>C39</f>
        <v>10606.464272460937</v>
      </c>
      <c r="V29" s="108"/>
      <c r="W29" s="108"/>
      <c r="X29"/>
      <c r="Z29"/>
      <c r="AA29"/>
      <c r="AB29"/>
      <c r="AC29"/>
      <c r="AD29"/>
      <c r="AE29"/>
      <c r="AF29"/>
      <c r="AG29"/>
      <c r="AH29"/>
      <c r="AI29"/>
      <c r="AJ29"/>
      <c r="AK29"/>
      <c r="AL29"/>
      <c r="AM29"/>
      <c r="AN29"/>
      <c r="AO29"/>
      <c r="AP29"/>
      <c r="AQ29"/>
      <c r="AR29"/>
      <c r="AS29"/>
      <c r="AT29"/>
      <c r="AU29"/>
      <c r="AV29"/>
      <c r="AW29"/>
      <c r="AX29"/>
      <c r="AY29"/>
    </row>
    <row r="30" spans="1:51" ht="15" customHeight="1" thickBot="1">
      <c r="A30" s="22"/>
      <c r="B30" s="336" t="s">
        <v>328</v>
      </c>
      <c r="C30" s="337"/>
      <c r="D30" s="338"/>
      <c r="E30" s="17"/>
      <c r="F30" s="17"/>
      <c r="G30" s="17"/>
      <c r="H30" s="17"/>
      <c r="I30" s="17"/>
      <c r="J30" s="17"/>
      <c r="K30" s="17"/>
      <c r="L30" s="18"/>
      <c r="M30" s="31"/>
      <c r="N30" s="108"/>
      <c r="O30" s="349"/>
      <c r="P30" s="349">
        <f t="shared" ref="P30:U30" si="1">SUM(P24:P29)</f>
        <v>23068.799999999999</v>
      </c>
      <c r="Q30" s="349">
        <f t="shared" si="1"/>
        <v>79773.984580078133</v>
      </c>
      <c r="R30" s="349">
        <f t="shared" si="1"/>
        <v>133878.52951171875</v>
      </c>
      <c r="S30" s="349">
        <f t="shared" si="1"/>
        <v>224949.38717651367</v>
      </c>
      <c r="T30" s="349">
        <f t="shared" si="1"/>
        <v>263721.96383422852</v>
      </c>
      <c r="U30" s="349">
        <f t="shared" si="1"/>
        <v>336930.19611694338</v>
      </c>
      <c r="V30" s="108"/>
      <c r="W30" s="108"/>
      <c r="X30"/>
      <c r="Z30"/>
      <c r="AA30"/>
      <c r="AB30"/>
      <c r="AC30"/>
      <c r="AD30"/>
      <c r="AE30"/>
      <c r="AF30"/>
      <c r="AG30"/>
      <c r="AH30"/>
      <c r="AI30"/>
      <c r="AJ30"/>
      <c r="AK30"/>
      <c r="AL30"/>
      <c r="AM30"/>
      <c r="AN30"/>
      <c r="AO30"/>
      <c r="AP30"/>
      <c r="AQ30"/>
      <c r="AR30"/>
      <c r="AS30"/>
      <c r="AT30"/>
      <c r="AU30"/>
      <c r="AV30"/>
      <c r="AW30"/>
      <c r="AX30"/>
      <c r="AY30"/>
    </row>
    <row r="31" spans="1:51" ht="15" customHeight="1">
      <c r="A31" s="22"/>
      <c r="B31" s="17"/>
      <c r="C31" s="17"/>
      <c r="D31" s="17"/>
      <c r="E31" s="17"/>
      <c r="F31" s="17"/>
      <c r="G31" s="17"/>
      <c r="H31" s="17"/>
      <c r="I31" s="17"/>
      <c r="J31" s="17"/>
      <c r="K31" s="17"/>
      <c r="L31" s="18"/>
      <c r="M31" s="31"/>
      <c r="N31" s="108"/>
      <c r="O31" s="309" t="s">
        <v>335</v>
      </c>
      <c r="P31" s="309">
        <f t="shared" ref="P31:U31" si="2">P30-O30</f>
        <v>23068.799999999999</v>
      </c>
      <c r="Q31" s="309">
        <f t="shared" si="2"/>
        <v>56705.18458007813</v>
      </c>
      <c r="R31" s="309">
        <f t="shared" si="2"/>
        <v>54104.544931640616</v>
      </c>
      <c r="S31" s="309">
        <f t="shared" si="2"/>
        <v>91070.857664794923</v>
      </c>
      <c r="T31" s="309">
        <f t="shared" si="2"/>
        <v>38772.576657714846</v>
      </c>
      <c r="U31" s="309">
        <f t="shared" si="2"/>
        <v>73208.23228271486</v>
      </c>
      <c r="V31" s="108"/>
      <c r="W31" s="108"/>
      <c r="X31"/>
      <c r="Z31"/>
      <c r="AA31"/>
      <c r="AB31"/>
      <c r="AC31"/>
      <c r="AD31"/>
      <c r="AE31"/>
      <c r="AF31"/>
      <c r="AG31"/>
      <c r="AH31"/>
      <c r="AI31"/>
      <c r="AJ31"/>
      <c r="AK31"/>
      <c r="AL31"/>
      <c r="AM31"/>
      <c r="AN31"/>
      <c r="AO31"/>
      <c r="AP31"/>
      <c r="AQ31"/>
      <c r="AR31"/>
      <c r="AS31"/>
      <c r="AT31"/>
      <c r="AU31"/>
      <c r="AV31"/>
      <c r="AW31"/>
      <c r="AX31"/>
      <c r="AY31"/>
    </row>
    <row r="32" spans="1:51" ht="15" customHeight="1">
      <c r="A32" s="22"/>
      <c r="B32" s="339" t="s">
        <v>320</v>
      </c>
      <c r="C32" s="340" t="s">
        <v>321</v>
      </c>
      <c r="D32" s="71"/>
      <c r="E32" s="71" t="s">
        <v>322</v>
      </c>
      <c r="F32" s="71"/>
      <c r="G32" s="71"/>
      <c r="H32" s="71"/>
      <c r="I32" s="190"/>
      <c r="J32" s="190"/>
      <c r="K32" s="190"/>
      <c r="L32" s="18"/>
      <c r="M32" s="31"/>
      <c r="N32" s="108"/>
      <c r="O32" s="108" t="s">
        <v>336</v>
      </c>
      <c r="P32" s="334">
        <v>2020</v>
      </c>
      <c r="Q32" s="334">
        <f>P32+1</f>
        <v>2021</v>
      </c>
      <c r="R32" s="334">
        <f>Q32+1</f>
        <v>2022</v>
      </c>
      <c r="S32" s="334">
        <f>R32+1</f>
        <v>2023</v>
      </c>
      <c r="T32" s="334">
        <f>S32+1</f>
        <v>2024</v>
      </c>
      <c r="U32" s="334">
        <f>T32+1</f>
        <v>2025</v>
      </c>
      <c r="V32" s="108"/>
      <c r="W32" s="108"/>
      <c r="X32"/>
      <c r="Z32"/>
      <c r="AA32"/>
      <c r="AB32"/>
      <c r="AC32"/>
      <c r="AD32"/>
      <c r="AE32"/>
      <c r="AF32"/>
      <c r="AG32"/>
      <c r="AH32"/>
      <c r="AI32"/>
      <c r="AJ32"/>
      <c r="AK32"/>
      <c r="AL32"/>
      <c r="AM32"/>
      <c r="AN32"/>
      <c r="AO32"/>
      <c r="AP32"/>
      <c r="AQ32"/>
      <c r="AR32"/>
      <c r="AS32"/>
      <c r="AT32"/>
      <c r="AU32"/>
      <c r="AV32"/>
      <c r="AW32"/>
      <c r="AX32"/>
      <c r="AY32"/>
    </row>
    <row r="33" spans="1:51" ht="15" customHeight="1">
      <c r="A33" s="22"/>
      <c r="B33" s="341" t="s">
        <v>89</v>
      </c>
      <c r="C33" s="342">
        <v>12</v>
      </c>
      <c r="D33" s="342">
        <v>24</v>
      </c>
      <c r="E33" s="342">
        <v>36</v>
      </c>
      <c r="F33" s="342">
        <v>48</v>
      </c>
      <c r="G33" s="342">
        <v>60</v>
      </c>
      <c r="H33" s="342">
        <v>72</v>
      </c>
      <c r="I33" s="190"/>
      <c r="J33" s="190"/>
      <c r="K33" s="190"/>
      <c r="L33" s="18"/>
      <c r="M33" s="31"/>
      <c r="N33" s="108"/>
      <c r="O33"/>
      <c r="P33"/>
      <c r="Q33"/>
      <c r="R33"/>
      <c r="S33"/>
      <c r="T33"/>
      <c r="U33"/>
      <c r="V33" s="108"/>
      <c r="W33" s="108"/>
      <c r="X33"/>
      <c r="Z33"/>
      <c r="AA33"/>
      <c r="AB33"/>
      <c r="AC33"/>
      <c r="AD33"/>
      <c r="AE33"/>
      <c r="AF33"/>
      <c r="AG33"/>
      <c r="AH33"/>
      <c r="AI33"/>
      <c r="AJ33"/>
      <c r="AK33"/>
      <c r="AL33"/>
      <c r="AM33"/>
      <c r="AN33"/>
      <c r="AO33"/>
      <c r="AP33"/>
      <c r="AQ33"/>
      <c r="AR33"/>
      <c r="AS33"/>
      <c r="AT33"/>
      <c r="AU33"/>
      <c r="AV33"/>
      <c r="AW33"/>
      <c r="AX33"/>
      <c r="AY33"/>
    </row>
    <row r="34" spans="1:51" ht="15" customHeight="1">
      <c r="A34" s="22"/>
      <c r="B34" s="343">
        <v>2020</v>
      </c>
      <c r="C34" s="344">
        <v>23068.799999999999</v>
      </c>
      <c r="D34" s="344">
        <v>65318.400000000001</v>
      </c>
      <c r="E34" s="344">
        <v>84672</v>
      </c>
      <c r="F34" s="344">
        <v>114566.39999999999</v>
      </c>
      <c r="G34" s="344">
        <v>107654.39999999999</v>
      </c>
      <c r="H34" s="344">
        <v>136857.60000000001</v>
      </c>
      <c r="I34" s="190"/>
      <c r="J34" s="190"/>
      <c r="K34" s="190"/>
      <c r="L34" s="18"/>
      <c r="M34" s="31"/>
      <c r="N34" s="108"/>
      <c r="O34" s="330" t="s">
        <v>320</v>
      </c>
      <c r="P34" s="331" t="s">
        <v>337</v>
      </c>
      <c r="Q34" s="76"/>
      <c r="R34" s="76" t="s">
        <v>334</v>
      </c>
      <c r="S34" s="76"/>
      <c r="T34" s="76"/>
      <c r="U34" s="76"/>
      <c r="V34" s="108"/>
      <c r="W34" s="108"/>
      <c r="X34"/>
      <c r="Z34"/>
      <c r="AA34"/>
      <c r="AB34"/>
      <c r="AC34"/>
      <c r="AD34"/>
      <c r="AE34"/>
      <c r="AF34"/>
      <c r="AG34"/>
      <c r="AH34"/>
      <c r="AI34"/>
      <c r="AJ34"/>
      <c r="AK34"/>
      <c r="AL34"/>
      <c r="AM34"/>
      <c r="AN34"/>
      <c r="AO34"/>
      <c r="AP34"/>
      <c r="AQ34"/>
      <c r="AR34"/>
      <c r="AS34"/>
      <c r="AT34"/>
      <c r="AU34"/>
      <c r="AV34"/>
      <c r="AW34"/>
      <c r="AX34"/>
      <c r="AY34"/>
    </row>
    <row r="35" spans="1:51" ht="15" customHeight="1">
      <c r="A35" s="22"/>
      <c r="B35" s="343">
        <v>2021</v>
      </c>
      <c r="C35" s="344">
        <v>14455.584580078124</v>
      </c>
      <c r="D35" s="344">
        <v>37672.129511718747</v>
      </c>
      <c r="E35" s="344">
        <v>77388.483105468753</v>
      </c>
      <c r="F35" s="344">
        <v>90237.891621093746</v>
      </c>
      <c r="G35" s="344">
        <v>87317.571503906249</v>
      </c>
      <c r="H35" s="344"/>
      <c r="I35" s="190"/>
      <c r="J35" s="190"/>
      <c r="K35" s="190"/>
      <c r="L35" s="18"/>
      <c r="M35" s="31"/>
      <c r="N35" s="108"/>
      <c r="O35" s="332" t="s">
        <v>89</v>
      </c>
      <c r="P35" s="333">
        <v>2020</v>
      </c>
      <c r="Q35" s="333">
        <f>P35+1</f>
        <v>2021</v>
      </c>
      <c r="R35" s="333">
        <f>Q35+1</f>
        <v>2022</v>
      </c>
      <c r="S35" s="333">
        <f>R35+1</f>
        <v>2023</v>
      </c>
      <c r="T35" s="333">
        <f>S35+1</f>
        <v>2024</v>
      </c>
      <c r="U35" s="333">
        <f>T35+1</f>
        <v>2025</v>
      </c>
      <c r="V35" s="108"/>
      <c r="W35" s="108"/>
      <c r="X35"/>
      <c r="Z35"/>
      <c r="AA35"/>
      <c r="AB35"/>
      <c r="AC35"/>
      <c r="AD35"/>
      <c r="AE35"/>
      <c r="AF35"/>
      <c r="AG35"/>
      <c r="AH35"/>
      <c r="AI35"/>
      <c r="AJ35"/>
      <c r="AK35"/>
      <c r="AL35"/>
      <c r="AM35"/>
      <c r="AN35"/>
      <c r="AO35"/>
      <c r="AP35"/>
      <c r="AQ35"/>
      <c r="AR35"/>
      <c r="AS35"/>
      <c r="AT35"/>
      <c r="AU35"/>
      <c r="AV35"/>
      <c r="AW35"/>
      <c r="AX35"/>
      <c r="AY35"/>
    </row>
    <row r="36" spans="1:51" ht="15" customHeight="1">
      <c r="A36" s="22"/>
      <c r="B36" s="343">
        <v>2022</v>
      </c>
      <c r="C36" s="344">
        <v>11534.4</v>
      </c>
      <c r="D36" s="344">
        <v>27540</v>
      </c>
      <c r="E36" s="344">
        <v>44582.400000000001</v>
      </c>
      <c r="F36" s="344">
        <v>63504</v>
      </c>
      <c r="G36" s="344"/>
      <c r="H36" s="344"/>
      <c r="I36" s="190"/>
      <c r="J36" s="190"/>
      <c r="K36" s="190"/>
      <c r="L36" s="18"/>
      <c r="M36" s="31"/>
      <c r="N36" s="108"/>
      <c r="O36" s="334">
        <v>2020</v>
      </c>
      <c r="P36" s="335">
        <f t="shared" ref="P36:U36" si="3">P24+C43</f>
        <v>69724.800000000003</v>
      </c>
      <c r="Q36" s="335">
        <f t="shared" si="3"/>
        <v>98150.399999999994</v>
      </c>
      <c r="R36" s="335">
        <f t="shared" si="3"/>
        <v>111628.8</v>
      </c>
      <c r="S36" s="335">
        <f t="shared" si="3"/>
        <v>132019.19999999998</v>
      </c>
      <c r="T36" s="335">
        <f t="shared" si="3"/>
        <v>123552</v>
      </c>
      <c r="U36" s="335">
        <f t="shared" si="3"/>
        <v>136857.60000000001</v>
      </c>
      <c r="V36" s="108"/>
      <c r="W36" s="108"/>
      <c r="X36"/>
      <c r="Z36"/>
      <c r="AA36"/>
      <c r="AB36"/>
      <c r="AC36"/>
      <c r="AD36"/>
      <c r="AE36"/>
      <c r="AF36"/>
      <c r="AG36"/>
      <c r="AH36"/>
      <c r="AI36"/>
      <c r="AJ36"/>
      <c r="AK36"/>
      <c r="AL36"/>
      <c r="AM36"/>
      <c r="AN36"/>
      <c r="AO36"/>
      <c r="AP36"/>
      <c r="AQ36"/>
      <c r="AR36"/>
      <c r="AS36"/>
      <c r="AT36"/>
      <c r="AU36"/>
      <c r="AV36"/>
      <c r="AW36"/>
      <c r="AX36"/>
      <c r="AY36"/>
    </row>
    <row r="37" spans="1:51" ht="15" customHeight="1">
      <c r="A37" s="22"/>
      <c r="B37" s="343">
        <v>2023</v>
      </c>
      <c r="C37" s="344">
        <v>5454.5040710449221</v>
      </c>
      <c r="D37" s="344">
        <v>16363.512213134765</v>
      </c>
      <c r="E37" s="344">
        <v>26147.880340576172</v>
      </c>
      <c r="F37" s="344"/>
      <c r="G37" s="344"/>
      <c r="H37" s="344"/>
      <c r="I37" s="190"/>
      <c r="J37" s="190"/>
      <c r="K37" s="190"/>
      <c r="L37" s="18"/>
      <c r="M37" s="31"/>
      <c r="N37" s="108"/>
      <c r="O37" s="334">
        <f>O36+1</f>
        <v>2021</v>
      </c>
      <c r="P37" s="335"/>
      <c r="Q37" s="335">
        <f>Q25+C44</f>
        <v>57822.338320312498</v>
      </c>
      <c r="R37" s="335">
        <f>R25+D44</f>
        <v>73446.050947265612</v>
      </c>
      <c r="S37" s="335">
        <f>S25+E44</f>
        <v>99728.93200195313</v>
      </c>
      <c r="T37" s="335">
        <f>T25+F44</f>
        <v>105277.54022460937</v>
      </c>
      <c r="U37" s="335">
        <f>U25+G44</f>
        <v>102357.22010742188</v>
      </c>
      <c r="V37" s="108"/>
      <c r="W37" s="108"/>
      <c r="X37"/>
      <c r="Z37"/>
      <c r="AA37"/>
      <c r="AB37"/>
      <c r="AC37"/>
      <c r="AD37"/>
      <c r="AE37"/>
      <c r="AF37"/>
      <c r="AG37"/>
      <c r="AH37"/>
      <c r="AI37"/>
      <c r="AJ37"/>
      <c r="AK37"/>
      <c r="AL37"/>
      <c r="AM37"/>
      <c r="AN37"/>
      <c r="AO37"/>
      <c r="AP37"/>
      <c r="AQ37"/>
      <c r="AR37"/>
      <c r="AS37"/>
      <c r="AT37"/>
      <c r="AU37"/>
      <c r="AV37"/>
      <c r="AW37"/>
      <c r="AX37"/>
      <c r="AY37"/>
    </row>
    <row r="38" spans="1:51" ht="15" customHeight="1">
      <c r="A38" s="22"/>
      <c r="B38" s="343">
        <v>2024</v>
      </c>
      <c r="C38" s="344">
        <v>4883.76</v>
      </c>
      <c r="D38" s="344">
        <v>12496.68</v>
      </c>
      <c r="E38" s="344"/>
      <c r="F38" s="344"/>
      <c r="G38" s="344"/>
      <c r="H38" s="344"/>
      <c r="I38" s="190"/>
      <c r="J38" s="190"/>
      <c r="K38" s="190"/>
      <c r="L38" s="18"/>
      <c r="M38" s="31"/>
      <c r="N38" s="108"/>
      <c r="O38" s="334">
        <f>O37+1</f>
        <v>2022</v>
      </c>
      <c r="P38" s="335"/>
      <c r="Q38" s="335"/>
      <c r="R38" s="335">
        <f>R26+C45</f>
        <v>35640</v>
      </c>
      <c r="S38" s="335">
        <f>S26+D45</f>
        <v>44841.599999999999</v>
      </c>
      <c r="T38" s="335">
        <f>T26+E45</f>
        <v>57801.600000000006</v>
      </c>
      <c r="U38" s="335">
        <f>U26+F45</f>
        <v>69984</v>
      </c>
      <c r="V38" s="108"/>
      <c r="W38" s="108"/>
      <c r="X38"/>
      <c r="Z38"/>
      <c r="AA38"/>
      <c r="AB38"/>
      <c r="AC38"/>
      <c r="AD38"/>
      <c r="AE38"/>
      <c r="AF38"/>
      <c r="AG38"/>
      <c r="AH38"/>
      <c r="AI38"/>
      <c r="AJ38"/>
      <c r="AK38"/>
      <c r="AL38"/>
      <c r="AM38"/>
      <c r="AN38"/>
      <c r="AO38"/>
      <c r="AP38"/>
      <c r="AQ38"/>
      <c r="AR38"/>
      <c r="AS38"/>
      <c r="AT38"/>
      <c r="AU38"/>
      <c r="AV38"/>
      <c r="AW38"/>
      <c r="AX38"/>
      <c r="AY38"/>
    </row>
    <row r="39" spans="1:51" ht="15" customHeight="1">
      <c r="A39" s="22"/>
      <c r="B39" s="343">
        <v>2025</v>
      </c>
      <c r="C39" s="344">
        <v>10606.464272460937</v>
      </c>
      <c r="D39" s="344"/>
      <c r="E39" s="344"/>
      <c r="F39" s="344"/>
      <c r="G39" s="344"/>
      <c r="H39" s="344"/>
      <c r="I39" s="190"/>
      <c r="J39" s="190"/>
      <c r="K39" s="190"/>
      <c r="L39" s="18"/>
      <c r="M39" s="31"/>
      <c r="N39" s="108"/>
      <c r="O39" s="334">
        <f>O38+1</f>
        <v>2023</v>
      </c>
      <c r="P39" s="335"/>
      <c r="Q39" s="335"/>
      <c r="R39" s="335"/>
      <c r="S39" s="335">
        <f>S27+C46</f>
        <v>21986.712286376951</v>
      </c>
      <c r="T39" s="335">
        <f>T27+D46</f>
        <v>32558.328424072264</v>
      </c>
      <c r="U39" s="335">
        <f>U27+E46</f>
        <v>37394.280487060547</v>
      </c>
      <c r="V39" s="108"/>
      <c r="W39" s="108"/>
      <c r="X39"/>
      <c r="Z39"/>
      <c r="AA39"/>
      <c r="AB39"/>
      <c r="AC39"/>
      <c r="AD39"/>
      <c r="AE39"/>
      <c r="AF39"/>
      <c r="AG39"/>
      <c r="AH39"/>
      <c r="AI39"/>
      <c r="AJ39"/>
      <c r="AK39"/>
      <c r="AL39"/>
      <c r="AM39"/>
      <c r="AN39"/>
      <c r="AO39"/>
      <c r="AP39"/>
      <c r="AQ39"/>
      <c r="AR39"/>
      <c r="AS39"/>
      <c r="AT39"/>
      <c r="AU39"/>
      <c r="AV39"/>
      <c r="AW39"/>
      <c r="AX39"/>
      <c r="AY39"/>
    </row>
    <row r="40" spans="1:51" ht="15" customHeight="1">
      <c r="A40" s="22"/>
      <c r="B40" s="190"/>
      <c r="C40" s="190"/>
      <c r="D40" s="190"/>
      <c r="E40" s="190"/>
      <c r="F40" s="190"/>
      <c r="G40" s="190"/>
      <c r="H40" s="190"/>
      <c r="I40" s="190"/>
      <c r="J40" s="190"/>
      <c r="K40" s="190"/>
      <c r="L40" s="18"/>
      <c r="M40" s="31"/>
      <c r="N40" s="108"/>
      <c r="O40" s="334">
        <f>O39+1</f>
        <v>2024</v>
      </c>
      <c r="P40" s="335"/>
      <c r="Q40" s="335"/>
      <c r="R40" s="335"/>
      <c r="S40" s="335"/>
      <c r="T40" s="335">
        <f>T28+C47</f>
        <v>18385.919999999998</v>
      </c>
      <c r="U40" s="335">
        <f>U28+D47</f>
        <v>25998.84</v>
      </c>
      <c r="V40" s="108"/>
      <c r="W40" s="108"/>
      <c r="X40"/>
      <c r="Z40"/>
      <c r="AA40"/>
      <c r="AB40"/>
      <c r="AC40"/>
      <c r="AD40"/>
      <c r="AE40"/>
      <c r="AF40"/>
      <c r="AG40"/>
      <c r="AH40"/>
      <c r="AI40"/>
      <c r="AJ40"/>
      <c r="AK40"/>
      <c r="AL40"/>
      <c r="AM40"/>
      <c r="AN40"/>
      <c r="AO40"/>
      <c r="AP40"/>
      <c r="AQ40"/>
      <c r="AR40"/>
      <c r="AS40"/>
      <c r="AT40"/>
      <c r="AU40"/>
      <c r="AV40"/>
      <c r="AW40"/>
      <c r="AX40"/>
      <c r="AY40"/>
    </row>
    <row r="41" spans="1:51" ht="15" customHeight="1">
      <c r="A41" s="22"/>
      <c r="B41" s="339" t="s">
        <v>320</v>
      </c>
      <c r="C41" s="340" t="s">
        <v>323</v>
      </c>
      <c r="D41" s="71"/>
      <c r="E41" s="71" t="s">
        <v>322</v>
      </c>
      <c r="F41" s="71"/>
      <c r="G41" s="71"/>
      <c r="H41" s="71"/>
      <c r="I41" s="281" t="s">
        <v>324</v>
      </c>
      <c r="J41" s="210" t="s">
        <v>325</v>
      </c>
      <c r="K41" s="190"/>
      <c r="L41" s="18"/>
      <c r="M41" s="31"/>
      <c r="N41" s="108"/>
      <c r="O41" s="334">
        <f>O40+1</f>
        <v>2025</v>
      </c>
      <c r="P41" s="335"/>
      <c r="Q41" s="335"/>
      <c r="R41" s="335"/>
      <c r="S41" s="335"/>
      <c r="T41" s="335"/>
      <c r="U41" s="335">
        <f>U29+C48</f>
        <v>22809.6005859375</v>
      </c>
      <c r="V41" s="108"/>
      <c r="W41" s="108"/>
      <c r="X41"/>
      <c r="Z41"/>
      <c r="AA41"/>
      <c r="AB41"/>
      <c r="AC41"/>
      <c r="AD41"/>
      <c r="AE41"/>
      <c r="AF41"/>
      <c r="AG41"/>
      <c r="AH41"/>
      <c r="AI41"/>
      <c r="AJ41"/>
      <c r="AK41"/>
      <c r="AL41"/>
      <c r="AM41"/>
      <c r="AN41"/>
      <c r="AO41"/>
      <c r="AP41"/>
      <c r="AQ41"/>
      <c r="AR41"/>
      <c r="AS41"/>
      <c r="AT41"/>
      <c r="AU41"/>
      <c r="AV41"/>
      <c r="AW41"/>
      <c r="AX41"/>
      <c r="AY41"/>
    </row>
    <row r="42" spans="1:51" ht="15" customHeight="1">
      <c r="A42" s="22"/>
      <c r="B42" s="341" t="s">
        <v>89</v>
      </c>
      <c r="C42" s="342">
        <v>12</v>
      </c>
      <c r="D42" s="342">
        <v>24</v>
      </c>
      <c r="E42" s="342">
        <v>36</v>
      </c>
      <c r="F42" s="342">
        <v>48</v>
      </c>
      <c r="G42" s="342">
        <v>60</v>
      </c>
      <c r="H42" s="342">
        <v>72</v>
      </c>
      <c r="I42" s="190"/>
      <c r="J42" s="190"/>
      <c r="K42" s="190"/>
      <c r="L42" s="18"/>
      <c r="M42" s="31"/>
      <c r="N42" s="108"/>
      <c r="O42" s="349"/>
      <c r="P42" s="349">
        <f t="shared" ref="P42:U42" si="4">SUM(P36:P41)</f>
        <v>69724.800000000003</v>
      </c>
      <c r="Q42" s="349">
        <f t="shared" si="4"/>
        <v>155972.73832031249</v>
      </c>
      <c r="R42" s="349">
        <f t="shared" si="4"/>
        <v>220714.85094726563</v>
      </c>
      <c r="S42" s="349">
        <f t="shared" si="4"/>
        <v>298576.44428833009</v>
      </c>
      <c r="T42" s="349">
        <f t="shared" si="4"/>
        <v>337575.38864868163</v>
      </c>
      <c r="U42" s="349">
        <f t="shared" si="4"/>
        <v>395401.54118041997</v>
      </c>
      <c r="V42" s="108"/>
      <c r="W42" s="108"/>
      <c r="X42"/>
      <c r="Z42"/>
      <c r="AA42"/>
      <c r="AB42"/>
      <c r="AC42"/>
      <c r="AD42"/>
      <c r="AE42"/>
      <c r="AF42"/>
      <c r="AG42"/>
      <c r="AH42"/>
      <c r="AI42"/>
      <c r="AJ42"/>
      <c r="AK42"/>
      <c r="AL42"/>
      <c r="AM42"/>
      <c r="AN42"/>
      <c r="AO42"/>
      <c r="AP42"/>
      <c r="AQ42"/>
      <c r="AR42"/>
      <c r="AS42"/>
      <c r="AT42"/>
      <c r="AU42"/>
      <c r="AV42"/>
      <c r="AW42"/>
      <c r="AX42"/>
      <c r="AY42"/>
    </row>
    <row r="43" spans="1:51" ht="15" customHeight="1">
      <c r="A43" s="22"/>
      <c r="B43" s="343">
        <v>2020</v>
      </c>
      <c r="C43" s="344">
        <v>46656</v>
      </c>
      <c r="D43" s="344">
        <v>32832</v>
      </c>
      <c r="E43" s="344">
        <v>26956.799999999999</v>
      </c>
      <c r="F43" s="344">
        <v>17452.8</v>
      </c>
      <c r="G43" s="344">
        <v>15897.6</v>
      </c>
      <c r="H43" s="344">
        <v>0</v>
      </c>
      <c r="I43" s="190"/>
      <c r="J43" s="190"/>
      <c r="K43" s="190"/>
      <c r="L43" s="18"/>
      <c r="M43" s="31"/>
      <c r="N43" s="108"/>
      <c r="O43" s="309" t="s">
        <v>338</v>
      </c>
      <c r="P43" s="309">
        <f t="shared" ref="P43:U43" si="5">P42-O42</f>
        <v>69724.800000000003</v>
      </c>
      <c r="Q43" s="309">
        <f t="shared" si="5"/>
        <v>86247.938320312489</v>
      </c>
      <c r="R43" s="309">
        <f t="shared" si="5"/>
        <v>64742.112626953138</v>
      </c>
      <c r="S43" s="309">
        <f t="shared" si="5"/>
        <v>77861.593341064465</v>
      </c>
      <c r="T43" s="309">
        <f t="shared" si="5"/>
        <v>38998.944360351539</v>
      </c>
      <c r="U43" s="309">
        <f t="shared" si="5"/>
        <v>57826.152531738335</v>
      </c>
      <c r="V43" s="108"/>
      <c r="W43" s="108"/>
      <c r="X43"/>
      <c r="Z43"/>
      <c r="AA43"/>
      <c r="AB43"/>
      <c r="AC43"/>
      <c r="AD43"/>
      <c r="AE43"/>
      <c r="AF43"/>
      <c r="AG43"/>
      <c r="AH43"/>
      <c r="AI43"/>
      <c r="AJ43"/>
      <c r="AK43"/>
      <c r="AL43"/>
      <c r="AM43"/>
      <c r="AN43"/>
      <c r="AO43"/>
      <c r="AP43"/>
      <c r="AQ43"/>
      <c r="AR43"/>
      <c r="AS43"/>
      <c r="AT43"/>
      <c r="AU43"/>
      <c r="AV43"/>
      <c r="AW43"/>
      <c r="AX43"/>
      <c r="AY43"/>
    </row>
    <row r="44" spans="1:51" ht="15" customHeight="1">
      <c r="A44" s="22"/>
      <c r="B44" s="343">
        <v>2021</v>
      </c>
      <c r="C44" s="344">
        <v>43366.753740234373</v>
      </c>
      <c r="D44" s="344">
        <v>35773.921435546872</v>
      </c>
      <c r="E44" s="344">
        <v>22340.448896484377</v>
      </c>
      <c r="F44" s="344">
        <v>15039.648603515625</v>
      </c>
      <c r="G44" s="344">
        <v>15039.648603515625</v>
      </c>
      <c r="H44" s="344"/>
      <c r="I44" s="190"/>
      <c r="J44" s="190"/>
      <c r="K44" s="190"/>
      <c r="L44" s="18"/>
      <c r="M44" s="31"/>
      <c r="N44" s="108"/>
      <c r="O44" s="108" t="s">
        <v>336</v>
      </c>
      <c r="P44" s="334">
        <v>2020</v>
      </c>
      <c r="Q44" s="334">
        <f>P44+1</f>
        <v>2021</v>
      </c>
      <c r="R44" s="334">
        <f>Q44+1</f>
        <v>2022</v>
      </c>
      <c r="S44" s="334">
        <f>R44+1</f>
        <v>2023</v>
      </c>
      <c r="T44" s="334">
        <f>S44+1</f>
        <v>2024</v>
      </c>
      <c r="U44" s="334">
        <f>T44+1</f>
        <v>2025</v>
      </c>
      <c r="V44" s="108"/>
      <c r="W44" s="108"/>
      <c r="X44"/>
      <c r="Z44"/>
      <c r="AA44"/>
      <c r="AB44"/>
      <c r="AC44"/>
      <c r="AD44"/>
      <c r="AE44"/>
      <c r="AF44"/>
      <c r="AG44"/>
      <c r="AH44"/>
      <c r="AI44"/>
      <c r="AJ44"/>
      <c r="AK44"/>
      <c r="AL44"/>
      <c r="AM44"/>
      <c r="AN44"/>
      <c r="AO44"/>
      <c r="AP44"/>
      <c r="AQ44"/>
      <c r="AR44"/>
      <c r="AS44"/>
      <c r="AT44"/>
      <c r="AU44"/>
      <c r="AV44"/>
      <c r="AW44"/>
      <c r="AX44"/>
      <c r="AY44"/>
    </row>
    <row r="45" spans="1:51" ht="15" customHeight="1">
      <c r="A45" s="22"/>
      <c r="B45" s="343">
        <v>2022</v>
      </c>
      <c r="C45" s="344">
        <v>24105.599999999999</v>
      </c>
      <c r="D45" s="344">
        <v>17301.599999999999</v>
      </c>
      <c r="E45" s="344">
        <v>13219.2</v>
      </c>
      <c r="F45" s="344">
        <v>6480</v>
      </c>
      <c r="G45" s="344"/>
      <c r="H45" s="344"/>
      <c r="I45" s="190"/>
      <c r="J45" s="190"/>
      <c r="K45" s="190"/>
      <c r="L45" s="18"/>
      <c r="M45" s="31"/>
      <c r="N45" s="108"/>
      <c r="O45" s="334" t="e">
        <f>#REF!+1</f>
        <v>#REF!</v>
      </c>
      <c r="P45" s="335"/>
      <c r="Q45" s="335" t="e">
        <f>#REF!</f>
        <v>#REF!</v>
      </c>
      <c r="R45" s="335" t="e">
        <f>#REF!</f>
        <v>#REF!</v>
      </c>
      <c r="S45" s="335" t="e">
        <f>#REF!</f>
        <v>#REF!</v>
      </c>
      <c r="T45" s="335" t="e">
        <f>#REF!</f>
        <v>#REF!</v>
      </c>
      <c r="U45" s="335" t="e">
        <f>#REF!</f>
        <v>#REF!</v>
      </c>
      <c r="V45" s="108"/>
      <c r="W45" s="108"/>
      <c r="X45"/>
      <c r="Z45"/>
      <c r="AA45"/>
      <c r="AB45"/>
      <c r="AC45"/>
      <c r="AD45"/>
      <c r="AE45"/>
      <c r="AF45"/>
      <c r="AG45"/>
      <c r="AH45"/>
      <c r="AI45"/>
      <c r="AJ45"/>
      <c r="AK45"/>
      <c r="AL45"/>
      <c r="AM45"/>
      <c r="AN45"/>
      <c r="AO45"/>
      <c r="AP45"/>
      <c r="AQ45"/>
      <c r="AR45"/>
      <c r="AS45"/>
      <c r="AT45"/>
      <c r="AU45"/>
      <c r="AV45"/>
      <c r="AW45"/>
      <c r="AX45"/>
      <c r="AY45"/>
    </row>
    <row r="46" spans="1:51" ht="15" customHeight="1">
      <c r="A46" s="22"/>
      <c r="B46" s="343">
        <v>2023</v>
      </c>
      <c r="C46" s="344">
        <v>16532.20821533203</v>
      </c>
      <c r="D46" s="344">
        <v>16194.816210937501</v>
      </c>
      <c r="E46" s="344">
        <v>11246.400146484375</v>
      </c>
      <c r="F46" s="344"/>
      <c r="G46" s="344"/>
      <c r="H46" s="344"/>
      <c r="I46" s="190"/>
      <c r="J46" s="190"/>
      <c r="K46" s="190"/>
      <c r="L46" s="18"/>
      <c r="M46" s="31"/>
      <c r="N46" s="108"/>
      <c r="O46" s="334" t="e">
        <f>O45+1</f>
        <v>#REF!</v>
      </c>
      <c r="P46" s="335"/>
      <c r="Q46" s="335"/>
      <c r="R46" s="335" t="e">
        <f>#REF!</f>
        <v>#REF!</v>
      </c>
      <c r="S46" s="335" t="e">
        <f>#REF!</f>
        <v>#REF!</v>
      </c>
      <c r="T46" s="335" t="e">
        <f>#REF!</f>
        <v>#REF!</v>
      </c>
      <c r="U46" s="335" t="e">
        <f>#REF!</f>
        <v>#REF!</v>
      </c>
      <c r="V46" s="108"/>
      <c r="W46" s="108"/>
      <c r="X46"/>
      <c r="Z46"/>
      <c r="AA46"/>
      <c r="AB46"/>
      <c r="AC46"/>
      <c r="AD46"/>
      <c r="AE46"/>
      <c r="AF46"/>
      <c r="AG46"/>
      <c r="AH46"/>
      <c r="AI46"/>
      <c r="AJ46"/>
      <c r="AK46"/>
      <c r="AL46"/>
      <c r="AM46"/>
      <c r="AN46"/>
      <c r="AO46"/>
      <c r="AP46"/>
      <c r="AQ46"/>
      <c r="AR46"/>
      <c r="AS46"/>
      <c r="AT46"/>
      <c r="AU46"/>
      <c r="AV46"/>
      <c r="AW46"/>
      <c r="AX46"/>
      <c r="AY46"/>
    </row>
    <row r="47" spans="1:51" ht="15" customHeight="1">
      <c r="A47" s="22"/>
      <c r="B47" s="343">
        <v>2024</v>
      </c>
      <c r="C47" s="344">
        <v>13502.16</v>
      </c>
      <c r="D47" s="344">
        <v>13502.16</v>
      </c>
      <c r="E47" s="344"/>
      <c r="F47" s="344"/>
      <c r="G47" s="344"/>
      <c r="H47" s="344"/>
      <c r="I47" s="190"/>
      <c r="J47" s="190"/>
      <c r="K47" s="190"/>
      <c r="L47" s="18"/>
      <c r="M47" s="31"/>
      <c r="N47" s="108"/>
      <c r="O47" s="334" t="e">
        <f>O46+1</f>
        <v>#REF!</v>
      </c>
      <c r="P47" s="335"/>
      <c r="Q47" s="335"/>
      <c r="R47" s="335"/>
      <c r="S47" s="335" t="e">
        <f>#REF!</f>
        <v>#REF!</v>
      </c>
      <c r="T47" s="335" t="e">
        <f>#REF!</f>
        <v>#REF!</v>
      </c>
      <c r="U47" s="335" t="e">
        <f>#REF!</f>
        <v>#REF!</v>
      </c>
      <c r="V47" s="108"/>
      <c r="W47" s="108"/>
      <c r="X47"/>
      <c r="Z47"/>
      <c r="AA47"/>
      <c r="AB47"/>
      <c r="AC47"/>
      <c r="AD47"/>
      <c r="AE47"/>
      <c r="AF47"/>
      <c r="AG47"/>
      <c r="AH47"/>
      <c r="AI47"/>
      <c r="AJ47"/>
      <c r="AK47"/>
      <c r="AL47"/>
      <c r="AM47"/>
      <c r="AN47"/>
      <c r="AO47"/>
      <c r="AP47"/>
      <c r="AQ47"/>
      <c r="AR47"/>
      <c r="AS47"/>
      <c r="AT47"/>
      <c r="AU47"/>
      <c r="AV47"/>
      <c r="AW47"/>
      <c r="AX47"/>
      <c r="AY47"/>
    </row>
    <row r="48" spans="1:51" ht="15" customHeight="1">
      <c r="A48" s="22"/>
      <c r="B48" s="343">
        <v>2025</v>
      </c>
      <c r="C48" s="344">
        <v>12203.136313476563</v>
      </c>
      <c r="D48" s="344"/>
      <c r="E48" s="344"/>
      <c r="F48" s="344"/>
      <c r="G48" s="344"/>
      <c r="H48" s="344"/>
      <c r="I48" s="190"/>
      <c r="J48" s="190"/>
      <c r="K48" s="190"/>
      <c r="L48" s="18"/>
      <c r="M48" s="31"/>
      <c r="N48" s="108"/>
      <c r="O48" s="334" t="e">
        <f>O47+1</f>
        <v>#REF!</v>
      </c>
      <c r="P48" s="335"/>
      <c r="Q48" s="335"/>
      <c r="R48" s="335"/>
      <c r="S48" s="335"/>
      <c r="T48" s="335" t="e">
        <f>#REF!</f>
        <v>#REF!</v>
      </c>
      <c r="U48" s="335" t="e">
        <f>#REF!</f>
        <v>#REF!</v>
      </c>
      <c r="V48" s="108"/>
      <c r="W48" s="108"/>
      <c r="X48"/>
      <c r="Z48"/>
      <c r="AA48"/>
      <c r="AB48"/>
      <c r="AC48"/>
      <c r="AD48"/>
      <c r="AE48"/>
      <c r="AF48"/>
      <c r="AG48"/>
      <c r="AH48"/>
      <c r="AI48"/>
      <c r="AJ48"/>
      <c r="AK48"/>
      <c r="AL48"/>
      <c r="AM48"/>
      <c r="AN48"/>
      <c r="AO48"/>
      <c r="AP48"/>
      <c r="AQ48"/>
      <c r="AR48"/>
      <c r="AS48"/>
      <c r="AT48"/>
      <c r="AU48"/>
      <c r="AV48"/>
      <c r="AW48"/>
      <c r="AX48"/>
      <c r="AY48"/>
    </row>
    <row r="49" spans="1:51" ht="15" customHeight="1">
      <c r="A49" s="22"/>
      <c r="B49" s="190"/>
      <c r="C49" s="190"/>
      <c r="D49" s="190"/>
      <c r="E49" s="190"/>
      <c r="F49" s="190"/>
      <c r="G49" s="190"/>
      <c r="H49" s="190"/>
      <c r="I49" s="190"/>
      <c r="J49" s="190"/>
      <c r="K49" s="190"/>
      <c r="L49" s="18"/>
      <c r="M49" s="31"/>
      <c r="N49" s="108"/>
      <c r="O49" s="334" t="e">
        <f>O48+1</f>
        <v>#REF!</v>
      </c>
      <c r="P49" s="335"/>
      <c r="Q49" s="335"/>
      <c r="R49" s="335"/>
      <c r="S49" s="335"/>
      <c r="T49" s="335"/>
      <c r="U49" s="335" t="e">
        <f>#REF!</f>
        <v>#REF!</v>
      </c>
      <c r="V49" s="108"/>
      <c r="W49" s="108"/>
      <c r="X49"/>
      <c r="Z49"/>
      <c r="AA49"/>
      <c r="AB49"/>
      <c r="AC49"/>
      <c r="AD49"/>
      <c r="AE49"/>
      <c r="AF49"/>
      <c r="AG49"/>
      <c r="AH49"/>
      <c r="AI49"/>
      <c r="AJ49"/>
      <c r="AK49"/>
      <c r="AL49"/>
      <c r="AM49"/>
      <c r="AN49"/>
      <c r="AO49"/>
      <c r="AP49"/>
      <c r="AQ49"/>
      <c r="AR49"/>
      <c r="AS49"/>
      <c r="AT49"/>
      <c r="AU49"/>
      <c r="AV49"/>
      <c r="AW49"/>
      <c r="AX49"/>
      <c r="AY49"/>
    </row>
    <row r="50" spans="1:51" ht="15" customHeight="1">
      <c r="A50" s="22"/>
      <c r="B50" s="339" t="s">
        <v>320</v>
      </c>
      <c r="C50" s="340" t="s">
        <v>326</v>
      </c>
      <c r="D50" s="71"/>
      <c r="E50" s="71" t="s">
        <v>322</v>
      </c>
      <c r="F50" s="71"/>
      <c r="G50" s="71"/>
      <c r="H50" s="71"/>
      <c r="I50" s="190"/>
      <c r="J50" s="190"/>
      <c r="K50" s="190"/>
      <c r="L50" s="18"/>
      <c r="M50" s="31"/>
      <c r="N50" s="108"/>
      <c r="O50" s="349"/>
      <c r="P50" s="349">
        <f t="shared" ref="P50:U50" si="6">SUM(P45:P49)</f>
        <v>0</v>
      </c>
      <c r="Q50" s="349" t="e">
        <f t="shared" si="6"/>
        <v>#REF!</v>
      </c>
      <c r="R50" s="349" t="e">
        <f t="shared" si="6"/>
        <v>#REF!</v>
      </c>
      <c r="S50" s="349" t="e">
        <f t="shared" si="6"/>
        <v>#REF!</v>
      </c>
      <c r="T50" s="349" t="e">
        <f t="shared" si="6"/>
        <v>#REF!</v>
      </c>
      <c r="U50" s="349" t="e">
        <f t="shared" si="6"/>
        <v>#REF!</v>
      </c>
      <c r="V50" s="108"/>
      <c r="W50" s="108"/>
      <c r="X50"/>
      <c r="Z50"/>
      <c r="AA50"/>
      <c r="AB50"/>
      <c r="AC50"/>
      <c r="AD50"/>
      <c r="AE50"/>
      <c r="AF50"/>
      <c r="AG50"/>
      <c r="AH50"/>
      <c r="AI50"/>
      <c r="AJ50"/>
      <c r="AK50"/>
      <c r="AL50"/>
      <c r="AM50"/>
      <c r="AN50"/>
      <c r="AO50"/>
      <c r="AP50"/>
      <c r="AQ50"/>
      <c r="AR50"/>
      <c r="AS50"/>
      <c r="AT50"/>
      <c r="AU50"/>
      <c r="AV50"/>
      <c r="AW50"/>
      <c r="AX50"/>
      <c r="AY50"/>
    </row>
    <row r="51" spans="1:51" ht="15" customHeight="1">
      <c r="A51" s="22"/>
      <c r="B51" s="341" t="s">
        <v>89</v>
      </c>
      <c r="C51" s="342">
        <v>12</v>
      </c>
      <c r="D51" s="342">
        <v>24</v>
      </c>
      <c r="E51" s="342">
        <v>36</v>
      </c>
      <c r="F51" s="342">
        <v>48</v>
      </c>
      <c r="G51" s="342">
        <v>60</v>
      </c>
      <c r="H51" s="342">
        <v>72</v>
      </c>
      <c r="I51" s="190"/>
      <c r="J51" s="190"/>
      <c r="K51" s="190"/>
      <c r="L51" s="18"/>
      <c r="M51" s="31"/>
      <c r="N51" s="108"/>
      <c r="O51" s="309" t="s">
        <v>335</v>
      </c>
      <c r="P51" s="309">
        <f t="shared" ref="P51:U51" si="7">P50-O50</f>
        <v>0</v>
      </c>
      <c r="Q51" s="309" t="e">
        <f t="shared" si="7"/>
        <v>#REF!</v>
      </c>
      <c r="R51" s="309" t="e">
        <f t="shared" si="7"/>
        <v>#REF!</v>
      </c>
      <c r="S51" s="309" t="e">
        <f t="shared" si="7"/>
        <v>#REF!</v>
      </c>
      <c r="T51" s="309" t="e">
        <f t="shared" si="7"/>
        <v>#REF!</v>
      </c>
      <c r="U51" s="309" t="e">
        <f t="shared" si="7"/>
        <v>#REF!</v>
      </c>
      <c r="V51" s="108"/>
      <c r="W51" s="108"/>
      <c r="X51"/>
      <c r="Z51"/>
      <c r="AA51"/>
      <c r="AB51"/>
      <c r="AC51"/>
      <c r="AD51"/>
      <c r="AE51"/>
      <c r="AF51"/>
      <c r="AG51"/>
      <c r="AH51"/>
      <c r="AI51"/>
      <c r="AJ51"/>
      <c r="AK51"/>
      <c r="AL51"/>
      <c r="AM51"/>
      <c r="AN51"/>
      <c r="AO51"/>
      <c r="AP51"/>
      <c r="AQ51"/>
      <c r="AR51"/>
      <c r="AS51"/>
      <c r="AT51"/>
      <c r="AU51"/>
      <c r="AV51"/>
      <c r="AW51"/>
      <c r="AX51"/>
      <c r="AY51"/>
    </row>
    <row r="52" spans="1:51" ht="15" customHeight="1">
      <c r="A52" s="22"/>
      <c r="B52" s="343">
        <v>2020</v>
      </c>
      <c r="C52" s="344">
        <v>38.520000000000003</v>
      </c>
      <c r="D52" s="344">
        <v>91.56</v>
      </c>
      <c r="E52" s="344">
        <v>114</v>
      </c>
      <c r="F52" s="344">
        <v>146.63999999999999</v>
      </c>
      <c r="G52" s="344">
        <v>168</v>
      </c>
      <c r="H52" s="344">
        <v>201.6</v>
      </c>
      <c r="I52" s="190"/>
      <c r="J52" s="190"/>
      <c r="K52" s="190"/>
      <c r="L52" s="18"/>
      <c r="M52" s="31"/>
      <c r="N52" s="108"/>
      <c r="O52" s="108" t="s">
        <v>336</v>
      </c>
      <c r="P52" s="334">
        <v>2020</v>
      </c>
      <c r="Q52" s="334">
        <f>P52+1</f>
        <v>2021</v>
      </c>
      <c r="R52" s="334">
        <f>Q52+1</f>
        <v>2022</v>
      </c>
      <c r="S52" s="334">
        <f>R52+1</f>
        <v>2023</v>
      </c>
      <c r="T52" s="334">
        <f>S52+1</f>
        <v>2024</v>
      </c>
      <c r="U52" s="334">
        <f>T52+1</f>
        <v>2025</v>
      </c>
      <c r="V52" s="108"/>
      <c r="W52" s="108"/>
      <c r="X52"/>
      <c r="Z52"/>
      <c r="AA52"/>
      <c r="AB52"/>
      <c r="AC52"/>
      <c r="AD52"/>
      <c r="AE52"/>
      <c r="AF52"/>
      <c r="AG52"/>
      <c r="AH52"/>
      <c r="AI52"/>
      <c r="AJ52"/>
      <c r="AK52"/>
      <c r="AL52"/>
      <c r="AM52"/>
      <c r="AN52"/>
      <c r="AO52"/>
      <c r="AP52"/>
      <c r="AQ52"/>
      <c r="AR52"/>
      <c r="AS52"/>
      <c r="AT52"/>
      <c r="AU52"/>
      <c r="AV52"/>
      <c r="AW52"/>
      <c r="AX52"/>
      <c r="AY52"/>
    </row>
    <row r="53" spans="1:51" ht="15" customHeight="1">
      <c r="A53" s="22"/>
      <c r="B53" s="343">
        <v>2021</v>
      </c>
      <c r="C53" s="344">
        <v>24.96</v>
      </c>
      <c r="D53" s="344">
        <v>63.36</v>
      </c>
      <c r="E53" s="344">
        <v>129.6</v>
      </c>
      <c r="F53" s="344">
        <v>136.80000000000001</v>
      </c>
      <c r="G53" s="344">
        <v>143.52000000000001</v>
      </c>
      <c r="H53" s="344"/>
      <c r="I53" s="190"/>
      <c r="J53" s="190"/>
      <c r="K53" s="190"/>
      <c r="L53" s="18"/>
      <c r="M53" s="31"/>
      <c r="N53" s="108"/>
      <c r="O53"/>
      <c r="P53"/>
      <c r="Q53"/>
      <c r="R53"/>
      <c r="S53"/>
      <c r="T53"/>
      <c r="U53"/>
      <c r="V53" s="108"/>
      <c r="W53" s="108"/>
      <c r="X53"/>
      <c r="Z53"/>
      <c r="AA53"/>
      <c r="AB53"/>
      <c r="AC53"/>
      <c r="AD53"/>
      <c r="AE53"/>
      <c r="AF53"/>
      <c r="AG53"/>
      <c r="AH53"/>
      <c r="AI53"/>
      <c r="AJ53"/>
      <c r="AK53"/>
      <c r="AL53"/>
      <c r="AM53"/>
      <c r="AN53"/>
      <c r="AO53"/>
      <c r="AP53"/>
      <c r="AQ53"/>
      <c r="AR53"/>
      <c r="AS53"/>
      <c r="AT53"/>
      <c r="AU53"/>
      <c r="AV53"/>
      <c r="AW53"/>
      <c r="AX53"/>
      <c r="AY53"/>
    </row>
    <row r="54" spans="1:51" ht="15" customHeight="1">
      <c r="A54" s="22"/>
      <c r="B54" s="343">
        <v>2022</v>
      </c>
      <c r="C54" s="344">
        <v>20.399999999999999</v>
      </c>
      <c r="D54" s="344">
        <v>59.4</v>
      </c>
      <c r="E54" s="344">
        <v>105.6</v>
      </c>
      <c r="F54" s="344">
        <v>114</v>
      </c>
      <c r="G54" s="344"/>
      <c r="H54" s="344"/>
      <c r="I54" s="190"/>
      <c r="J54" s="190"/>
      <c r="K54" s="190"/>
      <c r="L54" s="18"/>
      <c r="M54" s="31"/>
      <c r="N54" s="108"/>
      <c r="O54" s="330" t="s">
        <v>320</v>
      </c>
      <c r="P54" s="331" t="s">
        <v>337</v>
      </c>
      <c r="Q54" s="76"/>
      <c r="R54" s="76" t="s">
        <v>334</v>
      </c>
      <c r="S54" s="76"/>
      <c r="T54" s="76"/>
      <c r="U54" s="76"/>
      <c r="V54" s="108"/>
      <c r="W54" s="108"/>
      <c r="X54"/>
      <c r="Z54"/>
      <c r="AA54"/>
      <c r="AB54"/>
      <c r="AC54"/>
      <c r="AD54"/>
      <c r="AE54"/>
      <c r="AF54"/>
      <c r="AG54"/>
      <c r="AH54"/>
      <c r="AI54"/>
      <c r="AJ54"/>
      <c r="AK54"/>
      <c r="AL54"/>
      <c r="AM54"/>
      <c r="AN54"/>
      <c r="AO54"/>
      <c r="AP54"/>
      <c r="AQ54"/>
      <c r="AR54"/>
      <c r="AS54"/>
      <c r="AT54"/>
      <c r="AU54"/>
      <c r="AV54"/>
      <c r="AW54"/>
      <c r="AX54"/>
      <c r="AY54"/>
    </row>
    <row r="55" spans="1:51" ht="15" customHeight="1">
      <c r="A55" s="22"/>
      <c r="B55" s="343">
        <v>2023</v>
      </c>
      <c r="C55" s="344">
        <v>11.52</v>
      </c>
      <c r="D55" s="344">
        <v>37.44</v>
      </c>
      <c r="E55" s="344">
        <v>65.400000000000006</v>
      </c>
      <c r="F55" s="344"/>
      <c r="G55" s="344"/>
      <c r="H55" s="344"/>
      <c r="I55" s="190"/>
      <c r="J55" s="190"/>
      <c r="K55" s="190"/>
      <c r="L55" s="18"/>
      <c r="M55" s="31"/>
      <c r="N55" s="108"/>
      <c r="O55" s="332" t="s">
        <v>89</v>
      </c>
      <c r="P55" s="333">
        <v>2020</v>
      </c>
      <c r="Q55" s="333">
        <f>P55+1</f>
        <v>2021</v>
      </c>
      <c r="R55" s="333">
        <f>Q55+1</f>
        <v>2022</v>
      </c>
      <c r="S55" s="333">
        <f>R55+1</f>
        <v>2023</v>
      </c>
      <c r="T55" s="333">
        <f>S55+1</f>
        <v>2024</v>
      </c>
      <c r="U55" s="333">
        <f>T55+1</f>
        <v>2025</v>
      </c>
      <c r="V55" s="108"/>
      <c r="W55" s="108"/>
      <c r="X55"/>
      <c r="Z55"/>
      <c r="AA55"/>
      <c r="AB55"/>
      <c r="AC55"/>
      <c r="AD55"/>
      <c r="AE55"/>
      <c r="AF55"/>
      <c r="AG55"/>
      <c r="AH55"/>
      <c r="AI55"/>
      <c r="AJ55"/>
      <c r="AK55"/>
      <c r="AL55"/>
      <c r="AM55"/>
      <c r="AN55"/>
      <c r="AO55"/>
      <c r="AP55"/>
      <c r="AQ55"/>
      <c r="AR55"/>
      <c r="AS55"/>
      <c r="AT55"/>
      <c r="AU55"/>
      <c r="AV55"/>
      <c r="AW55"/>
      <c r="AX55"/>
      <c r="AY55"/>
    </row>
    <row r="56" spans="1:51" ht="15" customHeight="1">
      <c r="A56" s="22"/>
      <c r="B56" s="343">
        <v>2024</v>
      </c>
      <c r="C56" s="344">
        <v>11.76</v>
      </c>
      <c r="D56" s="344">
        <v>37.08</v>
      </c>
      <c r="E56" s="344"/>
      <c r="F56" s="344"/>
      <c r="G56" s="344"/>
      <c r="H56" s="344"/>
      <c r="I56" s="190"/>
      <c r="J56" s="190"/>
      <c r="K56" s="190"/>
      <c r="L56" s="18"/>
      <c r="M56" s="31"/>
      <c r="N56" s="108"/>
      <c r="O56" s="334">
        <v>2020</v>
      </c>
      <c r="P56" s="335" t="e">
        <f>#REF!+#REF!</f>
        <v>#REF!</v>
      </c>
      <c r="Q56" s="335" t="e">
        <f>#REF!+#REF!</f>
        <v>#REF!</v>
      </c>
      <c r="R56" s="335" t="e">
        <f>#REF!+#REF!</f>
        <v>#REF!</v>
      </c>
      <c r="S56" s="335" t="e">
        <f>#REF!+#REF!</f>
        <v>#REF!</v>
      </c>
      <c r="T56" s="335" t="e">
        <f>#REF!+#REF!</f>
        <v>#REF!</v>
      </c>
      <c r="U56" s="335" t="e">
        <f>#REF!+#REF!</f>
        <v>#REF!</v>
      </c>
      <c r="V56" s="108"/>
      <c r="W56" s="108"/>
      <c r="X56"/>
      <c r="Z56"/>
      <c r="AA56"/>
      <c r="AB56"/>
      <c r="AC56"/>
      <c r="AD56"/>
      <c r="AE56"/>
      <c r="AF56"/>
      <c r="AG56"/>
      <c r="AH56"/>
      <c r="AI56"/>
      <c r="AJ56"/>
      <c r="AK56"/>
      <c r="AL56"/>
      <c r="AM56"/>
      <c r="AN56"/>
      <c r="AO56"/>
      <c r="AP56"/>
      <c r="AQ56"/>
      <c r="AR56"/>
      <c r="AS56"/>
      <c r="AT56"/>
      <c r="AU56"/>
      <c r="AV56"/>
      <c r="AW56"/>
      <c r="AX56"/>
      <c r="AY56"/>
    </row>
    <row r="57" spans="1:51" ht="15" customHeight="1">
      <c r="A57" s="22"/>
      <c r="B57" s="343">
        <v>2025</v>
      </c>
      <c r="C57" s="344">
        <v>23.76</v>
      </c>
      <c r="D57" s="344"/>
      <c r="E57" s="344"/>
      <c r="F57" s="344"/>
      <c r="G57" s="344"/>
      <c r="H57" s="344"/>
      <c r="I57" s="190"/>
      <c r="J57" s="190"/>
      <c r="K57" s="190"/>
      <c r="L57" s="18"/>
      <c r="M57" s="31"/>
      <c r="N57" s="108"/>
      <c r="O57" s="334">
        <f>O56+1</f>
        <v>2021</v>
      </c>
      <c r="P57" s="335"/>
      <c r="Q57" s="335" t="e">
        <f>Q45+#REF!</f>
        <v>#REF!</v>
      </c>
      <c r="R57" s="335" t="e">
        <f>R45+#REF!</f>
        <v>#REF!</v>
      </c>
      <c r="S57" s="335" t="e">
        <f>S45+#REF!</f>
        <v>#REF!</v>
      </c>
      <c r="T57" s="335" t="e">
        <f>T45+#REF!</f>
        <v>#REF!</v>
      </c>
      <c r="U57" s="335" t="e">
        <f>U45+#REF!</f>
        <v>#REF!</v>
      </c>
      <c r="V57" s="108"/>
      <c r="W57" s="108"/>
      <c r="X57"/>
      <c r="Z57"/>
      <c r="AA57"/>
      <c r="AB57"/>
      <c r="AC57"/>
      <c r="AD57"/>
      <c r="AE57"/>
      <c r="AF57"/>
      <c r="AG57"/>
      <c r="AH57"/>
      <c r="AI57"/>
      <c r="AJ57"/>
      <c r="AK57"/>
      <c r="AL57"/>
      <c r="AM57"/>
      <c r="AN57"/>
      <c r="AO57"/>
      <c r="AP57"/>
      <c r="AQ57"/>
      <c r="AR57"/>
      <c r="AS57"/>
      <c r="AT57"/>
      <c r="AU57"/>
      <c r="AV57"/>
      <c r="AW57"/>
      <c r="AX57"/>
      <c r="AY57"/>
    </row>
    <row r="58" spans="1:51" ht="15" customHeight="1">
      <c r="A58" s="22"/>
      <c r="B58" s="190"/>
      <c r="C58" s="190"/>
      <c r="D58" s="190"/>
      <c r="E58" s="190"/>
      <c r="F58" s="190"/>
      <c r="G58" s="190"/>
      <c r="H58" s="190"/>
      <c r="I58" s="190"/>
      <c r="J58" s="190"/>
      <c r="K58" s="190"/>
      <c r="L58" s="18"/>
      <c r="M58" s="31"/>
      <c r="N58" s="108"/>
      <c r="O58" s="334">
        <f>O57+1</f>
        <v>2022</v>
      </c>
      <c r="P58" s="335"/>
      <c r="Q58" s="335"/>
      <c r="R58" s="335" t="e">
        <f>R46+#REF!</f>
        <v>#REF!</v>
      </c>
      <c r="S58" s="335" t="e">
        <f>S46+#REF!</f>
        <v>#REF!</v>
      </c>
      <c r="T58" s="335" t="e">
        <f>T46+#REF!</f>
        <v>#REF!</v>
      </c>
      <c r="U58" s="335" t="e">
        <f>U46+#REF!</f>
        <v>#REF!</v>
      </c>
      <c r="V58" s="108"/>
      <c r="W58" s="108"/>
      <c r="X58"/>
      <c r="Z58"/>
      <c r="AA58"/>
      <c r="AB58"/>
      <c r="AC58"/>
      <c r="AD58"/>
      <c r="AE58"/>
      <c r="AF58"/>
      <c r="AG58"/>
      <c r="AH58"/>
      <c r="AI58"/>
      <c r="AJ58"/>
      <c r="AK58"/>
      <c r="AL58"/>
      <c r="AM58"/>
      <c r="AN58"/>
      <c r="AO58"/>
      <c r="AP58"/>
      <c r="AQ58"/>
      <c r="AR58"/>
      <c r="AS58"/>
      <c r="AT58"/>
      <c r="AU58"/>
      <c r="AV58"/>
      <c r="AW58"/>
      <c r="AX58"/>
      <c r="AY58"/>
    </row>
    <row r="59" spans="1:51" ht="15" customHeight="1">
      <c r="A59" s="22"/>
      <c r="B59" s="339" t="s">
        <v>320</v>
      </c>
      <c r="C59" s="340" t="s">
        <v>327</v>
      </c>
      <c r="D59" s="71"/>
      <c r="E59" s="71" t="s">
        <v>322</v>
      </c>
      <c r="F59" s="71"/>
      <c r="G59" s="71"/>
      <c r="H59" s="71"/>
      <c r="I59" s="190"/>
      <c r="J59" s="190"/>
      <c r="K59" s="190"/>
      <c r="L59" s="18"/>
      <c r="M59" s="31"/>
      <c r="N59" s="108"/>
      <c r="O59" s="334">
        <f>O58+1</f>
        <v>2023</v>
      </c>
      <c r="P59" s="335"/>
      <c r="Q59" s="335"/>
      <c r="R59" s="335"/>
      <c r="S59" s="335" t="e">
        <f>S47+#REF!</f>
        <v>#REF!</v>
      </c>
      <c r="T59" s="335" t="e">
        <f>T47+#REF!</f>
        <v>#REF!</v>
      </c>
      <c r="U59" s="335" t="e">
        <f>U47+#REF!</f>
        <v>#REF!</v>
      </c>
      <c r="V59" s="108"/>
      <c r="W59" s="108"/>
      <c r="X59"/>
      <c r="Z59"/>
      <c r="AA59"/>
      <c r="AB59"/>
      <c r="AC59"/>
      <c r="AD59"/>
      <c r="AE59"/>
      <c r="AF59"/>
      <c r="AG59"/>
      <c r="AH59"/>
      <c r="AI59"/>
      <c r="AJ59"/>
      <c r="AK59"/>
      <c r="AL59"/>
      <c r="AM59"/>
      <c r="AN59"/>
      <c r="AO59"/>
      <c r="AP59"/>
      <c r="AQ59"/>
      <c r="AR59"/>
      <c r="AS59"/>
      <c r="AT59"/>
      <c r="AU59"/>
      <c r="AV59"/>
      <c r="AW59"/>
      <c r="AX59"/>
      <c r="AY59"/>
    </row>
    <row r="60" spans="1:51" ht="15" customHeight="1">
      <c r="A60" s="22"/>
      <c r="B60" s="341" t="s">
        <v>89</v>
      </c>
      <c r="C60" s="342">
        <v>12</v>
      </c>
      <c r="D60" s="342">
        <v>24</v>
      </c>
      <c r="E60" s="342">
        <v>36</v>
      </c>
      <c r="F60" s="342">
        <v>48</v>
      </c>
      <c r="G60" s="342">
        <v>60</v>
      </c>
      <c r="H60" s="342">
        <v>72</v>
      </c>
      <c r="I60" s="190"/>
      <c r="J60" s="190"/>
      <c r="K60" s="190"/>
      <c r="L60" s="18"/>
      <c r="M60" s="31"/>
      <c r="N60" s="108"/>
      <c r="O60" s="334">
        <f>O59+1</f>
        <v>2024</v>
      </c>
      <c r="P60" s="335"/>
      <c r="Q60" s="335"/>
      <c r="R60" s="335"/>
      <c r="S60" s="335"/>
      <c r="T60" s="335" t="e">
        <f>T48+#REF!</f>
        <v>#REF!</v>
      </c>
      <c r="U60" s="335" t="e">
        <f>U48+#REF!</f>
        <v>#REF!</v>
      </c>
      <c r="V60" s="108"/>
      <c r="W60" s="108"/>
      <c r="X60"/>
      <c r="Z60"/>
      <c r="AA60"/>
      <c r="AB60"/>
      <c r="AC60"/>
      <c r="AD60"/>
      <c r="AE60"/>
      <c r="AF60"/>
      <c r="AG60"/>
      <c r="AH60"/>
      <c r="AI60"/>
      <c r="AJ60"/>
      <c r="AK60"/>
      <c r="AL60"/>
      <c r="AM60"/>
      <c r="AN60"/>
      <c r="AO60"/>
      <c r="AP60"/>
      <c r="AQ60"/>
      <c r="AR60"/>
      <c r="AS60"/>
      <c r="AT60"/>
      <c r="AU60"/>
      <c r="AV60"/>
      <c r="AW60"/>
      <c r="AX60"/>
      <c r="AY60"/>
    </row>
    <row r="61" spans="1:51" ht="15" customHeight="1">
      <c r="A61" s="22"/>
      <c r="B61" s="343">
        <v>2020</v>
      </c>
      <c r="C61" s="344">
        <v>56.4</v>
      </c>
      <c r="D61" s="344">
        <v>48</v>
      </c>
      <c r="E61" s="344">
        <v>31.68</v>
      </c>
      <c r="F61" s="344">
        <v>21.36</v>
      </c>
      <c r="G61" s="344">
        <v>23.76</v>
      </c>
      <c r="H61" s="344">
        <v>0</v>
      </c>
      <c r="I61" s="190"/>
      <c r="J61" s="190"/>
      <c r="K61" s="190"/>
      <c r="L61" s="18"/>
      <c r="M61" s="31"/>
      <c r="N61" s="108"/>
      <c r="O61" s="334">
        <f>O60+1</f>
        <v>2025</v>
      </c>
      <c r="P61" s="335"/>
      <c r="Q61" s="335"/>
      <c r="R61" s="335"/>
      <c r="S61" s="335"/>
      <c r="T61" s="335"/>
      <c r="U61" s="335" t="e">
        <f>U49+#REF!</f>
        <v>#REF!</v>
      </c>
      <c r="V61" s="108"/>
      <c r="W61" s="108"/>
      <c r="X61"/>
      <c r="Z61"/>
      <c r="AA61"/>
      <c r="AB61"/>
      <c r="AC61"/>
      <c r="AD61"/>
      <c r="AE61"/>
      <c r="AF61"/>
      <c r="AG61"/>
      <c r="AH61"/>
      <c r="AI61"/>
      <c r="AJ61"/>
      <c r="AK61"/>
      <c r="AL61"/>
      <c r="AM61"/>
      <c r="AN61"/>
      <c r="AO61"/>
      <c r="AP61"/>
      <c r="AQ61"/>
      <c r="AR61"/>
      <c r="AS61"/>
      <c r="AT61"/>
      <c r="AU61"/>
      <c r="AV61"/>
      <c r="AW61"/>
      <c r="AX61"/>
      <c r="AY61"/>
    </row>
    <row r="62" spans="1:51" ht="15" customHeight="1">
      <c r="A62" s="22"/>
      <c r="B62" s="343">
        <v>2021</v>
      </c>
      <c r="C62" s="344">
        <v>79.2</v>
      </c>
      <c r="D62" s="344">
        <v>62.4</v>
      </c>
      <c r="E62" s="344">
        <v>38.880000000000003</v>
      </c>
      <c r="F62" s="344">
        <v>25.44</v>
      </c>
      <c r="G62" s="344">
        <v>24</v>
      </c>
      <c r="H62" s="344"/>
      <c r="I62" s="190"/>
      <c r="J62" s="190"/>
      <c r="K62" s="190"/>
      <c r="L62" s="18"/>
      <c r="M62" s="31"/>
      <c r="N62" s="108"/>
      <c r="O62" s="349"/>
      <c r="P62" s="349" t="e">
        <f t="shared" ref="P62:U62" si="8">SUM(P56:P61)</f>
        <v>#REF!</v>
      </c>
      <c r="Q62" s="349" t="e">
        <f t="shared" si="8"/>
        <v>#REF!</v>
      </c>
      <c r="R62" s="349" t="e">
        <f t="shared" si="8"/>
        <v>#REF!</v>
      </c>
      <c r="S62" s="349" t="e">
        <f t="shared" si="8"/>
        <v>#REF!</v>
      </c>
      <c r="T62" s="349" t="e">
        <f t="shared" si="8"/>
        <v>#REF!</v>
      </c>
      <c r="U62" s="349" t="e">
        <f t="shared" si="8"/>
        <v>#REF!</v>
      </c>
      <c r="V62" s="108"/>
      <c r="W62" s="108"/>
      <c r="X62"/>
      <c r="Z62"/>
      <c r="AA62"/>
      <c r="AB62"/>
      <c r="AC62"/>
      <c r="AD62"/>
      <c r="AE62"/>
      <c r="AF62"/>
      <c r="AG62"/>
      <c r="AH62"/>
      <c r="AI62"/>
      <c r="AJ62"/>
      <c r="AK62"/>
      <c r="AL62"/>
      <c r="AM62"/>
      <c r="AN62"/>
      <c r="AO62"/>
      <c r="AP62"/>
      <c r="AQ62"/>
      <c r="AR62"/>
      <c r="AS62"/>
      <c r="AT62"/>
      <c r="AU62"/>
      <c r="AV62"/>
      <c r="AW62"/>
      <c r="AX62"/>
      <c r="AY62"/>
    </row>
    <row r="63" spans="1:51" ht="15" customHeight="1">
      <c r="A63" s="22"/>
      <c r="B63" s="343">
        <v>2022</v>
      </c>
      <c r="C63" s="344">
        <v>47.52</v>
      </c>
      <c r="D63" s="344">
        <v>32.04</v>
      </c>
      <c r="E63" s="344">
        <v>25.2</v>
      </c>
      <c r="F63" s="344">
        <v>10.8</v>
      </c>
      <c r="G63" s="344"/>
      <c r="H63" s="344"/>
      <c r="I63" s="190"/>
      <c r="J63" s="190"/>
      <c r="K63" s="190"/>
      <c r="L63" s="18"/>
      <c r="M63" s="31"/>
      <c r="N63" s="108"/>
      <c r="O63" s="309" t="s">
        <v>338</v>
      </c>
      <c r="P63" s="309" t="e">
        <f t="shared" ref="P63:U63" si="9">P62-O62</f>
        <v>#REF!</v>
      </c>
      <c r="Q63" s="309" t="e">
        <f t="shared" si="9"/>
        <v>#REF!</v>
      </c>
      <c r="R63" s="309" t="e">
        <f t="shared" si="9"/>
        <v>#REF!</v>
      </c>
      <c r="S63" s="309" t="e">
        <f t="shared" si="9"/>
        <v>#REF!</v>
      </c>
      <c r="T63" s="309" t="e">
        <f t="shared" si="9"/>
        <v>#REF!</v>
      </c>
      <c r="U63" s="309" t="e">
        <f t="shared" si="9"/>
        <v>#REF!</v>
      </c>
      <c r="V63" s="108"/>
      <c r="W63" s="108"/>
      <c r="X63"/>
      <c r="Z63"/>
      <c r="AA63"/>
      <c r="AB63"/>
      <c r="AC63"/>
      <c r="AD63"/>
      <c r="AE63"/>
      <c r="AF63"/>
      <c r="AG63"/>
      <c r="AH63"/>
      <c r="AI63"/>
      <c r="AJ63"/>
      <c r="AK63"/>
      <c r="AL63"/>
      <c r="AM63"/>
      <c r="AN63"/>
      <c r="AO63"/>
      <c r="AP63"/>
      <c r="AQ63"/>
      <c r="AR63"/>
      <c r="AS63"/>
      <c r="AT63"/>
      <c r="AU63"/>
      <c r="AV63"/>
      <c r="AW63"/>
      <c r="AX63"/>
      <c r="AY63"/>
    </row>
    <row r="64" spans="1:51" ht="15" customHeight="1">
      <c r="A64" s="22"/>
      <c r="B64" s="343">
        <v>2023</v>
      </c>
      <c r="C64" s="344">
        <v>31.32</v>
      </c>
      <c r="D64" s="344">
        <v>37.44</v>
      </c>
      <c r="E64" s="344">
        <v>25.44</v>
      </c>
      <c r="F64" s="344"/>
      <c r="G64" s="344"/>
      <c r="H64" s="344"/>
      <c r="I64" s="190"/>
      <c r="J64" s="190"/>
      <c r="K64" s="190"/>
      <c r="L64" s="18"/>
      <c r="M64" s="31"/>
      <c r="N64" s="108"/>
      <c r="O64" s="108" t="s">
        <v>336</v>
      </c>
      <c r="P64" s="334">
        <v>2020</v>
      </c>
      <c r="Q64" s="334">
        <f>P64+1</f>
        <v>2021</v>
      </c>
      <c r="R64" s="334">
        <f>Q64+1</f>
        <v>2022</v>
      </c>
      <c r="S64" s="334">
        <f>R64+1</f>
        <v>2023</v>
      </c>
      <c r="T64" s="334">
        <f>S64+1</f>
        <v>2024</v>
      </c>
      <c r="U64" s="334">
        <f>T64+1</f>
        <v>2025</v>
      </c>
      <c r="V64" s="108"/>
      <c r="W64" s="108"/>
      <c r="X64"/>
      <c r="Z64"/>
      <c r="AA64"/>
      <c r="AB64"/>
      <c r="AC64"/>
      <c r="AD64"/>
      <c r="AE64"/>
      <c r="AF64"/>
      <c r="AG64"/>
      <c r="AH64"/>
      <c r="AI64"/>
      <c r="AJ64"/>
      <c r="AK64"/>
      <c r="AL64"/>
      <c r="AM64"/>
      <c r="AN64"/>
      <c r="AO64"/>
      <c r="AP64"/>
      <c r="AQ64"/>
      <c r="AR64"/>
      <c r="AS64"/>
      <c r="AT64"/>
      <c r="AU64"/>
      <c r="AV64"/>
      <c r="AW64"/>
      <c r="AX64"/>
      <c r="AY64"/>
    </row>
    <row r="65" spans="1:51" ht="15" customHeight="1">
      <c r="A65" s="22"/>
      <c r="B65" s="343">
        <v>2024</v>
      </c>
      <c r="C65" s="344">
        <v>37.799999999999997</v>
      </c>
      <c r="D65" s="344">
        <v>35.64</v>
      </c>
      <c r="E65" s="344"/>
      <c r="F65" s="344"/>
      <c r="G65" s="344"/>
      <c r="H65" s="344"/>
      <c r="I65" s="190"/>
      <c r="J65" s="190"/>
      <c r="K65" s="190"/>
      <c r="L65" s="18"/>
      <c r="M65" s="31"/>
      <c r="N65"/>
      <c r="O65"/>
      <c r="P65"/>
      <c r="Q65"/>
      <c r="R65"/>
      <c r="S65"/>
      <c r="T65"/>
      <c r="U65"/>
      <c r="V65"/>
      <c r="W65"/>
      <c r="X65"/>
      <c r="Z65"/>
      <c r="AA65"/>
      <c r="AB65"/>
      <c r="AC65"/>
      <c r="AD65"/>
      <c r="AE65"/>
      <c r="AF65"/>
      <c r="AG65"/>
      <c r="AH65"/>
      <c r="AI65"/>
      <c r="AJ65"/>
      <c r="AK65"/>
      <c r="AL65"/>
      <c r="AM65"/>
      <c r="AN65"/>
      <c r="AO65"/>
      <c r="AP65"/>
      <c r="AQ65"/>
      <c r="AR65"/>
      <c r="AS65"/>
      <c r="AT65"/>
      <c r="AU65"/>
      <c r="AV65"/>
      <c r="AW65"/>
      <c r="AX65"/>
      <c r="AY65"/>
    </row>
    <row r="66" spans="1:51" ht="15" customHeight="1">
      <c r="A66" s="22"/>
      <c r="B66" s="343">
        <v>2025</v>
      </c>
      <c r="C66" s="344">
        <v>24.48</v>
      </c>
      <c r="D66" s="344"/>
      <c r="E66" s="344"/>
      <c r="F66" s="344"/>
      <c r="G66" s="344"/>
      <c r="H66" s="344"/>
      <c r="I66" s="190"/>
      <c r="J66" s="190"/>
      <c r="K66" s="190"/>
      <c r="L66" s="18"/>
      <c r="M66" s="31"/>
      <c r="N66"/>
      <c r="O66"/>
      <c r="P66"/>
      <c r="Q66"/>
      <c r="R66"/>
      <c r="S66"/>
      <c r="T66"/>
      <c r="U66"/>
      <c r="V66"/>
      <c r="W66"/>
      <c r="X66"/>
      <c r="Z66"/>
      <c r="AA66"/>
      <c r="AB66"/>
      <c r="AC66"/>
      <c r="AD66"/>
      <c r="AE66"/>
      <c r="AF66"/>
      <c r="AG66"/>
      <c r="AH66"/>
      <c r="AI66"/>
      <c r="AJ66"/>
      <c r="AK66"/>
      <c r="AL66"/>
      <c r="AM66"/>
      <c r="AN66"/>
      <c r="AO66"/>
      <c r="AP66"/>
      <c r="AQ66"/>
      <c r="AR66"/>
      <c r="AS66"/>
      <c r="AT66"/>
      <c r="AU66"/>
      <c r="AV66"/>
      <c r="AW66"/>
      <c r="AX66"/>
      <c r="AY66"/>
    </row>
    <row r="67" spans="1:51" ht="15" customHeight="1">
      <c r="A67" s="22"/>
      <c r="B67" s="17"/>
      <c r="C67" s="17"/>
      <c r="D67" s="17"/>
      <c r="E67" s="17"/>
      <c r="F67" s="17"/>
      <c r="G67" s="17"/>
      <c r="H67" s="17"/>
      <c r="I67" s="17"/>
      <c r="J67" s="17"/>
      <c r="K67" s="17"/>
      <c r="L67" s="18"/>
      <c r="M67" s="31"/>
      <c r="N67"/>
      <c r="O67"/>
      <c r="P67"/>
      <c r="Q67"/>
      <c r="R67"/>
      <c r="S67"/>
      <c r="T67"/>
      <c r="U67"/>
      <c r="V67"/>
      <c r="W67"/>
      <c r="X67"/>
      <c r="Z67"/>
      <c r="AA67"/>
      <c r="AB67"/>
      <c r="AC67"/>
      <c r="AD67"/>
      <c r="AE67"/>
      <c r="AF67"/>
      <c r="AG67"/>
      <c r="AH67"/>
      <c r="AI67"/>
      <c r="AJ67"/>
      <c r="AK67"/>
      <c r="AL67"/>
      <c r="AM67"/>
      <c r="AN67"/>
      <c r="AO67"/>
      <c r="AP67"/>
      <c r="AQ67"/>
      <c r="AR67"/>
      <c r="AS67"/>
      <c r="AT67"/>
      <c r="AU67"/>
      <c r="AV67"/>
      <c r="AW67"/>
      <c r="AX67"/>
      <c r="AY67"/>
    </row>
    <row r="68" spans="1:51" ht="15" customHeight="1">
      <c r="A68" s="22"/>
      <c r="B68" s="17"/>
      <c r="C68" s="17"/>
      <c r="D68" s="17"/>
      <c r="E68" s="17"/>
      <c r="F68" s="17"/>
      <c r="G68" s="17"/>
      <c r="H68" s="17"/>
      <c r="I68" s="17"/>
      <c r="J68" s="17"/>
      <c r="K68" s="17"/>
      <c r="L68" s="18"/>
      <c r="M68" s="31"/>
      <c r="N68"/>
      <c r="O68"/>
      <c r="P68"/>
      <c r="Q68"/>
      <c r="R68"/>
      <c r="S68"/>
      <c r="T68"/>
      <c r="U68"/>
      <c r="V68"/>
      <c r="W68"/>
      <c r="X68"/>
      <c r="Z68"/>
      <c r="AA68"/>
      <c r="AB68"/>
      <c r="AC68"/>
      <c r="AD68"/>
      <c r="AE68"/>
      <c r="AF68"/>
      <c r="AG68"/>
      <c r="AH68"/>
      <c r="AI68"/>
      <c r="AJ68"/>
      <c r="AK68"/>
      <c r="AL68"/>
      <c r="AM68"/>
      <c r="AN68"/>
      <c r="AO68"/>
      <c r="AP68"/>
      <c r="AQ68"/>
      <c r="AR68"/>
      <c r="AS68"/>
      <c r="AT68"/>
      <c r="AU68"/>
      <c r="AV68"/>
      <c r="AW68"/>
      <c r="AX68"/>
      <c r="AY68"/>
    </row>
    <row r="69" spans="1:51" ht="15" customHeight="1">
      <c r="A69" s="22"/>
      <c r="B69" s="17"/>
      <c r="C69" s="17"/>
      <c r="D69" s="17"/>
      <c r="E69" s="17"/>
      <c r="F69" s="17"/>
      <c r="G69" s="17"/>
      <c r="H69" s="17"/>
      <c r="I69" s="17"/>
      <c r="J69" s="17"/>
      <c r="K69" s="17"/>
      <c r="L69" s="18"/>
      <c r="M69" s="31"/>
      <c r="N69"/>
      <c r="O69"/>
      <c r="P69"/>
      <c r="Q69"/>
      <c r="R69"/>
      <c r="S69"/>
      <c r="T69"/>
      <c r="U69"/>
      <c r="V69"/>
      <c r="W69"/>
      <c r="X69"/>
      <c r="Z69"/>
      <c r="AA69"/>
      <c r="AB69"/>
      <c r="AC69"/>
      <c r="AD69"/>
      <c r="AE69"/>
      <c r="AF69"/>
      <c r="AG69"/>
      <c r="AH69"/>
      <c r="AI69"/>
      <c r="AJ69"/>
      <c r="AK69"/>
      <c r="AL69"/>
      <c r="AM69"/>
      <c r="AN69"/>
      <c r="AO69"/>
      <c r="AP69"/>
      <c r="AQ69"/>
      <c r="AR69"/>
      <c r="AS69"/>
      <c r="AT69"/>
      <c r="AU69"/>
      <c r="AV69"/>
      <c r="AW69"/>
      <c r="AX69"/>
      <c r="AY69"/>
    </row>
    <row r="70" spans="1:51" ht="15" customHeight="1">
      <c r="A70" s="22"/>
      <c r="B70" s="17"/>
      <c r="C70" s="17"/>
      <c r="D70" s="17"/>
      <c r="E70" s="17"/>
      <c r="F70" s="17"/>
      <c r="G70" s="17"/>
      <c r="H70" s="17"/>
      <c r="I70" s="17"/>
      <c r="J70" s="17"/>
      <c r="K70" s="17"/>
      <c r="L70" s="18"/>
      <c r="M70" s="31"/>
      <c r="N70"/>
      <c r="O70"/>
      <c r="P70"/>
      <c r="Q70"/>
      <c r="R70"/>
      <c r="S70"/>
      <c r="T70"/>
      <c r="U70"/>
      <c r="V70"/>
      <c r="W70"/>
      <c r="X70"/>
      <c r="Z70"/>
      <c r="AA70"/>
      <c r="AB70"/>
      <c r="AC70"/>
      <c r="AD70"/>
      <c r="AE70"/>
      <c r="AF70"/>
      <c r="AG70"/>
      <c r="AH70"/>
      <c r="AI70"/>
      <c r="AJ70"/>
      <c r="AK70"/>
      <c r="AL70"/>
      <c r="AM70"/>
      <c r="AN70"/>
      <c r="AO70"/>
      <c r="AP70"/>
      <c r="AQ70"/>
      <c r="AR70"/>
      <c r="AS70"/>
      <c r="AT70"/>
      <c r="AU70"/>
      <c r="AV70"/>
      <c r="AW70"/>
      <c r="AX70"/>
      <c r="AY70"/>
    </row>
    <row r="71" spans="1:51" ht="15" customHeight="1">
      <c r="A71" s="22"/>
      <c r="B71" s="17"/>
      <c r="C71" s="17"/>
      <c r="D71" s="17"/>
      <c r="E71" s="17"/>
      <c r="F71" s="17"/>
      <c r="G71" s="17"/>
      <c r="H71" s="17"/>
      <c r="I71" s="17"/>
      <c r="J71" s="17"/>
      <c r="K71" s="17"/>
      <c r="L71" s="18"/>
      <c r="M71" s="31"/>
      <c r="N71"/>
      <c r="O71"/>
      <c r="P71"/>
      <c r="Q71"/>
      <c r="R71"/>
      <c r="S71"/>
      <c r="T71"/>
      <c r="U71"/>
      <c r="V71"/>
      <c r="W71"/>
      <c r="X71"/>
      <c r="Z71"/>
      <c r="AA71"/>
      <c r="AB71"/>
      <c r="AC71"/>
      <c r="AD71"/>
      <c r="AE71"/>
      <c r="AF71"/>
      <c r="AG71"/>
      <c r="AH71"/>
      <c r="AI71"/>
      <c r="AJ71"/>
      <c r="AK71"/>
      <c r="AL71"/>
      <c r="AM71"/>
      <c r="AN71"/>
      <c r="AO71"/>
      <c r="AP71"/>
      <c r="AQ71"/>
      <c r="AR71"/>
      <c r="AS71"/>
      <c r="AT71"/>
      <c r="AU71"/>
      <c r="AV71"/>
      <c r="AW71"/>
      <c r="AX71"/>
      <c r="AY71"/>
    </row>
    <row r="72" spans="1:51" ht="15" customHeight="1">
      <c r="A72" s="22"/>
      <c r="B72" s="17"/>
      <c r="C72" s="17"/>
      <c r="D72" s="17"/>
      <c r="E72" s="17"/>
      <c r="F72" s="17"/>
      <c r="G72" s="17"/>
      <c r="H72" s="17"/>
      <c r="I72" s="17"/>
      <c r="J72" s="17"/>
      <c r="K72" s="17"/>
      <c r="L72" s="18"/>
      <c r="M72" s="31"/>
      <c r="N72"/>
      <c r="O72"/>
      <c r="P72"/>
      <c r="Q72"/>
      <c r="R72"/>
      <c r="S72"/>
      <c r="T72"/>
      <c r="U72"/>
      <c r="V72"/>
      <c r="W72"/>
      <c r="X72"/>
      <c r="Z72"/>
      <c r="AA72"/>
      <c r="AB72"/>
      <c r="AC72"/>
      <c r="AD72"/>
      <c r="AE72"/>
      <c r="AF72"/>
      <c r="AG72"/>
      <c r="AH72"/>
      <c r="AI72"/>
      <c r="AJ72"/>
      <c r="AK72"/>
      <c r="AL72"/>
      <c r="AM72"/>
      <c r="AN72"/>
      <c r="AO72"/>
      <c r="AP72"/>
      <c r="AQ72"/>
      <c r="AR72"/>
      <c r="AS72"/>
      <c r="AT72"/>
      <c r="AU72"/>
      <c r="AV72"/>
      <c r="AW72"/>
      <c r="AX72"/>
      <c r="AY72"/>
    </row>
    <row r="73" spans="1:51" ht="15" customHeight="1">
      <c r="A73" s="22"/>
      <c r="B73" s="17"/>
      <c r="C73" s="17"/>
      <c r="D73" s="17"/>
      <c r="E73" s="17"/>
      <c r="F73" s="17"/>
      <c r="G73" s="17"/>
      <c r="H73" s="17"/>
      <c r="I73" s="17"/>
      <c r="J73" s="17"/>
      <c r="K73" s="17"/>
      <c r="L73" s="18"/>
      <c r="M73" s="31"/>
      <c r="N73"/>
      <c r="O73"/>
      <c r="P73"/>
      <c r="Q73"/>
      <c r="R73"/>
      <c r="S73"/>
      <c r="T73"/>
      <c r="U73"/>
      <c r="V73"/>
      <c r="W73"/>
      <c r="X73"/>
      <c r="Z73"/>
      <c r="AA73"/>
      <c r="AB73"/>
      <c r="AC73"/>
      <c r="AD73"/>
      <c r="AE73"/>
      <c r="AF73"/>
      <c r="AG73"/>
      <c r="AH73"/>
      <c r="AI73"/>
      <c r="AJ73"/>
      <c r="AK73"/>
      <c r="AL73"/>
      <c r="AM73"/>
      <c r="AN73"/>
      <c r="AO73"/>
      <c r="AP73"/>
      <c r="AQ73"/>
      <c r="AR73"/>
      <c r="AS73"/>
      <c r="AT73"/>
      <c r="AU73"/>
      <c r="AV73"/>
      <c r="AW73"/>
      <c r="AX73"/>
      <c r="AY73"/>
    </row>
    <row r="74" spans="1:51" ht="15" customHeight="1">
      <c r="A74" s="22"/>
      <c r="B74" s="17"/>
      <c r="C74" s="17"/>
      <c r="D74" s="17"/>
      <c r="E74" s="17"/>
      <c r="F74" s="17"/>
      <c r="G74" s="17"/>
      <c r="H74" s="17"/>
      <c r="I74" s="17"/>
      <c r="J74" s="17"/>
      <c r="K74" s="17"/>
      <c r="L74" s="18"/>
      <c r="M74" s="31"/>
      <c r="N74"/>
      <c r="O74"/>
      <c r="P74"/>
      <c r="Q74"/>
      <c r="R74"/>
      <c r="S74"/>
      <c r="T74"/>
      <c r="U74"/>
      <c r="V74"/>
      <c r="W74"/>
      <c r="X74"/>
      <c r="Z74"/>
      <c r="AA74"/>
      <c r="AB74"/>
      <c r="AC74"/>
      <c r="AD74"/>
      <c r="AE74"/>
      <c r="AF74"/>
      <c r="AG74"/>
      <c r="AH74"/>
      <c r="AI74"/>
      <c r="AJ74"/>
      <c r="AK74"/>
      <c r="AL74"/>
      <c r="AM74"/>
      <c r="AN74"/>
      <c r="AO74"/>
      <c r="AP74"/>
      <c r="AQ74"/>
      <c r="AR74"/>
      <c r="AS74"/>
      <c r="AT74"/>
      <c r="AU74"/>
      <c r="AV74"/>
      <c r="AW74"/>
      <c r="AX74"/>
      <c r="AY74"/>
    </row>
    <row r="75" spans="1:51" ht="15" customHeight="1">
      <c r="A75" s="22"/>
      <c r="B75" s="17"/>
      <c r="C75" s="17"/>
      <c r="D75" s="17"/>
      <c r="E75" s="17"/>
      <c r="F75" s="17"/>
      <c r="G75" s="17"/>
      <c r="H75" s="17"/>
      <c r="I75" s="17"/>
      <c r="J75" s="17"/>
      <c r="K75" s="17"/>
      <c r="L75" s="18"/>
      <c r="M75" s="31"/>
      <c r="N75"/>
      <c r="O75"/>
      <c r="P75"/>
      <c r="Q75"/>
      <c r="R75"/>
      <c r="S75"/>
      <c r="T75"/>
      <c r="U75"/>
      <c r="V75"/>
      <c r="W75"/>
      <c r="X75"/>
      <c r="Z75"/>
      <c r="AA75"/>
      <c r="AB75"/>
      <c r="AC75"/>
      <c r="AD75"/>
      <c r="AE75"/>
      <c r="AF75"/>
      <c r="AG75"/>
      <c r="AH75"/>
      <c r="AI75"/>
      <c r="AJ75"/>
      <c r="AK75"/>
      <c r="AL75"/>
      <c r="AM75"/>
      <c r="AN75"/>
      <c r="AO75"/>
      <c r="AP75"/>
      <c r="AQ75"/>
      <c r="AR75"/>
      <c r="AS75"/>
      <c r="AT75"/>
      <c r="AU75"/>
      <c r="AV75"/>
      <c r="AW75"/>
      <c r="AX75"/>
      <c r="AY75"/>
    </row>
    <row r="76" spans="1:51" ht="15" customHeight="1">
      <c r="A76" s="22"/>
      <c r="B76" s="17"/>
      <c r="C76" s="17"/>
      <c r="D76" s="17"/>
      <c r="E76" s="17"/>
      <c r="F76" s="17"/>
      <c r="G76" s="17"/>
      <c r="H76" s="17"/>
      <c r="I76" s="17"/>
      <c r="J76" s="17"/>
      <c r="K76" s="17"/>
      <c r="L76" s="18"/>
      <c r="M76" s="31"/>
      <c r="N76"/>
      <c r="O76"/>
      <c r="P76"/>
      <c r="Q76"/>
      <c r="R76"/>
      <c r="S76"/>
      <c r="T76"/>
      <c r="U76"/>
      <c r="V76"/>
      <c r="W76"/>
      <c r="X76"/>
      <c r="Z76"/>
      <c r="AA76"/>
      <c r="AB76"/>
      <c r="AC76"/>
      <c r="AD76"/>
      <c r="AE76"/>
      <c r="AF76"/>
      <c r="AG76"/>
      <c r="AH76"/>
      <c r="AI76"/>
      <c r="AJ76"/>
      <c r="AK76"/>
      <c r="AL76"/>
      <c r="AM76"/>
      <c r="AN76"/>
      <c r="AO76"/>
      <c r="AP76"/>
      <c r="AQ76"/>
      <c r="AR76"/>
      <c r="AS76"/>
      <c r="AT76"/>
      <c r="AU76"/>
      <c r="AV76"/>
      <c r="AW76"/>
      <c r="AX76"/>
      <c r="AY76"/>
    </row>
    <row r="77" spans="1:51" ht="15" customHeight="1">
      <c r="A77" s="22"/>
      <c r="B77" s="17"/>
      <c r="C77" s="17"/>
      <c r="D77" s="17"/>
      <c r="E77" s="17"/>
      <c r="F77" s="17"/>
      <c r="G77" s="17"/>
      <c r="H77" s="17"/>
      <c r="I77" s="17"/>
      <c r="J77" s="17"/>
      <c r="K77" s="17"/>
      <c r="L77" s="18"/>
      <c r="M77" s="31"/>
      <c r="N77"/>
      <c r="O77"/>
      <c r="P77"/>
      <c r="Q77"/>
      <c r="R77"/>
      <c r="S77"/>
      <c r="T77"/>
      <c r="U77"/>
      <c r="V77"/>
      <c r="W77"/>
      <c r="X77"/>
      <c r="Z77"/>
      <c r="AA77"/>
      <c r="AB77"/>
      <c r="AC77"/>
      <c r="AD77"/>
      <c r="AE77"/>
      <c r="AF77"/>
      <c r="AG77"/>
      <c r="AH77"/>
      <c r="AI77"/>
      <c r="AJ77"/>
      <c r="AK77"/>
      <c r="AL77"/>
      <c r="AM77"/>
      <c r="AN77"/>
      <c r="AO77"/>
      <c r="AP77"/>
      <c r="AQ77"/>
      <c r="AR77"/>
      <c r="AS77"/>
      <c r="AT77"/>
      <c r="AU77"/>
      <c r="AV77"/>
      <c r="AW77"/>
      <c r="AX77"/>
      <c r="AY77"/>
    </row>
    <row r="78" spans="1:51" ht="15" customHeight="1">
      <c r="A78" s="22"/>
      <c r="B78" s="17"/>
      <c r="C78" s="17"/>
      <c r="D78" s="17"/>
      <c r="E78" s="17"/>
      <c r="F78" s="17"/>
      <c r="G78" s="17"/>
      <c r="H78" s="17"/>
      <c r="I78" s="17"/>
      <c r="J78" s="17"/>
      <c r="K78" s="17"/>
      <c r="L78" s="18"/>
      <c r="M78" s="31"/>
      <c r="N78"/>
      <c r="O78"/>
      <c r="P78"/>
      <c r="Q78"/>
      <c r="R78"/>
      <c r="S78"/>
      <c r="T78"/>
      <c r="U78"/>
      <c r="V78"/>
      <c r="W78"/>
      <c r="X78"/>
      <c r="Z78"/>
      <c r="AA78"/>
      <c r="AB78"/>
      <c r="AC78"/>
      <c r="AD78"/>
      <c r="AE78"/>
      <c r="AF78"/>
      <c r="AG78"/>
      <c r="AH78"/>
      <c r="AI78"/>
      <c r="AJ78"/>
      <c r="AK78"/>
      <c r="AL78"/>
      <c r="AM78"/>
      <c r="AN78"/>
      <c r="AO78"/>
      <c r="AP78"/>
      <c r="AQ78"/>
      <c r="AR78"/>
      <c r="AS78"/>
      <c r="AT78"/>
      <c r="AU78"/>
      <c r="AV78"/>
      <c r="AW78"/>
      <c r="AX78"/>
      <c r="AY78"/>
    </row>
    <row r="79" spans="1:51" ht="15" customHeight="1">
      <c r="A79" s="22"/>
      <c r="B79" s="17"/>
      <c r="C79" s="17"/>
      <c r="D79" s="17"/>
      <c r="E79" s="17"/>
      <c r="F79" s="17"/>
      <c r="G79" s="17"/>
      <c r="H79" s="17"/>
      <c r="I79" s="17"/>
      <c r="J79" s="17"/>
      <c r="K79" s="17"/>
      <c r="L79" s="18"/>
      <c r="M79" s="31"/>
      <c r="N79"/>
      <c r="O79"/>
      <c r="P79"/>
      <c r="Q79"/>
      <c r="R79"/>
      <c r="S79"/>
      <c r="T79"/>
      <c r="U79"/>
      <c r="V79"/>
      <c r="W79"/>
      <c r="X79"/>
      <c r="Z79"/>
      <c r="AA79"/>
      <c r="AB79"/>
      <c r="AC79"/>
      <c r="AD79"/>
      <c r="AE79"/>
      <c r="AF79"/>
      <c r="AG79"/>
      <c r="AH79"/>
      <c r="AI79"/>
      <c r="AJ79"/>
      <c r="AK79"/>
      <c r="AL79"/>
      <c r="AM79"/>
      <c r="AN79"/>
      <c r="AO79"/>
      <c r="AP79"/>
      <c r="AQ79"/>
      <c r="AR79"/>
      <c r="AS79"/>
      <c r="AT79"/>
      <c r="AU79"/>
      <c r="AV79"/>
      <c r="AW79"/>
      <c r="AX79"/>
      <c r="AY79"/>
    </row>
    <row r="80" spans="1:51" ht="15" customHeight="1">
      <c r="A80" s="22"/>
      <c r="B80" s="17"/>
      <c r="C80" s="17"/>
      <c r="D80" s="17"/>
      <c r="E80" s="17"/>
      <c r="F80" s="17"/>
      <c r="G80" s="17"/>
      <c r="H80" s="17"/>
      <c r="I80" s="17"/>
      <c r="J80" s="17"/>
      <c r="K80" s="17"/>
      <c r="L80" s="18"/>
      <c r="M80" s="31"/>
      <c r="N80"/>
      <c r="O80"/>
      <c r="P80"/>
      <c r="Q80"/>
      <c r="R80"/>
      <c r="S80"/>
      <c r="T80"/>
      <c r="U80"/>
      <c r="V80"/>
      <c r="W80"/>
      <c r="X80"/>
      <c r="Z80"/>
      <c r="AA80"/>
      <c r="AB80"/>
      <c r="AC80"/>
      <c r="AD80"/>
      <c r="AE80"/>
      <c r="AF80"/>
      <c r="AG80"/>
      <c r="AH80"/>
      <c r="AI80"/>
      <c r="AJ80"/>
      <c r="AK80"/>
      <c r="AL80"/>
      <c r="AM80"/>
      <c r="AN80"/>
      <c r="AO80"/>
      <c r="AP80"/>
      <c r="AQ80"/>
      <c r="AR80"/>
      <c r="AS80"/>
      <c r="AT80"/>
      <c r="AU80"/>
      <c r="AV80"/>
      <c r="AW80"/>
      <c r="AX80"/>
      <c r="AY80"/>
    </row>
    <row r="81" spans="1:51" ht="15" customHeight="1">
      <c r="A81" s="22"/>
      <c r="B81" s="17"/>
      <c r="C81" s="17"/>
      <c r="D81" s="17"/>
      <c r="E81" s="17"/>
      <c r="F81" s="17"/>
      <c r="G81" s="17"/>
      <c r="H81" s="17"/>
      <c r="I81" s="17"/>
      <c r="J81" s="17"/>
      <c r="K81" s="17"/>
      <c r="L81" s="18"/>
      <c r="M81" s="31"/>
      <c r="N81"/>
      <c r="O81"/>
      <c r="P81"/>
      <c r="Q81"/>
      <c r="R81"/>
      <c r="S81"/>
      <c r="T81"/>
      <c r="U81"/>
      <c r="V81"/>
      <c r="W81"/>
      <c r="X81"/>
      <c r="Z81"/>
      <c r="AA81"/>
      <c r="AB81"/>
      <c r="AC81"/>
      <c r="AD81"/>
      <c r="AE81"/>
      <c r="AF81"/>
      <c r="AG81"/>
      <c r="AH81"/>
      <c r="AI81"/>
      <c r="AJ81"/>
      <c r="AK81"/>
      <c r="AL81"/>
      <c r="AM81"/>
      <c r="AN81"/>
      <c r="AO81"/>
      <c r="AP81"/>
      <c r="AQ81"/>
      <c r="AR81"/>
      <c r="AS81"/>
      <c r="AT81"/>
      <c r="AU81"/>
      <c r="AV81"/>
      <c r="AW81"/>
      <c r="AX81"/>
      <c r="AY81"/>
    </row>
    <row r="82" spans="1:51" ht="15" customHeight="1" thickBot="1">
      <c r="A82" s="24"/>
      <c r="B82" s="32"/>
      <c r="C82" s="32"/>
      <c r="D82" s="32"/>
      <c r="E82" s="32"/>
      <c r="F82" s="32"/>
      <c r="G82" s="32"/>
      <c r="H82" s="32"/>
      <c r="I82" s="32"/>
      <c r="J82" s="32"/>
      <c r="K82" s="32"/>
      <c r="L82" s="33"/>
      <c r="M82" s="31"/>
      <c r="N82"/>
      <c r="O82"/>
      <c r="P82"/>
      <c r="Q82"/>
      <c r="R82"/>
      <c r="S82"/>
      <c r="T82"/>
      <c r="U82"/>
      <c r="V82"/>
      <c r="W82"/>
      <c r="X82"/>
      <c r="Z82"/>
      <c r="AA82"/>
      <c r="AB82"/>
      <c r="AC82"/>
      <c r="AD82"/>
      <c r="AE82"/>
      <c r="AF82"/>
      <c r="AG82"/>
      <c r="AH82"/>
      <c r="AI82"/>
      <c r="AJ82"/>
      <c r="AK82"/>
      <c r="AL82"/>
      <c r="AM82"/>
      <c r="AN82"/>
      <c r="AO82"/>
      <c r="AP82"/>
      <c r="AQ82"/>
      <c r="AR82"/>
      <c r="AS82"/>
      <c r="AT82"/>
      <c r="AU82"/>
      <c r="AV82"/>
      <c r="AW82"/>
      <c r="AX82"/>
      <c r="AY82"/>
    </row>
    <row r="83" spans="1:51" ht="15" customHeight="1">
      <c r="B83" s="31"/>
      <c r="C83" s="31"/>
      <c r="D83" s="31"/>
      <c r="E83" s="31"/>
      <c r="F83" s="31"/>
      <c r="G83" s="31"/>
      <c r="H83" s="31"/>
      <c r="I83" s="31"/>
      <c r="J83" s="31"/>
      <c r="K83" s="31"/>
      <c r="L83" s="31"/>
      <c r="M83" s="31"/>
      <c r="N83"/>
      <c r="O83"/>
      <c r="P83"/>
      <c r="Q83"/>
      <c r="R83"/>
      <c r="S83"/>
      <c r="T83"/>
      <c r="U83"/>
      <c r="V83"/>
      <c r="W83"/>
      <c r="X83"/>
      <c r="Z83"/>
      <c r="AA83"/>
      <c r="AB83"/>
      <c r="AC83"/>
      <c r="AD83"/>
      <c r="AE83"/>
      <c r="AF83"/>
      <c r="AG83"/>
      <c r="AH83"/>
      <c r="AI83"/>
      <c r="AJ83"/>
      <c r="AK83"/>
      <c r="AL83"/>
      <c r="AM83"/>
      <c r="AN83"/>
      <c r="AO83"/>
      <c r="AP83"/>
      <c r="AQ83"/>
      <c r="AR83"/>
      <c r="AS83"/>
      <c r="AT83"/>
      <c r="AU83"/>
      <c r="AV83"/>
      <c r="AW83"/>
      <c r="AX83"/>
      <c r="AY83"/>
    </row>
    <row r="84" spans="1:51" ht="15" customHeight="1">
      <c r="M84" s="31"/>
      <c r="N84"/>
      <c r="O84"/>
      <c r="P84"/>
      <c r="Q84"/>
      <c r="R84"/>
      <c r="S84"/>
      <c r="T84"/>
      <c r="U84"/>
      <c r="V84"/>
      <c r="W84"/>
      <c r="X84"/>
      <c r="Z84"/>
      <c r="AA84"/>
      <c r="AB84"/>
      <c r="AC84"/>
      <c r="AD84"/>
      <c r="AE84"/>
      <c r="AF84"/>
      <c r="AG84"/>
      <c r="AH84"/>
      <c r="AI84"/>
      <c r="AJ84"/>
      <c r="AK84"/>
      <c r="AL84"/>
      <c r="AM84"/>
      <c r="AN84"/>
      <c r="AO84"/>
      <c r="AP84"/>
      <c r="AQ84"/>
      <c r="AR84"/>
      <c r="AS84"/>
      <c r="AT84"/>
      <c r="AU84"/>
      <c r="AV84"/>
      <c r="AW84"/>
      <c r="AX84"/>
      <c r="AY84"/>
    </row>
    <row r="85" spans="1:51" ht="15" customHeight="1">
      <c r="M85" s="31"/>
      <c r="N85" s="48"/>
      <c r="O85" s="1"/>
      <c r="P85"/>
      <c r="Q85"/>
      <c r="R85"/>
      <c r="S85"/>
      <c r="T85"/>
      <c r="U85"/>
      <c r="V85"/>
      <c r="W85"/>
      <c r="X85"/>
      <c r="Z85"/>
      <c r="AA85"/>
      <c r="AB85"/>
      <c r="AC85"/>
      <c r="AD85"/>
      <c r="AE85"/>
      <c r="AF85"/>
      <c r="AG85"/>
      <c r="AH85"/>
      <c r="AI85"/>
      <c r="AJ85"/>
      <c r="AK85"/>
      <c r="AL85"/>
      <c r="AM85"/>
      <c r="AN85"/>
      <c r="AO85"/>
      <c r="AP85"/>
      <c r="AQ85"/>
      <c r="AR85"/>
      <c r="AS85"/>
      <c r="AT85"/>
      <c r="AU85"/>
      <c r="AV85"/>
      <c r="AW85"/>
      <c r="AX85"/>
      <c r="AY85"/>
    </row>
    <row r="86" spans="1:51" ht="15" customHeight="1">
      <c r="M86" s="31"/>
      <c r="N86"/>
      <c r="O86"/>
      <c r="P86"/>
      <c r="Q86"/>
      <c r="R86"/>
      <c r="S86"/>
      <c r="T86"/>
      <c r="U86"/>
      <c r="V86"/>
      <c r="W86"/>
      <c r="X86"/>
      <c r="Z86"/>
      <c r="AA86"/>
      <c r="AB86"/>
      <c r="AC86"/>
      <c r="AD86"/>
      <c r="AE86"/>
      <c r="AF86"/>
      <c r="AG86"/>
      <c r="AH86"/>
      <c r="AI86"/>
      <c r="AJ86"/>
      <c r="AK86"/>
      <c r="AL86"/>
      <c r="AM86"/>
      <c r="AN86"/>
      <c r="AO86"/>
      <c r="AP86"/>
      <c r="AQ86"/>
      <c r="AR86"/>
      <c r="AS86"/>
      <c r="AT86"/>
      <c r="AU86"/>
      <c r="AV86"/>
      <c r="AW86"/>
      <c r="AX86"/>
      <c r="AY86"/>
    </row>
    <row r="87" spans="1:51" ht="15" customHeight="1">
      <c r="M87" s="31"/>
      <c r="N87" s="48"/>
      <c r="O87"/>
      <c r="P87"/>
      <c r="Q87"/>
      <c r="R87"/>
      <c r="S87"/>
      <c r="T87"/>
      <c r="U87"/>
      <c r="V87"/>
      <c r="W87"/>
      <c r="X87"/>
      <c r="Z87"/>
      <c r="AA87"/>
      <c r="AB87"/>
      <c r="AC87"/>
      <c r="AD87"/>
      <c r="AE87"/>
      <c r="AF87"/>
      <c r="AG87"/>
      <c r="AH87"/>
      <c r="AI87"/>
      <c r="AJ87"/>
      <c r="AK87"/>
      <c r="AL87"/>
      <c r="AM87"/>
      <c r="AN87"/>
      <c r="AO87"/>
      <c r="AP87"/>
      <c r="AQ87"/>
      <c r="AR87"/>
      <c r="AS87"/>
      <c r="AT87"/>
      <c r="AU87"/>
      <c r="AV87"/>
      <c r="AW87"/>
      <c r="AX87"/>
      <c r="AY87"/>
    </row>
    <row r="88" spans="1:51" ht="15" customHeight="1">
      <c r="M88" s="31"/>
      <c r="N88"/>
      <c r="O88"/>
      <c r="P88"/>
      <c r="Q88"/>
      <c r="R88"/>
      <c r="S88"/>
      <c r="T88"/>
      <c r="U88"/>
      <c r="V88"/>
      <c r="W88"/>
      <c r="X88"/>
      <c r="Z88"/>
      <c r="AA88"/>
      <c r="AB88"/>
      <c r="AC88"/>
      <c r="AD88"/>
      <c r="AE88"/>
      <c r="AF88"/>
      <c r="AG88"/>
      <c r="AH88"/>
      <c r="AI88"/>
      <c r="AJ88"/>
      <c r="AK88"/>
      <c r="AL88"/>
      <c r="AM88"/>
      <c r="AN88"/>
      <c r="AO88"/>
      <c r="AP88"/>
      <c r="AQ88"/>
      <c r="AR88"/>
      <c r="AS88"/>
      <c r="AT88"/>
      <c r="AU88"/>
      <c r="AV88"/>
      <c r="AW88"/>
      <c r="AX88"/>
      <c r="AY88"/>
    </row>
    <row r="89" spans="1:51" ht="15" customHeight="1">
      <c r="M89" s="31"/>
      <c r="N89"/>
      <c r="O89"/>
      <c r="P89"/>
      <c r="Q89"/>
      <c r="R89"/>
      <c r="S89"/>
      <c r="T89"/>
      <c r="U89"/>
      <c r="V89"/>
      <c r="W89"/>
      <c r="X89"/>
      <c r="Z89"/>
      <c r="AA89"/>
      <c r="AB89"/>
      <c r="AC89"/>
      <c r="AD89"/>
      <c r="AE89"/>
      <c r="AF89"/>
      <c r="AG89"/>
      <c r="AH89"/>
      <c r="AI89"/>
      <c r="AJ89"/>
      <c r="AK89"/>
      <c r="AL89"/>
      <c r="AM89"/>
      <c r="AN89"/>
      <c r="AO89"/>
      <c r="AP89"/>
      <c r="AQ89"/>
      <c r="AR89"/>
      <c r="AS89"/>
      <c r="AT89"/>
      <c r="AU89"/>
      <c r="AV89"/>
      <c r="AW89"/>
      <c r="AX89"/>
      <c r="AY89"/>
    </row>
    <row r="90" spans="1:51" ht="15" customHeight="1">
      <c r="M90" s="31"/>
      <c r="N90"/>
      <c r="O90"/>
      <c r="P90"/>
      <c r="Q90"/>
      <c r="R90"/>
      <c r="S90"/>
      <c r="T90"/>
      <c r="U90"/>
      <c r="V90"/>
      <c r="W90"/>
      <c r="X90"/>
      <c r="Z90"/>
      <c r="AA90"/>
      <c r="AB90"/>
      <c r="AC90"/>
      <c r="AD90"/>
      <c r="AE90"/>
      <c r="AF90"/>
      <c r="AG90"/>
      <c r="AH90"/>
      <c r="AI90"/>
      <c r="AJ90"/>
      <c r="AK90"/>
      <c r="AL90"/>
      <c r="AM90"/>
      <c r="AN90"/>
      <c r="AO90"/>
      <c r="AP90"/>
      <c r="AQ90"/>
      <c r="AR90"/>
      <c r="AS90"/>
      <c r="AT90"/>
      <c r="AU90"/>
      <c r="AV90"/>
      <c r="AW90"/>
      <c r="AX90"/>
      <c r="AY90"/>
    </row>
    <row r="91" spans="1:51" ht="15" customHeight="1">
      <c r="M91" s="31"/>
      <c r="N91"/>
      <c r="O91"/>
      <c r="P91"/>
      <c r="Q91"/>
      <c r="R91"/>
      <c r="S91"/>
      <c r="T91"/>
      <c r="U91"/>
      <c r="V91"/>
      <c r="W91"/>
      <c r="X91"/>
      <c r="Z91"/>
      <c r="AA91"/>
      <c r="AB91"/>
      <c r="AC91"/>
      <c r="AD91"/>
      <c r="AE91"/>
      <c r="AF91"/>
      <c r="AG91"/>
      <c r="AH91"/>
      <c r="AI91"/>
      <c r="AJ91"/>
      <c r="AK91"/>
      <c r="AL91"/>
      <c r="AM91"/>
      <c r="AN91"/>
      <c r="AO91"/>
      <c r="AP91"/>
      <c r="AQ91"/>
      <c r="AR91"/>
      <c r="AS91"/>
      <c r="AT91"/>
      <c r="AU91"/>
      <c r="AV91"/>
      <c r="AW91"/>
      <c r="AX91"/>
      <c r="AY91"/>
    </row>
    <row r="92" spans="1:51" ht="15" customHeight="1">
      <c r="M92" s="31"/>
      <c r="N92"/>
      <c r="O92"/>
      <c r="P92"/>
      <c r="Q92"/>
      <c r="R92"/>
      <c r="S92"/>
      <c r="T92"/>
      <c r="U92"/>
      <c r="V92"/>
      <c r="W92"/>
      <c r="X92"/>
      <c r="Z92"/>
      <c r="AA92"/>
      <c r="AB92"/>
      <c r="AC92"/>
      <c r="AD92"/>
      <c r="AE92"/>
      <c r="AF92"/>
      <c r="AG92"/>
      <c r="AH92"/>
      <c r="AI92"/>
      <c r="AJ92"/>
      <c r="AK92"/>
      <c r="AL92"/>
      <c r="AM92"/>
      <c r="AN92"/>
      <c r="AO92"/>
      <c r="AP92"/>
      <c r="AQ92"/>
      <c r="AR92"/>
      <c r="AS92"/>
      <c r="AT92"/>
      <c r="AU92"/>
      <c r="AV92"/>
      <c r="AW92"/>
      <c r="AX92"/>
      <c r="AY92"/>
    </row>
    <row r="93" spans="1:51" ht="15" customHeight="1">
      <c r="M93" s="31"/>
      <c r="N93"/>
      <c r="O93"/>
      <c r="P93"/>
      <c r="Q93"/>
      <c r="R93"/>
      <c r="S93"/>
      <c r="T93"/>
      <c r="U93"/>
      <c r="V93"/>
      <c r="W93"/>
      <c r="X93"/>
      <c r="Z93"/>
      <c r="AA93"/>
      <c r="AB93"/>
      <c r="AC93"/>
      <c r="AD93"/>
      <c r="AE93"/>
      <c r="AF93"/>
      <c r="AG93"/>
      <c r="AH93"/>
      <c r="AI93"/>
      <c r="AJ93"/>
      <c r="AK93"/>
      <c r="AL93"/>
      <c r="AM93"/>
      <c r="AN93"/>
      <c r="AO93"/>
      <c r="AP93"/>
      <c r="AQ93"/>
      <c r="AR93"/>
      <c r="AS93"/>
      <c r="AT93"/>
      <c r="AU93"/>
      <c r="AV93"/>
      <c r="AW93"/>
      <c r="AX93"/>
      <c r="AY93"/>
    </row>
    <row r="94" spans="1:51" ht="15" customHeight="1">
      <c r="M94" s="31"/>
      <c r="N94"/>
      <c r="O94"/>
      <c r="P94"/>
      <c r="Q94"/>
      <c r="R94"/>
      <c r="S94"/>
      <c r="T94"/>
      <c r="U94"/>
      <c r="V94"/>
      <c r="W94"/>
      <c r="X94"/>
      <c r="Z94"/>
      <c r="AA94"/>
      <c r="AB94"/>
      <c r="AC94"/>
      <c r="AD94"/>
      <c r="AE94"/>
      <c r="AF94"/>
      <c r="AG94"/>
      <c r="AH94"/>
      <c r="AI94"/>
      <c r="AJ94"/>
      <c r="AK94"/>
      <c r="AL94"/>
      <c r="AM94"/>
      <c r="AN94"/>
      <c r="AO94"/>
      <c r="AP94"/>
      <c r="AQ94"/>
      <c r="AR94"/>
      <c r="AS94"/>
      <c r="AT94"/>
      <c r="AU94"/>
      <c r="AV94"/>
      <c r="AW94"/>
      <c r="AX94"/>
      <c r="AY94"/>
    </row>
    <row r="95" spans="1:51" ht="15" customHeight="1">
      <c r="M95" s="31"/>
      <c r="N95"/>
      <c r="O95"/>
      <c r="P95"/>
      <c r="Q95"/>
      <c r="R95"/>
      <c r="S95"/>
      <c r="T95"/>
      <c r="U95"/>
      <c r="V95"/>
      <c r="W95"/>
      <c r="X95"/>
      <c r="Z95"/>
      <c r="AA95"/>
      <c r="AB95"/>
      <c r="AC95"/>
      <c r="AD95"/>
      <c r="AE95"/>
      <c r="AF95"/>
      <c r="AG95"/>
      <c r="AH95"/>
      <c r="AI95"/>
      <c r="AJ95"/>
      <c r="AK95"/>
      <c r="AL95"/>
      <c r="AM95"/>
      <c r="AN95"/>
      <c r="AO95"/>
      <c r="AP95"/>
      <c r="AQ95"/>
      <c r="AR95"/>
      <c r="AS95"/>
      <c r="AT95"/>
      <c r="AU95"/>
      <c r="AV95"/>
      <c r="AW95"/>
      <c r="AX95"/>
      <c r="AY95"/>
    </row>
    <row r="96" spans="1:51" ht="15" customHeight="1">
      <c r="M96" s="31"/>
      <c r="N96"/>
      <c r="O96"/>
      <c r="P96"/>
      <c r="Q96"/>
      <c r="R96"/>
      <c r="S96"/>
      <c r="T96"/>
      <c r="U96"/>
      <c r="V96"/>
      <c r="W96"/>
      <c r="X96"/>
      <c r="Z96"/>
      <c r="AA96"/>
      <c r="AB96"/>
      <c r="AC96"/>
      <c r="AD96"/>
      <c r="AE96"/>
      <c r="AF96"/>
      <c r="AG96"/>
      <c r="AH96"/>
      <c r="AI96"/>
      <c r="AJ96"/>
      <c r="AK96"/>
      <c r="AL96"/>
      <c r="AM96"/>
      <c r="AN96"/>
      <c r="AO96"/>
      <c r="AP96"/>
      <c r="AQ96"/>
      <c r="AR96"/>
      <c r="AS96"/>
      <c r="AT96"/>
      <c r="AU96"/>
      <c r="AV96"/>
      <c r="AW96"/>
      <c r="AX96"/>
      <c r="AY96"/>
    </row>
    <row r="97" spans="2:51" ht="15" customHeight="1">
      <c r="M97" s="31"/>
      <c r="N97"/>
      <c r="O97"/>
      <c r="P97"/>
      <c r="Q97"/>
      <c r="R97"/>
      <c r="S97"/>
      <c r="T97"/>
      <c r="U97"/>
      <c r="V97"/>
      <c r="W97"/>
      <c r="X97"/>
      <c r="Z97"/>
      <c r="AA97"/>
      <c r="AB97"/>
      <c r="AC97"/>
      <c r="AD97"/>
      <c r="AE97"/>
      <c r="AF97"/>
      <c r="AG97"/>
      <c r="AH97"/>
      <c r="AI97"/>
      <c r="AJ97"/>
      <c r="AK97"/>
      <c r="AL97"/>
      <c r="AM97"/>
      <c r="AN97"/>
      <c r="AO97"/>
      <c r="AP97"/>
      <c r="AQ97"/>
      <c r="AR97"/>
      <c r="AS97"/>
      <c r="AT97"/>
      <c r="AU97"/>
      <c r="AV97"/>
      <c r="AW97"/>
      <c r="AX97"/>
      <c r="AY97"/>
    </row>
    <row r="98" spans="2:51" ht="15" customHeight="1">
      <c r="B98" s="31"/>
      <c r="C98" s="31"/>
      <c r="D98" s="31"/>
      <c r="E98" s="31"/>
      <c r="F98" s="31"/>
      <c r="G98" s="31"/>
      <c r="H98" s="31"/>
      <c r="I98" s="31"/>
      <c r="J98" s="31"/>
      <c r="K98" s="31"/>
      <c r="L98" s="31"/>
      <c r="M98" s="31"/>
      <c r="N98"/>
      <c r="O98"/>
      <c r="P98"/>
      <c r="Q98"/>
      <c r="R98"/>
      <c r="S98"/>
      <c r="T98"/>
      <c r="U98"/>
      <c r="V98"/>
      <c r="W98"/>
      <c r="X98"/>
      <c r="Z98"/>
      <c r="AA98"/>
      <c r="AB98"/>
      <c r="AC98"/>
      <c r="AD98"/>
      <c r="AE98"/>
      <c r="AF98"/>
      <c r="AG98"/>
      <c r="AH98"/>
      <c r="AI98"/>
      <c r="AJ98"/>
      <c r="AK98"/>
      <c r="AL98"/>
      <c r="AM98"/>
      <c r="AN98"/>
      <c r="AO98"/>
      <c r="AP98"/>
      <c r="AQ98"/>
      <c r="AR98"/>
      <c r="AS98"/>
      <c r="AT98"/>
      <c r="AU98"/>
      <c r="AV98"/>
      <c r="AW98"/>
      <c r="AX98"/>
      <c r="AY98"/>
    </row>
    <row r="99" spans="2:51" ht="15" customHeight="1">
      <c r="B99" s="31"/>
      <c r="C99" s="31"/>
      <c r="D99" s="31"/>
      <c r="E99" s="31"/>
      <c r="F99" s="31"/>
      <c r="G99" s="31"/>
      <c r="H99" s="31"/>
      <c r="I99" s="31"/>
      <c r="J99" s="31"/>
      <c r="K99" s="31"/>
      <c r="L99" s="31"/>
      <c r="M99" s="31"/>
      <c r="N99"/>
      <c r="O99"/>
      <c r="P99"/>
      <c r="Q99"/>
      <c r="R99"/>
      <c r="S99"/>
      <c r="T99"/>
      <c r="U99"/>
      <c r="V99"/>
      <c r="W99"/>
      <c r="X99"/>
      <c r="Z99"/>
      <c r="AA99"/>
      <c r="AB99"/>
      <c r="AC99"/>
      <c r="AD99"/>
      <c r="AE99"/>
      <c r="AF99"/>
      <c r="AG99"/>
      <c r="AH99"/>
      <c r="AI99"/>
      <c r="AJ99"/>
      <c r="AK99"/>
      <c r="AL99"/>
      <c r="AM99"/>
      <c r="AN99"/>
      <c r="AO99"/>
      <c r="AP99"/>
      <c r="AQ99"/>
      <c r="AR99"/>
      <c r="AS99"/>
      <c r="AT99"/>
      <c r="AU99"/>
      <c r="AV99"/>
      <c r="AW99"/>
      <c r="AX99"/>
      <c r="AY99"/>
    </row>
    <row r="100" spans="2:51" ht="15" customHeight="1">
      <c r="B100" s="31"/>
      <c r="C100" s="31"/>
      <c r="D100" s="31"/>
      <c r="E100" s="31"/>
      <c r="F100" s="31"/>
      <c r="G100" s="31"/>
      <c r="H100" s="31"/>
      <c r="I100" s="31"/>
      <c r="J100" s="31"/>
      <c r="K100" s="31"/>
      <c r="L100" s="31"/>
      <c r="M100" s="31"/>
      <c r="N100"/>
      <c r="O100"/>
      <c r="P100"/>
      <c r="Q100"/>
      <c r="R100"/>
      <c r="S100"/>
      <c r="T100"/>
      <c r="U100"/>
      <c r="V100"/>
      <c r="W100"/>
      <c r="X100"/>
      <c r="Z100"/>
      <c r="AA100"/>
      <c r="AB100"/>
      <c r="AC100"/>
      <c r="AD100"/>
      <c r="AE100"/>
      <c r="AF100"/>
      <c r="AG100"/>
      <c r="AH100"/>
      <c r="AI100"/>
      <c r="AJ100"/>
      <c r="AK100"/>
      <c r="AL100"/>
      <c r="AM100"/>
      <c r="AN100"/>
      <c r="AO100"/>
      <c r="AP100"/>
      <c r="AQ100"/>
      <c r="AR100"/>
      <c r="AS100"/>
      <c r="AT100"/>
      <c r="AU100"/>
      <c r="AV100"/>
      <c r="AW100"/>
      <c r="AX100"/>
      <c r="AY100"/>
    </row>
    <row r="101" spans="2:51" ht="15" customHeight="1">
      <c r="B101" s="31"/>
      <c r="C101" s="31"/>
      <c r="D101" s="31"/>
      <c r="E101" s="31"/>
      <c r="F101" s="31"/>
      <c r="G101" s="31"/>
      <c r="H101" s="31"/>
      <c r="I101" s="31"/>
      <c r="J101" s="31"/>
      <c r="K101" s="31"/>
      <c r="L101" s="31"/>
      <c r="M101" s="31"/>
      <c r="N101"/>
      <c r="O101"/>
      <c r="P101"/>
      <c r="Q101"/>
      <c r="R101"/>
      <c r="S101"/>
      <c r="T101"/>
      <c r="U101"/>
      <c r="V101"/>
      <c r="W101"/>
      <c r="X101"/>
      <c r="Z101"/>
      <c r="AA101"/>
      <c r="AB101"/>
      <c r="AC101"/>
      <c r="AD101"/>
      <c r="AE101"/>
      <c r="AF101"/>
      <c r="AG101"/>
      <c r="AH101"/>
      <c r="AI101"/>
      <c r="AJ101"/>
      <c r="AK101"/>
      <c r="AL101"/>
      <c r="AM101"/>
      <c r="AN101"/>
      <c r="AO101"/>
      <c r="AP101"/>
      <c r="AQ101"/>
      <c r="AR101"/>
      <c r="AS101"/>
      <c r="AT101"/>
      <c r="AU101"/>
      <c r="AV101"/>
      <c r="AW101"/>
      <c r="AX101"/>
      <c r="AY101"/>
    </row>
    <row r="102" spans="2:51" ht="15" customHeight="1">
      <c r="B102" s="31"/>
      <c r="C102" s="31"/>
      <c r="D102" s="31"/>
      <c r="E102" s="31"/>
      <c r="F102" s="31"/>
      <c r="G102" s="31"/>
      <c r="H102" s="31"/>
      <c r="I102" s="31"/>
      <c r="J102" s="31"/>
      <c r="K102" s="31"/>
      <c r="L102" s="31"/>
      <c r="M102" s="31"/>
      <c r="N102"/>
      <c r="O102"/>
      <c r="P102"/>
      <c r="Q102"/>
      <c r="R102"/>
      <c r="S102"/>
      <c r="T102"/>
      <c r="U102"/>
      <c r="V102"/>
      <c r="W102"/>
      <c r="X102"/>
      <c r="Z102"/>
      <c r="AA102"/>
      <c r="AB102"/>
      <c r="AC102"/>
      <c r="AD102"/>
      <c r="AE102"/>
      <c r="AF102"/>
      <c r="AG102"/>
      <c r="AH102"/>
      <c r="AI102"/>
      <c r="AJ102"/>
      <c r="AK102"/>
      <c r="AL102"/>
      <c r="AM102"/>
      <c r="AN102"/>
      <c r="AO102"/>
      <c r="AP102"/>
      <c r="AQ102"/>
      <c r="AR102"/>
      <c r="AS102"/>
      <c r="AT102"/>
      <c r="AU102"/>
      <c r="AV102"/>
      <c r="AW102"/>
      <c r="AX102"/>
      <c r="AY102"/>
    </row>
    <row r="103" spans="2:51" ht="15" customHeight="1">
      <c r="B103" s="31"/>
      <c r="C103" s="31"/>
      <c r="D103" s="31"/>
      <c r="E103" s="31"/>
      <c r="F103" s="31"/>
      <c r="G103" s="31"/>
      <c r="H103" s="31"/>
      <c r="I103" s="31"/>
      <c r="J103" s="31"/>
      <c r="K103" s="31"/>
      <c r="L103" s="31"/>
      <c r="M103" s="31"/>
      <c r="Z103"/>
      <c r="AA103"/>
      <c r="AB103"/>
      <c r="AC103"/>
      <c r="AD103"/>
      <c r="AE103"/>
      <c r="AF103"/>
      <c r="AG103"/>
      <c r="AH103"/>
      <c r="AI103"/>
      <c r="AJ103"/>
      <c r="AK103"/>
      <c r="AL103"/>
      <c r="AM103"/>
      <c r="AN103"/>
      <c r="AO103"/>
      <c r="AP103"/>
      <c r="AQ103"/>
      <c r="AR103"/>
      <c r="AS103"/>
      <c r="AT103"/>
      <c r="AU103"/>
      <c r="AV103"/>
      <c r="AW103"/>
      <c r="AX103"/>
      <c r="AY103"/>
    </row>
    <row r="104" spans="2:51" ht="15" customHeight="1">
      <c r="B104" s="31"/>
      <c r="C104" s="31"/>
      <c r="D104" s="31"/>
      <c r="E104" s="31"/>
      <c r="F104" s="31"/>
      <c r="G104" s="31"/>
      <c r="H104" s="31"/>
      <c r="I104" s="31"/>
      <c r="J104" s="31"/>
      <c r="K104" s="31"/>
      <c r="L104" s="31"/>
      <c r="M104" s="31"/>
      <c r="Z104"/>
      <c r="AA104"/>
      <c r="AB104"/>
      <c r="AC104"/>
      <c r="AD104"/>
      <c r="AE104"/>
      <c r="AF104"/>
      <c r="AG104"/>
      <c r="AH104"/>
      <c r="AI104"/>
      <c r="AJ104"/>
      <c r="AK104"/>
      <c r="AL104"/>
      <c r="AM104"/>
      <c r="AN104"/>
      <c r="AO104"/>
      <c r="AP104"/>
      <c r="AQ104"/>
      <c r="AR104"/>
      <c r="AS104"/>
      <c r="AT104"/>
      <c r="AU104"/>
      <c r="AV104"/>
      <c r="AW104"/>
      <c r="AX104"/>
      <c r="AY104"/>
    </row>
    <row r="105" spans="2:51" ht="15" customHeight="1">
      <c r="B105" s="31"/>
      <c r="C105" s="31"/>
      <c r="D105" s="31"/>
      <c r="E105" s="31"/>
      <c r="F105" s="31"/>
      <c r="G105" s="31"/>
      <c r="H105" s="31"/>
      <c r="I105" s="31"/>
      <c r="J105" s="31"/>
      <c r="K105" s="31"/>
      <c r="L105" s="31"/>
      <c r="M105" s="31"/>
      <c r="Z105"/>
      <c r="AA105"/>
      <c r="AB105"/>
      <c r="AC105"/>
      <c r="AD105"/>
      <c r="AE105"/>
      <c r="AF105"/>
      <c r="AG105"/>
      <c r="AH105"/>
      <c r="AI105"/>
      <c r="AJ105"/>
      <c r="AK105"/>
      <c r="AL105"/>
      <c r="AM105"/>
      <c r="AN105"/>
      <c r="AO105"/>
      <c r="AP105"/>
      <c r="AQ105"/>
      <c r="AR105"/>
      <c r="AS105"/>
      <c r="AT105"/>
      <c r="AU105"/>
      <c r="AV105"/>
      <c r="AW105"/>
      <c r="AX105"/>
      <c r="AY105"/>
    </row>
    <row r="106" spans="2:51" ht="15" customHeight="1">
      <c r="B106" s="31"/>
      <c r="C106" s="31"/>
      <c r="D106" s="31"/>
      <c r="E106" s="31"/>
      <c r="F106" s="31"/>
      <c r="G106" s="31"/>
      <c r="H106" s="31"/>
      <c r="I106" s="31"/>
      <c r="J106" s="31"/>
      <c r="K106" s="31"/>
      <c r="L106" s="31"/>
      <c r="M106" s="31"/>
      <c r="Z106"/>
      <c r="AA106"/>
      <c r="AB106"/>
      <c r="AC106"/>
      <c r="AD106"/>
      <c r="AE106"/>
      <c r="AF106"/>
      <c r="AG106"/>
      <c r="AH106"/>
      <c r="AI106"/>
      <c r="AJ106"/>
      <c r="AK106"/>
      <c r="AL106"/>
      <c r="AM106"/>
      <c r="AN106"/>
      <c r="AO106"/>
      <c r="AP106"/>
      <c r="AQ106"/>
      <c r="AR106"/>
      <c r="AS106"/>
      <c r="AT106"/>
      <c r="AU106"/>
      <c r="AV106"/>
      <c r="AW106"/>
      <c r="AX106"/>
      <c r="AY106"/>
    </row>
    <row r="107" spans="2:51" ht="15" customHeight="1">
      <c r="B107" s="31"/>
      <c r="C107" s="31"/>
      <c r="D107" s="31"/>
      <c r="E107" s="31"/>
      <c r="F107" s="31"/>
      <c r="G107" s="31"/>
      <c r="H107" s="31"/>
      <c r="I107" s="31"/>
      <c r="J107" s="31"/>
      <c r="K107" s="31"/>
      <c r="L107" s="31"/>
      <c r="M107" s="31"/>
      <c r="Z107"/>
      <c r="AA107"/>
      <c r="AB107"/>
      <c r="AC107"/>
      <c r="AD107"/>
      <c r="AE107"/>
      <c r="AF107"/>
      <c r="AG107"/>
      <c r="AH107"/>
      <c r="AI107"/>
      <c r="AJ107"/>
      <c r="AK107"/>
      <c r="AL107"/>
      <c r="AM107"/>
      <c r="AN107"/>
      <c r="AO107"/>
      <c r="AP107"/>
      <c r="AQ107"/>
      <c r="AR107"/>
      <c r="AS107"/>
      <c r="AT107"/>
      <c r="AU107"/>
      <c r="AV107"/>
      <c r="AW107"/>
      <c r="AX107"/>
      <c r="AY107"/>
    </row>
    <row r="108" spans="2:51" ht="15" customHeight="1">
      <c r="B108" s="31"/>
      <c r="C108" s="31"/>
      <c r="D108" s="31"/>
      <c r="E108" s="31"/>
      <c r="F108" s="31"/>
      <c r="G108" s="31"/>
      <c r="H108" s="31"/>
      <c r="I108" s="31"/>
      <c r="J108" s="31"/>
      <c r="K108" s="31"/>
      <c r="L108" s="31"/>
      <c r="M108" s="31"/>
      <c r="Z108"/>
      <c r="AA108"/>
      <c r="AB108"/>
      <c r="AC108"/>
      <c r="AD108"/>
      <c r="AE108"/>
      <c r="AF108"/>
      <c r="AG108"/>
      <c r="AH108"/>
      <c r="AI108"/>
      <c r="AJ108"/>
      <c r="AK108"/>
      <c r="AL108"/>
      <c r="AM108"/>
      <c r="AN108"/>
      <c r="AO108"/>
      <c r="AP108"/>
      <c r="AQ108"/>
      <c r="AR108"/>
      <c r="AS108"/>
      <c r="AT108"/>
      <c r="AU108"/>
      <c r="AV108"/>
      <c r="AW108"/>
      <c r="AX108"/>
      <c r="AY108"/>
    </row>
    <row r="109" spans="2:51" ht="15" customHeight="1">
      <c r="B109" s="31"/>
      <c r="C109" s="31"/>
      <c r="D109" s="31"/>
      <c r="E109" s="31"/>
      <c r="F109" s="31"/>
      <c r="G109" s="31"/>
      <c r="H109" s="31"/>
      <c r="I109" s="31"/>
      <c r="J109" s="31"/>
      <c r="K109" s="31"/>
      <c r="L109" s="31"/>
      <c r="M109" s="31"/>
      <c r="Z109"/>
      <c r="AA109"/>
      <c r="AB109"/>
      <c r="AC109"/>
      <c r="AD109"/>
      <c r="AE109"/>
      <c r="AF109"/>
      <c r="AG109"/>
      <c r="AH109"/>
      <c r="AI109"/>
      <c r="AJ109"/>
      <c r="AK109"/>
      <c r="AL109"/>
      <c r="AM109"/>
      <c r="AN109"/>
      <c r="AO109"/>
      <c r="AP109"/>
      <c r="AQ109"/>
      <c r="AR109"/>
      <c r="AS109"/>
      <c r="AT109"/>
      <c r="AU109"/>
      <c r="AV109"/>
      <c r="AW109"/>
      <c r="AX109"/>
      <c r="AY109"/>
    </row>
    <row r="110" spans="2:51" ht="15" customHeight="1">
      <c r="B110" s="31"/>
      <c r="C110" s="31"/>
      <c r="D110" s="31"/>
      <c r="E110" s="31"/>
      <c r="F110" s="31"/>
      <c r="G110" s="31"/>
      <c r="H110" s="31"/>
      <c r="I110" s="31"/>
      <c r="J110" s="31"/>
      <c r="K110" s="31"/>
      <c r="L110" s="31"/>
      <c r="M110" s="31"/>
      <c r="Z110"/>
      <c r="AA110"/>
      <c r="AB110"/>
      <c r="AC110"/>
      <c r="AD110"/>
      <c r="AE110"/>
      <c r="AF110"/>
      <c r="AG110"/>
      <c r="AH110"/>
      <c r="AI110"/>
      <c r="AJ110"/>
      <c r="AK110"/>
      <c r="AL110"/>
      <c r="AM110"/>
      <c r="AN110"/>
      <c r="AO110"/>
      <c r="AP110"/>
      <c r="AQ110"/>
      <c r="AR110"/>
      <c r="AS110"/>
      <c r="AT110"/>
      <c r="AU110"/>
      <c r="AV110"/>
      <c r="AW110"/>
      <c r="AX110"/>
      <c r="AY110"/>
    </row>
    <row r="111" spans="2:51" ht="15" customHeight="1">
      <c r="B111" s="31"/>
      <c r="C111" s="31"/>
      <c r="D111" s="31"/>
      <c r="E111" s="31"/>
      <c r="F111" s="31"/>
      <c r="G111" s="31"/>
      <c r="H111" s="31"/>
      <c r="I111" s="31"/>
      <c r="J111" s="31"/>
      <c r="K111" s="31"/>
      <c r="L111" s="31"/>
      <c r="M111" s="31"/>
      <c r="Z111"/>
      <c r="AA111"/>
      <c r="AB111"/>
      <c r="AC111"/>
      <c r="AD111"/>
      <c r="AE111"/>
      <c r="AF111"/>
      <c r="AG111"/>
      <c r="AH111"/>
      <c r="AI111"/>
      <c r="AJ111"/>
      <c r="AK111"/>
      <c r="AL111"/>
      <c r="AM111"/>
      <c r="AN111"/>
      <c r="AO111"/>
      <c r="AP111"/>
      <c r="AQ111"/>
      <c r="AR111"/>
      <c r="AS111"/>
      <c r="AT111"/>
      <c r="AU111"/>
      <c r="AV111"/>
      <c r="AW111"/>
      <c r="AX111"/>
      <c r="AY111"/>
    </row>
    <row r="112" spans="2:51" ht="15" customHeight="1">
      <c r="B112" s="31"/>
      <c r="C112" s="31"/>
      <c r="D112" s="31"/>
      <c r="E112" s="31"/>
      <c r="F112" s="31"/>
      <c r="G112" s="31"/>
      <c r="H112" s="31"/>
      <c r="I112" s="31"/>
      <c r="J112" s="31"/>
      <c r="K112" s="31"/>
      <c r="L112" s="31"/>
      <c r="M112" s="31"/>
      <c r="Z112"/>
      <c r="AA112"/>
      <c r="AB112"/>
      <c r="AC112"/>
      <c r="AD112"/>
      <c r="AE112"/>
      <c r="AF112"/>
      <c r="AG112"/>
      <c r="AH112"/>
      <c r="AI112"/>
      <c r="AJ112"/>
      <c r="AK112"/>
      <c r="AL112"/>
      <c r="AM112"/>
      <c r="AN112"/>
      <c r="AO112"/>
      <c r="AP112"/>
      <c r="AQ112"/>
      <c r="AR112"/>
      <c r="AS112"/>
      <c r="AT112"/>
      <c r="AU112"/>
      <c r="AV112"/>
      <c r="AW112"/>
      <c r="AX112"/>
      <c r="AY112"/>
    </row>
    <row r="113" spans="2:51" ht="15" customHeight="1">
      <c r="B113" s="31"/>
      <c r="C113" s="31"/>
      <c r="D113" s="31"/>
      <c r="E113" s="31"/>
      <c r="F113" s="31"/>
      <c r="G113" s="31"/>
      <c r="H113" s="31"/>
      <c r="I113" s="31"/>
      <c r="J113" s="31"/>
      <c r="K113" s="31"/>
      <c r="L113" s="31"/>
      <c r="M113" s="31"/>
      <c r="Z113"/>
      <c r="AA113"/>
      <c r="AB113"/>
      <c r="AC113"/>
      <c r="AD113"/>
      <c r="AE113"/>
      <c r="AF113"/>
      <c r="AG113"/>
      <c r="AH113"/>
      <c r="AI113"/>
      <c r="AJ113"/>
      <c r="AK113"/>
      <c r="AL113"/>
      <c r="AM113"/>
      <c r="AN113"/>
      <c r="AO113"/>
      <c r="AP113"/>
      <c r="AQ113"/>
      <c r="AR113"/>
      <c r="AS113"/>
      <c r="AT113"/>
      <c r="AU113"/>
      <c r="AV113"/>
      <c r="AW113"/>
      <c r="AX113"/>
      <c r="AY113"/>
    </row>
    <row r="114" spans="2:51" ht="15" customHeight="1">
      <c r="B114" s="31"/>
      <c r="C114" s="31"/>
      <c r="D114" s="31"/>
      <c r="E114" s="31"/>
      <c r="F114" s="31"/>
      <c r="G114" s="31"/>
      <c r="H114" s="31"/>
      <c r="I114" s="31"/>
      <c r="J114" s="31"/>
      <c r="K114" s="31"/>
      <c r="L114" s="31"/>
      <c r="M114" s="31"/>
      <c r="Z114"/>
      <c r="AA114"/>
      <c r="AB114"/>
      <c r="AC114"/>
      <c r="AD114"/>
      <c r="AE114"/>
      <c r="AF114"/>
      <c r="AG114"/>
      <c r="AH114"/>
      <c r="AI114"/>
      <c r="AJ114"/>
      <c r="AK114"/>
      <c r="AL114"/>
      <c r="AM114"/>
      <c r="AN114"/>
      <c r="AO114"/>
      <c r="AP114"/>
      <c r="AQ114"/>
      <c r="AR114"/>
      <c r="AS114"/>
      <c r="AT114"/>
      <c r="AU114"/>
      <c r="AV114"/>
      <c r="AW114"/>
      <c r="AX114"/>
      <c r="AY114"/>
    </row>
    <row r="115" spans="2:51" ht="15" customHeight="1">
      <c r="B115" s="31"/>
      <c r="C115" s="31"/>
      <c r="D115" s="31"/>
      <c r="E115" s="31"/>
      <c r="F115" s="31"/>
      <c r="G115" s="31"/>
      <c r="H115" s="31"/>
      <c r="I115" s="31"/>
      <c r="J115" s="31"/>
      <c r="K115" s="31"/>
      <c r="L115" s="31"/>
      <c r="M115" s="31"/>
      <c r="Z115"/>
      <c r="AA115"/>
      <c r="AB115"/>
      <c r="AC115"/>
      <c r="AD115"/>
      <c r="AE115"/>
      <c r="AF115"/>
      <c r="AG115"/>
      <c r="AH115"/>
      <c r="AI115"/>
      <c r="AJ115"/>
      <c r="AK115"/>
      <c r="AL115"/>
      <c r="AM115"/>
      <c r="AN115"/>
      <c r="AO115"/>
      <c r="AP115"/>
      <c r="AQ115"/>
      <c r="AR115"/>
      <c r="AS115"/>
      <c r="AT115"/>
      <c r="AU115"/>
      <c r="AV115"/>
      <c r="AW115"/>
      <c r="AX115"/>
      <c r="AY115"/>
    </row>
    <row r="116" spans="2:51" ht="15" customHeight="1">
      <c r="B116" s="31"/>
      <c r="C116" s="31"/>
      <c r="D116" s="31"/>
      <c r="E116" s="31"/>
      <c r="F116" s="31"/>
      <c r="G116" s="31"/>
      <c r="H116" s="31"/>
      <c r="I116" s="31"/>
      <c r="J116" s="31"/>
      <c r="K116" s="31"/>
      <c r="L116" s="31"/>
      <c r="M116" s="31"/>
      <c r="Z116"/>
      <c r="AA116"/>
      <c r="AB116"/>
      <c r="AC116"/>
      <c r="AD116"/>
      <c r="AE116"/>
      <c r="AF116"/>
      <c r="AG116"/>
      <c r="AH116"/>
      <c r="AI116"/>
      <c r="AJ116"/>
      <c r="AK116"/>
      <c r="AL116"/>
      <c r="AM116"/>
      <c r="AN116"/>
      <c r="AO116"/>
      <c r="AP116"/>
      <c r="AQ116"/>
      <c r="AR116"/>
      <c r="AS116"/>
      <c r="AT116"/>
      <c r="AU116"/>
      <c r="AV116"/>
      <c r="AW116"/>
      <c r="AX116"/>
      <c r="AY116"/>
    </row>
    <row r="117" spans="2:51" ht="15" customHeight="1">
      <c r="B117" s="31"/>
      <c r="C117" s="31"/>
      <c r="D117" s="31"/>
      <c r="E117" s="31"/>
      <c r="F117" s="31"/>
      <c r="G117" s="31"/>
      <c r="H117" s="31"/>
      <c r="I117" s="31"/>
      <c r="J117" s="31"/>
      <c r="K117" s="31"/>
      <c r="L117" s="31"/>
      <c r="M117" s="31"/>
      <c r="Z117"/>
      <c r="AA117"/>
      <c r="AB117"/>
      <c r="AC117"/>
      <c r="AD117"/>
      <c r="AE117"/>
      <c r="AF117"/>
      <c r="AG117"/>
      <c r="AH117"/>
      <c r="AI117"/>
      <c r="AJ117"/>
      <c r="AK117"/>
      <c r="AL117"/>
      <c r="AM117"/>
      <c r="AN117"/>
      <c r="AO117"/>
      <c r="AP117"/>
      <c r="AQ117"/>
      <c r="AR117"/>
      <c r="AS117"/>
      <c r="AT117"/>
      <c r="AU117"/>
      <c r="AV117"/>
      <c r="AW117"/>
      <c r="AX117"/>
      <c r="AY117"/>
    </row>
    <row r="118" spans="2:51" ht="15" customHeight="1">
      <c r="B118" s="31"/>
      <c r="C118" s="31"/>
      <c r="D118" s="31"/>
      <c r="E118" s="31"/>
      <c r="F118" s="31"/>
      <c r="G118" s="31"/>
      <c r="H118" s="31"/>
      <c r="I118" s="31"/>
      <c r="J118" s="31"/>
      <c r="K118" s="31"/>
      <c r="L118" s="31"/>
      <c r="M118" s="31"/>
      <c r="Z118"/>
      <c r="AA118"/>
      <c r="AB118"/>
      <c r="AC118"/>
      <c r="AD118"/>
      <c r="AE118"/>
      <c r="AF118"/>
      <c r="AG118"/>
      <c r="AH118"/>
      <c r="AI118"/>
      <c r="AJ118"/>
      <c r="AK118"/>
      <c r="AL118"/>
      <c r="AM118"/>
      <c r="AN118"/>
      <c r="AO118"/>
      <c r="AP118"/>
      <c r="AQ118"/>
      <c r="AR118"/>
      <c r="AS118"/>
      <c r="AT118"/>
      <c r="AU118"/>
      <c r="AV118"/>
      <c r="AW118"/>
      <c r="AX118"/>
      <c r="AY118"/>
    </row>
    <row r="119" spans="2:51" ht="15" customHeight="1">
      <c r="B119" s="31"/>
      <c r="C119" s="31"/>
      <c r="D119" s="31"/>
      <c r="E119" s="31"/>
      <c r="F119" s="31"/>
      <c r="G119" s="31"/>
      <c r="H119" s="31"/>
      <c r="I119" s="31"/>
      <c r="J119" s="31"/>
      <c r="K119" s="31"/>
      <c r="L119" s="31"/>
      <c r="M119" s="31"/>
      <c r="Z119"/>
      <c r="AA119"/>
      <c r="AB119"/>
      <c r="AC119"/>
      <c r="AD119"/>
      <c r="AE119"/>
      <c r="AF119"/>
      <c r="AG119"/>
      <c r="AH119"/>
      <c r="AI119"/>
      <c r="AJ119"/>
      <c r="AK119"/>
      <c r="AL119"/>
      <c r="AM119"/>
      <c r="AN119"/>
      <c r="AO119"/>
      <c r="AP119"/>
      <c r="AQ119"/>
      <c r="AR119"/>
      <c r="AS119"/>
      <c r="AT119"/>
      <c r="AU119"/>
      <c r="AV119"/>
      <c r="AW119"/>
      <c r="AX119"/>
      <c r="AY119"/>
    </row>
    <row r="120" spans="2:51" ht="15" customHeight="1">
      <c r="B120" s="31"/>
      <c r="C120" s="31"/>
      <c r="D120" s="31"/>
      <c r="E120" s="31"/>
      <c r="F120" s="31"/>
      <c r="G120" s="31"/>
      <c r="H120" s="31"/>
      <c r="I120" s="31"/>
      <c r="J120" s="31"/>
      <c r="K120" s="31"/>
      <c r="L120" s="31"/>
      <c r="M120" s="31"/>
      <c r="Z120"/>
      <c r="AA120"/>
      <c r="AB120"/>
      <c r="AC120"/>
      <c r="AD120"/>
      <c r="AE120"/>
      <c r="AF120"/>
      <c r="AG120"/>
      <c r="AH120"/>
      <c r="AI120"/>
      <c r="AJ120"/>
      <c r="AK120"/>
      <c r="AL120"/>
      <c r="AM120"/>
      <c r="AN120"/>
      <c r="AO120"/>
      <c r="AP120"/>
      <c r="AQ120"/>
      <c r="AR120"/>
      <c r="AS120"/>
      <c r="AT120"/>
      <c r="AU120"/>
      <c r="AV120"/>
      <c r="AW120"/>
      <c r="AX120"/>
      <c r="AY120"/>
    </row>
    <row r="121" spans="2:51" ht="15" customHeight="1">
      <c r="B121" s="31"/>
      <c r="C121" s="31"/>
      <c r="D121" s="31"/>
      <c r="E121" s="31"/>
      <c r="F121" s="31"/>
      <c r="G121" s="31"/>
      <c r="H121" s="31"/>
      <c r="I121" s="31"/>
      <c r="J121" s="31"/>
      <c r="K121" s="31"/>
      <c r="L121" s="31"/>
      <c r="M121" s="31"/>
      <c r="Z121"/>
      <c r="AA121"/>
      <c r="AB121"/>
      <c r="AC121"/>
      <c r="AD121"/>
      <c r="AE121"/>
      <c r="AF121"/>
      <c r="AG121"/>
      <c r="AH121"/>
      <c r="AI121"/>
      <c r="AJ121"/>
      <c r="AK121"/>
      <c r="AL121"/>
      <c r="AM121"/>
      <c r="AN121"/>
      <c r="AO121"/>
      <c r="AP121"/>
      <c r="AQ121"/>
      <c r="AR121"/>
      <c r="AS121"/>
      <c r="AT121"/>
      <c r="AU121"/>
      <c r="AV121"/>
      <c r="AW121"/>
      <c r="AX121"/>
      <c r="AY121"/>
    </row>
    <row r="122" spans="2:51" ht="15" customHeight="1">
      <c r="B122" s="31"/>
      <c r="C122" s="31"/>
      <c r="D122" s="31"/>
      <c r="E122" s="31"/>
      <c r="F122" s="31"/>
      <c r="G122" s="31"/>
      <c r="H122" s="31"/>
      <c r="I122" s="31"/>
      <c r="J122" s="31"/>
      <c r="K122" s="31"/>
      <c r="L122" s="31"/>
      <c r="M122" s="31"/>
      <c r="Z122"/>
      <c r="AA122"/>
      <c r="AB122"/>
      <c r="AC122"/>
      <c r="AD122"/>
      <c r="AE122"/>
      <c r="AF122"/>
      <c r="AG122"/>
      <c r="AH122"/>
      <c r="AI122"/>
      <c r="AJ122"/>
      <c r="AK122"/>
      <c r="AL122"/>
      <c r="AM122"/>
      <c r="AN122"/>
      <c r="AO122"/>
      <c r="AP122"/>
      <c r="AQ122"/>
      <c r="AR122"/>
      <c r="AS122"/>
      <c r="AT122"/>
      <c r="AU122"/>
      <c r="AV122"/>
      <c r="AW122"/>
      <c r="AX122"/>
      <c r="AY122"/>
    </row>
    <row r="123" spans="2:51" ht="15" customHeight="1">
      <c r="B123" s="31"/>
      <c r="C123" s="31"/>
      <c r="D123" s="31"/>
      <c r="E123" s="31"/>
      <c r="F123" s="31"/>
      <c r="G123" s="31"/>
      <c r="H123" s="31"/>
      <c r="I123" s="31"/>
      <c r="J123" s="31"/>
      <c r="K123" s="31"/>
      <c r="L123" s="31"/>
      <c r="M123" s="31"/>
      <c r="Z123"/>
      <c r="AA123"/>
      <c r="AB123"/>
      <c r="AC123"/>
      <c r="AD123"/>
      <c r="AE123"/>
      <c r="AF123"/>
      <c r="AG123"/>
      <c r="AH123"/>
      <c r="AI123"/>
      <c r="AJ123"/>
      <c r="AK123"/>
      <c r="AL123"/>
      <c r="AM123"/>
      <c r="AN123"/>
      <c r="AO123"/>
      <c r="AP123"/>
      <c r="AQ123"/>
      <c r="AR123"/>
      <c r="AS123"/>
      <c r="AT123"/>
      <c r="AU123"/>
      <c r="AV123"/>
      <c r="AW123"/>
      <c r="AX123"/>
      <c r="AY123"/>
    </row>
    <row r="124" spans="2:51" ht="15" customHeight="1">
      <c r="B124" s="31"/>
      <c r="C124" s="31"/>
      <c r="D124" s="31"/>
      <c r="E124" s="31"/>
      <c r="F124" s="31"/>
      <c r="G124" s="31"/>
      <c r="H124" s="31"/>
      <c r="I124" s="31"/>
      <c r="J124" s="31"/>
      <c r="K124" s="31"/>
      <c r="L124" s="31"/>
      <c r="M124" s="31"/>
      <c r="Z124"/>
      <c r="AA124"/>
      <c r="AB124"/>
      <c r="AC124"/>
      <c r="AD124"/>
      <c r="AE124"/>
      <c r="AF124"/>
      <c r="AG124"/>
      <c r="AH124"/>
      <c r="AI124"/>
      <c r="AJ124"/>
      <c r="AK124"/>
      <c r="AL124"/>
      <c r="AM124"/>
      <c r="AN124"/>
      <c r="AO124"/>
      <c r="AP124"/>
      <c r="AQ124"/>
      <c r="AR124"/>
      <c r="AS124"/>
      <c r="AT124"/>
      <c r="AU124"/>
      <c r="AV124"/>
      <c r="AW124"/>
      <c r="AX124"/>
      <c r="AY124"/>
    </row>
    <row r="125" spans="2:51" ht="15" customHeight="1">
      <c r="B125" s="31"/>
      <c r="C125" s="31"/>
      <c r="D125" s="31"/>
      <c r="E125" s="31"/>
      <c r="F125" s="31"/>
      <c r="G125" s="31"/>
      <c r="H125" s="31"/>
      <c r="I125" s="31"/>
      <c r="J125" s="31"/>
      <c r="K125" s="31"/>
      <c r="L125" s="31"/>
      <c r="M125" s="31"/>
      <c r="Z125"/>
      <c r="AA125"/>
      <c r="AB125"/>
      <c r="AC125"/>
      <c r="AD125"/>
      <c r="AE125"/>
      <c r="AF125"/>
      <c r="AG125"/>
      <c r="AH125"/>
      <c r="AI125"/>
      <c r="AJ125"/>
      <c r="AK125"/>
      <c r="AL125"/>
      <c r="AM125"/>
      <c r="AN125"/>
      <c r="AO125"/>
      <c r="AP125"/>
      <c r="AQ125"/>
      <c r="AR125"/>
      <c r="AS125"/>
      <c r="AT125"/>
      <c r="AU125"/>
      <c r="AV125"/>
      <c r="AW125"/>
      <c r="AX125"/>
      <c r="AY125"/>
    </row>
    <row r="126" spans="2:51" ht="15" customHeight="1">
      <c r="B126" s="31"/>
      <c r="C126" s="31"/>
      <c r="D126" s="31"/>
      <c r="E126" s="31"/>
      <c r="F126" s="31"/>
      <c r="G126" s="31"/>
      <c r="H126" s="31"/>
      <c r="I126" s="31"/>
      <c r="J126" s="31"/>
      <c r="K126" s="31"/>
      <c r="L126" s="31"/>
      <c r="M126" s="31"/>
      <c r="Z126"/>
      <c r="AA126"/>
      <c r="AB126"/>
      <c r="AC126"/>
      <c r="AD126"/>
      <c r="AE126"/>
      <c r="AF126"/>
      <c r="AG126"/>
      <c r="AH126"/>
      <c r="AI126"/>
      <c r="AJ126"/>
      <c r="AK126"/>
      <c r="AL126"/>
      <c r="AM126"/>
      <c r="AN126"/>
      <c r="AO126"/>
      <c r="AP126"/>
      <c r="AQ126"/>
      <c r="AR126"/>
      <c r="AS126"/>
      <c r="AT126"/>
      <c r="AU126"/>
      <c r="AV126"/>
      <c r="AW126"/>
      <c r="AX126"/>
      <c r="AY126"/>
    </row>
    <row r="127" spans="2:51" ht="15" customHeight="1">
      <c r="B127" s="31"/>
      <c r="C127" s="31"/>
      <c r="D127" s="31"/>
      <c r="E127" s="31"/>
      <c r="F127" s="31"/>
      <c r="G127" s="31"/>
      <c r="H127" s="31"/>
      <c r="I127" s="31"/>
      <c r="J127" s="31"/>
      <c r="K127" s="31"/>
      <c r="L127" s="31"/>
      <c r="M127" s="31"/>
      <c r="Z127"/>
      <c r="AA127"/>
      <c r="AB127"/>
      <c r="AC127"/>
      <c r="AD127"/>
      <c r="AE127"/>
      <c r="AF127"/>
      <c r="AG127"/>
      <c r="AH127"/>
      <c r="AI127"/>
      <c r="AJ127"/>
      <c r="AK127"/>
      <c r="AL127"/>
      <c r="AM127"/>
      <c r="AN127"/>
      <c r="AO127"/>
      <c r="AP127"/>
      <c r="AQ127"/>
      <c r="AR127"/>
      <c r="AS127"/>
      <c r="AT127"/>
      <c r="AU127"/>
      <c r="AV127"/>
      <c r="AW127"/>
      <c r="AX127"/>
      <c r="AY127"/>
    </row>
    <row r="128" spans="2:51" ht="15" customHeight="1">
      <c r="B128" s="31"/>
      <c r="C128" s="31"/>
      <c r="D128" s="31"/>
      <c r="E128" s="31"/>
      <c r="F128" s="31"/>
      <c r="G128" s="31"/>
      <c r="H128" s="31"/>
      <c r="I128" s="31"/>
      <c r="J128" s="31"/>
      <c r="K128" s="31"/>
      <c r="L128" s="31"/>
      <c r="M128" s="31"/>
      <c r="Z128"/>
      <c r="AA128"/>
      <c r="AB128"/>
      <c r="AC128"/>
      <c r="AD128"/>
      <c r="AE128"/>
      <c r="AF128"/>
      <c r="AG128"/>
      <c r="AH128"/>
      <c r="AI128"/>
      <c r="AJ128"/>
      <c r="AK128"/>
      <c r="AL128"/>
      <c r="AM128"/>
      <c r="AN128"/>
      <c r="AO128"/>
      <c r="AP128"/>
      <c r="AQ128"/>
      <c r="AR128"/>
      <c r="AS128"/>
      <c r="AT128"/>
      <c r="AU128"/>
      <c r="AV128"/>
      <c r="AW128"/>
      <c r="AX128"/>
      <c r="AY128"/>
    </row>
    <row r="129" spans="2:51" ht="15" customHeight="1">
      <c r="B129" s="31"/>
      <c r="C129" s="31"/>
      <c r="D129" s="31"/>
      <c r="E129" s="31"/>
      <c r="F129" s="31"/>
      <c r="G129" s="31"/>
      <c r="H129" s="31"/>
      <c r="I129" s="31"/>
      <c r="J129" s="31"/>
      <c r="K129" s="31"/>
      <c r="L129" s="31"/>
      <c r="M129" s="31"/>
      <c r="Z129"/>
      <c r="AA129"/>
      <c r="AB129"/>
      <c r="AC129"/>
      <c r="AD129"/>
      <c r="AE129"/>
      <c r="AF129"/>
      <c r="AG129"/>
      <c r="AH129"/>
      <c r="AI129"/>
      <c r="AJ129"/>
      <c r="AK129"/>
      <c r="AL129"/>
      <c r="AM129"/>
      <c r="AN129"/>
      <c r="AO129"/>
      <c r="AP129"/>
      <c r="AQ129"/>
      <c r="AR129"/>
      <c r="AS129"/>
      <c r="AT129"/>
      <c r="AU129"/>
      <c r="AV129"/>
      <c r="AW129"/>
      <c r="AX129"/>
      <c r="AY129"/>
    </row>
    <row r="130" spans="2:51" ht="15" customHeight="1">
      <c r="B130" s="31"/>
      <c r="C130" s="31"/>
      <c r="D130" s="31"/>
      <c r="E130" s="31"/>
      <c r="F130" s="31"/>
      <c r="G130" s="31"/>
      <c r="H130" s="31"/>
      <c r="I130" s="31"/>
      <c r="J130" s="31"/>
      <c r="K130" s="31"/>
      <c r="L130" s="31"/>
      <c r="M130" s="31"/>
      <c r="Z130"/>
      <c r="AA130"/>
      <c r="AB130"/>
      <c r="AC130"/>
      <c r="AD130"/>
      <c r="AE130"/>
      <c r="AF130"/>
      <c r="AG130"/>
      <c r="AH130"/>
      <c r="AI130"/>
      <c r="AJ130"/>
      <c r="AK130"/>
      <c r="AL130"/>
      <c r="AM130"/>
      <c r="AN130"/>
      <c r="AO130"/>
      <c r="AP130"/>
      <c r="AQ130"/>
      <c r="AR130"/>
      <c r="AS130"/>
      <c r="AT130"/>
      <c r="AU130"/>
      <c r="AV130"/>
      <c r="AW130"/>
      <c r="AX130"/>
      <c r="AY130"/>
    </row>
    <row r="131" spans="2:51" ht="15" customHeight="1">
      <c r="B131" s="31"/>
      <c r="C131" s="31"/>
      <c r="D131" s="31"/>
      <c r="E131" s="31"/>
      <c r="F131" s="31"/>
      <c r="G131" s="31"/>
      <c r="H131" s="31"/>
      <c r="I131" s="31"/>
      <c r="J131" s="31"/>
      <c r="K131" s="31"/>
      <c r="L131" s="31"/>
      <c r="M131" s="31"/>
      <c r="Z131"/>
      <c r="AA131"/>
      <c r="AB131"/>
      <c r="AC131"/>
      <c r="AD131"/>
      <c r="AE131"/>
      <c r="AF131"/>
      <c r="AG131"/>
      <c r="AH131"/>
      <c r="AI131"/>
      <c r="AJ131"/>
      <c r="AK131"/>
      <c r="AL131"/>
      <c r="AM131"/>
      <c r="AN131"/>
      <c r="AO131"/>
      <c r="AP131"/>
      <c r="AQ131"/>
      <c r="AR131"/>
      <c r="AS131"/>
      <c r="AT131"/>
      <c r="AU131"/>
      <c r="AV131"/>
      <c r="AW131"/>
      <c r="AX131"/>
      <c r="AY131"/>
    </row>
    <row r="132" spans="2:51" ht="15" customHeight="1">
      <c r="B132" s="31"/>
      <c r="C132" s="31"/>
      <c r="D132" s="31"/>
      <c r="E132" s="31"/>
      <c r="F132" s="31"/>
      <c r="G132" s="31"/>
      <c r="H132" s="31"/>
      <c r="I132" s="31"/>
      <c r="J132" s="31"/>
      <c r="K132" s="31"/>
      <c r="L132" s="31"/>
      <c r="M132" s="31"/>
      <c r="Z132"/>
      <c r="AA132"/>
      <c r="AB132"/>
      <c r="AC132"/>
      <c r="AD132"/>
      <c r="AE132"/>
      <c r="AF132"/>
      <c r="AG132"/>
      <c r="AH132"/>
      <c r="AI132"/>
      <c r="AJ132"/>
      <c r="AK132"/>
      <c r="AL132"/>
      <c r="AM132"/>
      <c r="AN132"/>
      <c r="AO132"/>
      <c r="AP132"/>
      <c r="AQ132"/>
      <c r="AR132"/>
      <c r="AS132"/>
      <c r="AT132"/>
      <c r="AU132"/>
      <c r="AV132"/>
      <c r="AW132"/>
      <c r="AX132"/>
      <c r="AY132"/>
    </row>
    <row r="133" spans="2:51" ht="15" customHeight="1">
      <c r="B133" s="31"/>
      <c r="C133" s="31"/>
      <c r="D133" s="31"/>
      <c r="E133" s="31"/>
      <c r="F133" s="31"/>
      <c r="G133" s="31"/>
      <c r="H133" s="31"/>
      <c r="I133" s="31"/>
      <c r="J133" s="31"/>
      <c r="K133" s="31"/>
      <c r="L133" s="31"/>
      <c r="M133" s="31"/>
      <c r="Z133"/>
      <c r="AA133"/>
      <c r="AB133"/>
      <c r="AC133"/>
      <c r="AD133"/>
      <c r="AE133"/>
      <c r="AF133"/>
      <c r="AG133"/>
      <c r="AH133"/>
      <c r="AI133"/>
      <c r="AJ133"/>
      <c r="AK133"/>
      <c r="AL133"/>
      <c r="AM133"/>
      <c r="AN133"/>
      <c r="AO133"/>
      <c r="AP133"/>
      <c r="AQ133"/>
      <c r="AR133"/>
      <c r="AS133"/>
      <c r="AT133"/>
      <c r="AU133"/>
      <c r="AV133"/>
      <c r="AW133"/>
      <c r="AX133"/>
      <c r="AY133"/>
    </row>
    <row r="134" spans="2:51" ht="15" customHeight="1">
      <c r="B134" s="31"/>
      <c r="C134" s="31"/>
      <c r="D134" s="31"/>
      <c r="E134" s="31"/>
      <c r="F134" s="31"/>
      <c r="G134" s="31"/>
      <c r="H134" s="31"/>
      <c r="I134" s="31"/>
      <c r="J134" s="31"/>
      <c r="K134" s="31"/>
      <c r="L134" s="31"/>
      <c r="M134" s="31"/>
      <c r="Z134"/>
      <c r="AA134"/>
      <c r="AB134"/>
      <c r="AC134"/>
      <c r="AD134"/>
      <c r="AE134"/>
      <c r="AF134"/>
      <c r="AG134"/>
      <c r="AH134"/>
      <c r="AI134"/>
      <c r="AJ134"/>
      <c r="AK134"/>
      <c r="AL134"/>
      <c r="AM134"/>
      <c r="AN134"/>
      <c r="AO134"/>
      <c r="AP134"/>
      <c r="AQ134"/>
      <c r="AR134"/>
      <c r="AS134"/>
      <c r="AT134"/>
      <c r="AU134"/>
      <c r="AV134"/>
      <c r="AW134"/>
      <c r="AX134"/>
      <c r="AY134"/>
    </row>
    <row r="135" spans="2:51" ht="15" customHeight="1">
      <c r="B135" s="31"/>
      <c r="C135" s="31"/>
      <c r="D135" s="31"/>
      <c r="E135" s="31"/>
      <c r="F135" s="31"/>
      <c r="G135" s="31"/>
      <c r="H135" s="31"/>
      <c r="I135" s="31"/>
      <c r="J135" s="31"/>
      <c r="K135" s="31"/>
      <c r="L135" s="31"/>
      <c r="M135" s="31"/>
      <c r="Z135"/>
      <c r="AA135"/>
      <c r="AB135"/>
      <c r="AC135"/>
      <c r="AD135"/>
      <c r="AE135"/>
      <c r="AF135"/>
      <c r="AG135"/>
      <c r="AH135"/>
      <c r="AI135"/>
      <c r="AJ135"/>
      <c r="AK135"/>
      <c r="AL135"/>
      <c r="AM135"/>
      <c r="AN135"/>
      <c r="AO135"/>
      <c r="AP135"/>
      <c r="AQ135"/>
      <c r="AR135"/>
      <c r="AS135"/>
      <c r="AT135"/>
      <c r="AU135"/>
      <c r="AV135"/>
      <c r="AW135"/>
      <c r="AX135"/>
      <c r="AY135"/>
    </row>
    <row r="136" spans="2:51" ht="15" customHeight="1">
      <c r="B136" s="31"/>
      <c r="C136" s="31"/>
      <c r="D136" s="31"/>
      <c r="E136" s="31"/>
      <c r="F136" s="31"/>
      <c r="G136" s="31"/>
      <c r="H136" s="31"/>
      <c r="I136" s="31"/>
      <c r="J136" s="31"/>
      <c r="K136" s="31"/>
      <c r="L136" s="31"/>
      <c r="M136" s="31"/>
      <c r="Z136"/>
      <c r="AA136"/>
      <c r="AB136"/>
      <c r="AC136"/>
      <c r="AD136"/>
      <c r="AE136"/>
      <c r="AF136"/>
      <c r="AG136"/>
      <c r="AH136"/>
      <c r="AI136"/>
      <c r="AJ136"/>
      <c r="AK136"/>
      <c r="AL136"/>
      <c r="AM136"/>
      <c r="AN136"/>
      <c r="AO136"/>
      <c r="AP136"/>
      <c r="AQ136"/>
      <c r="AR136"/>
      <c r="AS136"/>
      <c r="AT136"/>
      <c r="AU136"/>
      <c r="AV136"/>
      <c r="AW136"/>
      <c r="AX136"/>
      <c r="AY136"/>
    </row>
    <row r="137" spans="2:51" ht="15" customHeight="1">
      <c r="B137" s="31"/>
      <c r="C137" s="31"/>
      <c r="D137" s="31"/>
      <c r="E137" s="31"/>
      <c r="F137" s="31"/>
      <c r="G137" s="31"/>
      <c r="H137" s="31"/>
      <c r="I137" s="31"/>
      <c r="J137" s="31"/>
      <c r="K137" s="31"/>
      <c r="L137" s="31"/>
      <c r="M137" s="31"/>
      <c r="Z137"/>
      <c r="AA137"/>
      <c r="AB137"/>
      <c r="AC137"/>
      <c r="AD137"/>
      <c r="AE137"/>
      <c r="AF137"/>
      <c r="AG137"/>
      <c r="AH137"/>
      <c r="AI137"/>
      <c r="AJ137"/>
      <c r="AK137"/>
      <c r="AL137"/>
      <c r="AM137"/>
      <c r="AN137"/>
      <c r="AO137"/>
      <c r="AP137"/>
      <c r="AQ137"/>
      <c r="AR137"/>
      <c r="AS137"/>
      <c r="AT137"/>
      <c r="AU137"/>
      <c r="AV137"/>
      <c r="AW137"/>
      <c r="AX137"/>
      <c r="AY137"/>
    </row>
    <row r="138" spans="2:51" ht="15" customHeight="1">
      <c r="B138" s="31"/>
      <c r="C138" s="31"/>
      <c r="D138" s="31"/>
      <c r="E138" s="31"/>
      <c r="F138" s="31"/>
      <c r="G138" s="31"/>
      <c r="H138" s="31"/>
      <c r="I138" s="31"/>
      <c r="J138" s="31"/>
      <c r="K138" s="31"/>
      <c r="L138" s="31"/>
      <c r="M138" s="31"/>
      <c r="Z138"/>
      <c r="AA138"/>
      <c r="AB138"/>
      <c r="AC138"/>
      <c r="AD138"/>
      <c r="AE138"/>
      <c r="AF138"/>
      <c r="AG138"/>
      <c r="AH138"/>
      <c r="AI138"/>
      <c r="AJ138"/>
      <c r="AK138"/>
      <c r="AL138"/>
      <c r="AM138"/>
      <c r="AN138"/>
      <c r="AO138"/>
      <c r="AP138"/>
      <c r="AQ138"/>
      <c r="AR138"/>
      <c r="AS138"/>
      <c r="AT138"/>
      <c r="AU138"/>
      <c r="AV138"/>
      <c r="AW138"/>
      <c r="AX138"/>
      <c r="AY138"/>
    </row>
    <row r="139" spans="2:51" ht="15" customHeight="1">
      <c r="B139" s="31"/>
      <c r="C139" s="31"/>
      <c r="D139" s="31"/>
      <c r="E139" s="31"/>
      <c r="F139" s="31"/>
      <c r="G139" s="31"/>
      <c r="H139" s="31"/>
      <c r="I139" s="31"/>
      <c r="J139" s="31"/>
      <c r="K139" s="31"/>
      <c r="L139" s="31"/>
      <c r="M139" s="31"/>
      <c r="Z139"/>
      <c r="AA139"/>
      <c r="AB139"/>
      <c r="AC139"/>
      <c r="AD139"/>
      <c r="AE139"/>
      <c r="AF139"/>
      <c r="AG139"/>
      <c r="AH139"/>
      <c r="AI139"/>
      <c r="AJ139"/>
      <c r="AK139"/>
      <c r="AL139"/>
      <c r="AM139"/>
      <c r="AN139"/>
      <c r="AO139"/>
      <c r="AP139"/>
      <c r="AQ139"/>
      <c r="AR139"/>
      <c r="AS139"/>
      <c r="AT139"/>
      <c r="AU139"/>
      <c r="AV139"/>
      <c r="AW139"/>
      <c r="AX139"/>
      <c r="AY139"/>
    </row>
    <row r="140" spans="2:51" ht="15" customHeight="1">
      <c r="B140" s="31"/>
      <c r="C140" s="31"/>
      <c r="D140" s="31"/>
      <c r="E140" s="31"/>
      <c r="F140" s="31"/>
      <c r="G140" s="31"/>
      <c r="H140" s="31"/>
      <c r="I140" s="31"/>
      <c r="J140" s="31"/>
      <c r="K140" s="31"/>
      <c r="L140" s="31"/>
      <c r="M140" s="31"/>
      <c r="Z140"/>
      <c r="AA140"/>
      <c r="AB140"/>
      <c r="AC140"/>
      <c r="AD140"/>
      <c r="AE140"/>
      <c r="AF140"/>
      <c r="AG140"/>
      <c r="AH140"/>
      <c r="AI140"/>
      <c r="AJ140"/>
      <c r="AK140"/>
      <c r="AL140"/>
      <c r="AM140"/>
      <c r="AN140"/>
      <c r="AO140"/>
      <c r="AP140"/>
      <c r="AQ140"/>
      <c r="AR140"/>
      <c r="AS140"/>
      <c r="AT140"/>
      <c r="AU140"/>
      <c r="AV140"/>
      <c r="AW140"/>
      <c r="AX140"/>
      <c r="AY140"/>
    </row>
    <row r="141" spans="2:51" ht="15" customHeight="1">
      <c r="B141" s="31"/>
      <c r="C141" s="31"/>
      <c r="D141" s="31"/>
      <c r="E141" s="31"/>
      <c r="F141" s="31"/>
      <c r="G141" s="31"/>
      <c r="H141" s="31"/>
      <c r="I141" s="31"/>
      <c r="J141" s="31"/>
      <c r="K141" s="31"/>
      <c r="L141" s="31"/>
      <c r="M141" s="31"/>
      <c r="Z141"/>
      <c r="AA141"/>
      <c r="AB141"/>
      <c r="AC141"/>
      <c r="AD141"/>
      <c r="AE141"/>
      <c r="AF141"/>
      <c r="AG141"/>
      <c r="AH141"/>
      <c r="AI141"/>
      <c r="AJ141"/>
      <c r="AK141"/>
      <c r="AL141"/>
      <c r="AM141"/>
      <c r="AN141"/>
      <c r="AO141"/>
      <c r="AP141"/>
      <c r="AQ141"/>
      <c r="AR141"/>
      <c r="AS141"/>
      <c r="AT141"/>
      <c r="AU141"/>
      <c r="AV141"/>
      <c r="AW141"/>
      <c r="AX141"/>
      <c r="AY141"/>
    </row>
    <row r="142" spans="2:51" ht="15" customHeight="1">
      <c r="B142" s="31"/>
      <c r="C142" s="31"/>
      <c r="D142" s="31"/>
      <c r="E142" s="31"/>
      <c r="F142" s="31"/>
      <c r="G142" s="31"/>
      <c r="H142" s="31"/>
      <c r="I142" s="31"/>
      <c r="J142" s="31"/>
      <c r="K142" s="31"/>
      <c r="L142" s="31"/>
      <c r="M142" s="31"/>
      <c r="Z142"/>
      <c r="AA142"/>
      <c r="AB142"/>
      <c r="AC142"/>
      <c r="AD142"/>
      <c r="AE142"/>
      <c r="AF142"/>
      <c r="AG142"/>
      <c r="AH142"/>
      <c r="AI142"/>
      <c r="AJ142"/>
      <c r="AK142"/>
      <c r="AL142"/>
      <c r="AM142"/>
      <c r="AN142"/>
      <c r="AO142"/>
      <c r="AP142"/>
      <c r="AQ142"/>
      <c r="AR142"/>
      <c r="AS142"/>
      <c r="AT142"/>
      <c r="AU142"/>
      <c r="AV142"/>
      <c r="AW142"/>
      <c r="AX142"/>
      <c r="AY142"/>
    </row>
    <row r="143" spans="2:51" ht="15" customHeight="1">
      <c r="B143" s="31"/>
      <c r="C143" s="31"/>
      <c r="D143" s="31"/>
      <c r="E143" s="31"/>
      <c r="F143" s="31"/>
      <c r="G143" s="31"/>
      <c r="H143" s="31"/>
      <c r="I143" s="31"/>
      <c r="J143" s="31"/>
      <c r="K143" s="31"/>
      <c r="L143" s="31"/>
      <c r="M143" s="31"/>
      <c r="Z143"/>
      <c r="AA143"/>
      <c r="AB143"/>
      <c r="AC143"/>
      <c r="AD143"/>
      <c r="AE143"/>
      <c r="AF143"/>
      <c r="AG143"/>
      <c r="AH143"/>
      <c r="AI143"/>
      <c r="AJ143"/>
      <c r="AK143"/>
      <c r="AL143"/>
      <c r="AM143"/>
      <c r="AN143"/>
      <c r="AO143"/>
      <c r="AP143"/>
      <c r="AQ143"/>
      <c r="AR143"/>
      <c r="AS143"/>
      <c r="AT143"/>
      <c r="AU143"/>
      <c r="AV143"/>
      <c r="AW143"/>
      <c r="AX143"/>
      <c r="AY143"/>
    </row>
    <row r="144" spans="2:51" ht="15" customHeight="1">
      <c r="B144" s="31"/>
      <c r="C144" s="31"/>
      <c r="D144" s="31"/>
      <c r="E144" s="31"/>
      <c r="F144" s="31"/>
      <c r="G144" s="31"/>
      <c r="H144" s="31"/>
      <c r="I144" s="31"/>
      <c r="J144" s="31"/>
      <c r="K144" s="31"/>
      <c r="L144" s="31"/>
      <c r="M144" s="31"/>
      <c r="Z144"/>
      <c r="AA144"/>
      <c r="AB144"/>
      <c r="AC144"/>
      <c r="AD144"/>
      <c r="AE144"/>
      <c r="AF144"/>
      <c r="AG144"/>
      <c r="AH144"/>
      <c r="AI144"/>
      <c r="AJ144"/>
      <c r="AK144"/>
      <c r="AL144"/>
      <c r="AM144"/>
      <c r="AN144"/>
      <c r="AO144"/>
      <c r="AP144"/>
      <c r="AQ144"/>
      <c r="AR144"/>
      <c r="AS144"/>
      <c r="AT144"/>
      <c r="AU144"/>
      <c r="AV144"/>
      <c r="AW144"/>
      <c r="AX144"/>
      <c r="AY144"/>
    </row>
    <row r="145" spans="2:51" ht="15" customHeight="1">
      <c r="B145" s="31"/>
      <c r="C145" s="31"/>
      <c r="D145" s="31"/>
      <c r="E145" s="31"/>
      <c r="F145" s="31"/>
      <c r="G145" s="31"/>
      <c r="H145" s="31"/>
      <c r="I145" s="31"/>
      <c r="J145" s="31"/>
      <c r="K145" s="31"/>
      <c r="L145" s="31"/>
      <c r="M145" s="31"/>
      <c r="Z145"/>
      <c r="AA145"/>
      <c r="AB145"/>
      <c r="AC145"/>
      <c r="AD145"/>
      <c r="AE145"/>
      <c r="AF145"/>
      <c r="AG145"/>
      <c r="AH145"/>
      <c r="AI145"/>
      <c r="AJ145"/>
      <c r="AK145"/>
      <c r="AL145"/>
      <c r="AM145"/>
      <c r="AN145"/>
      <c r="AO145"/>
      <c r="AP145"/>
      <c r="AQ145"/>
      <c r="AR145"/>
      <c r="AS145"/>
      <c r="AT145"/>
      <c r="AU145"/>
      <c r="AV145"/>
      <c r="AW145"/>
      <c r="AX145"/>
      <c r="AY145"/>
    </row>
    <row r="146" spans="2:51" ht="15" customHeight="1">
      <c r="B146" s="31"/>
      <c r="C146" s="31"/>
      <c r="D146" s="31"/>
      <c r="E146" s="31"/>
      <c r="F146" s="31"/>
      <c r="G146" s="31"/>
      <c r="H146" s="31"/>
      <c r="I146" s="31"/>
      <c r="J146" s="31"/>
      <c r="K146" s="31"/>
      <c r="L146" s="31"/>
      <c r="M146" s="31"/>
      <c r="Z146"/>
      <c r="AA146"/>
      <c r="AB146"/>
      <c r="AC146"/>
      <c r="AD146"/>
      <c r="AE146"/>
      <c r="AF146"/>
      <c r="AG146"/>
      <c r="AH146"/>
      <c r="AI146"/>
      <c r="AJ146"/>
      <c r="AK146"/>
      <c r="AL146"/>
      <c r="AM146"/>
      <c r="AN146"/>
      <c r="AO146"/>
      <c r="AP146"/>
      <c r="AQ146"/>
      <c r="AR146"/>
      <c r="AS146"/>
      <c r="AT146"/>
      <c r="AU146"/>
      <c r="AV146"/>
      <c r="AW146"/>
      <c r="AX146"/>
      <c r="AY146"/>
    </row>
    <row r="147" spans="2:51" ht="15" customHeight="1">
      <c r="B147" s="31"/>
      <c r="C147" s="31"/>
      <c r="D147" s="31"/>
      <c r="E147" s="31"/>
      <c r="F147" s="31"/>
      <c r="G147" s="31"/>
      <c r="H147" s="31"/>
      <c r="I147" s="31"/>
      <c r="J147" s="31"/>
      <c r="K147" s="31"/>
      <c r="L147" s="31"/>
      <c r="M147" s="31"/>
      <c r="Z147"/>
      <c r="AA147"/>
      <c r="AB147"/>
      <c r="AC147"/>
      <c r="AD147"/>
      <c r="AE147"/>
      <c r="AF147"/>
      <c r="AG147"/>
      <c r="AH147"/>
      <c r="AI147"/>
      <c r="AJ147"/>
      <c r="AK147"/>
      <c r="AL147"/>
      <c r="AM147"/>
      <c r="AN147"/>
      <c r="AO147"/>
      <c r="AP147"/>
      <c r="AQ147"/>
      <c r="AR147"/>
      <c r="AS147"/>
      <c r="AT147"/>
      <c r="AU147"/>
      <c r="AV147"/>
      <c r="AW147"/>
      <c r="AX147"/>
      <c r="AY147"/>
    </row>
    <row r="148" spans="2:51" ht="15" customHeight="1">
      <c r="B148" s="31"/>
      <c r="C148" s="31"/>
      <c r="D148" s="31"/>
      <c r="E148" s="31"/>
      <c r="F148" s="31"/>
      <c r="G148" s="31"/>
      <c r="H148" s="31"/>
      <c r="I148" s="31"/>
      <c r="J148" s="31"/>
      <c r="K148" s="31"/>
      <c r="L148" s="31"/>
      <c r="M148" s="31"/>
      <c r="Z148"/>
      <c r="AA148"/>
      <c r="AB148"/>
      <c r="AC148"/>
      <c r="AD148"/>
      <c r="AE148"/>
      <c r="AF148"/>
      <c r="AG148"/>
      <c r="AH148"/>
      <c r="AI148"/>
      <c r="AJ148"/>
      <c r="AK148"/>
      <c r="AL148"/>
      <c r="AM148"/>
      <c r="AN148"/>
      <c r="AO148"/>
      <c r="AP148"/>
      <c r="AQ148"/>
      <c r="AR148"/>
      <c r="AS148"/>
      <c r="AT148"/>
      <c r="AU148"/>
      <c r="AV148"/>
      <c r="AW148"/>
      <c r="AX148"/>
      <c r="AY148"/>
    </row>
    <row r="149" spans="2:51" ht="15" customHeight="1">
      <c r="B149" s="31"/>
      <c r="C149" s="31"/>
      <c r="D149" s="31"/>
      <c r="E149" s="31"/>
      <c r="F149" s="31"/>
      <c r="G149" s="31"/>
      <c r="H149" s="31"/>
      <c r="I149" s="31"/>
      <c r="J149" s="31"/>
      <c r="K149" s="31"/>
      <c r="L149" s="31"/>
      <c r="M149" s="31"/>
      <c r="Z149"/>
      <c r="AA149"/>
      <c r="AB149"/>
      <c r="AC149"/>
      <c r="AD149"/>
      <c r="AE149"/>
      <c r="AF149"/>
      <c r="AG149"/>
      <c r="AH149"/>
      <c r="AI149"/>
      <c r="AJ149"/>
      <c r="AK149"/>
      <c r="AL149"/>
      <c r="AM149"/>
      <c r="AN149"/>
      <c r="AO149"/>
      <c r="AP149"/>
      <c r="AQ149"/>
      <c r="AR149"/>
      <c r="AS149"/>
      <c r="AT149"/>
      <c r="AU149"/>
      <c r="AV149"/>
      <c r="AW149"/>
      <c r="AX149"/>
      <c r="AY149"/>
    </row>
    <row r="150" spans="2:51" ht="15" customHeight="1">
      <c r="B150" s="31"/>
      <c r="C150" s="31"/>
      <c r="D150" s="31"/>
      <c r="E150" s="31"/>
      <c r="F150" s="31"/>
      <c r="G150" s="31"/>
      <c r="H150" s="31"/>
      <c r="I150" s="31"/>
      <c r="J150" s="31"/>
      <c r="K150" s="31"/>
      <c r="L150" s="31"/>
      <c r="M150" s="31"/>
      <c r="Z150"/>
      <c r="AA150"/>
      <c r="AB150"/>
      <c r="AC150"/>
      <c r="AD150"/>
      <c r="AE150"/>
      <c r="AF150"/>
      <c r="AG150"/>
      <c r="AH150"/>
      <c r="AI150"/>
      <c r="AJ150"/>
      <c r="AK150"/>
      <c r="AL150"/>
      <c r="AM150"/>
      <c r="AN150"/>
      <c r="AO150"/>
      <c r="AP150"/>
      <c r="AQ150"/>
      <c r="AR150"/>
      <c r="AS150"/>
      <c r="AT150"/>
      <c r="AU150"/>
      <c r="AV150"/>
      <c r="AW150"/>
      <c r="AX150"/>
      <c r="AY150"/>
    </row>
    <row r="151" spans="2:51" ht="15" customHeight="1">
      <c r="B151" s="31"/>
      <c r="C151" s="31"/>
      <c r="D151" s="31"/>
      <c r="E151" s="31"/>
      <c r="F151" s="31"/>
      <c r="G151" s="31"/>
      <c r="H151" s="31"/>
      <c r="I151" s="31"/>
      <c r="J151" s="31"/>
      <c r="K151" s="31"/>
      <c r="L151" s="31"/>
      <c r="M151" s="31"/>
      <c r="Z151"/>
      <c r="AA151"/>
      <c r="AB151"/>
      <c r="AC151"/>
      <c r="AD151"/>
      <c r="AE151"/>
      <c r="AF151"/>
      <c r="AG151"/>
      <c r="AH151"/>
      <c r="AI151"/>
      <c r="AJ151"/>
      <c r="AK151"/>
      <c r="AL151"/>
      <c r="AM151"/>
      <c r="AN151"/>
      <c r="AO151"/>
      <c r="AP151"/>
      <c r="AQ151"/>
      <c r="AR151"/>
      <c r="AS151"/>
      <c r="AT151"/>
      <c r="AU151"/>
      <c r="AV151"/>
      <c r="AW151"/>
      <c r="AX151"/>
      <c r="AY151"/>
    </row>
    <row r="152" spans="2:51" ht="15" customHeight="1">
      <c r="B152" s="31"/>
      <c r="C152" s="31"/>
      <c r="D152" s="31"/>
      <c r="E152" s="31"/>
      <c r="F152" s="31"/>
      <c r="G152" s="31"/>
      <c r="H152" s="31"/>
      <c r="I152" s="31"/>
      <c r="J152" s="31"/>
      <c r="K152" s="31"/>
      <c r="L152" s="31"/>
      <c r="M152" s="31"/>
      <c r="Z152"/>
      <c r="AA152"/>
      <c r="AB152"/>
      <c r="AC152"/>
      <c r="AD152"/>
      <c r="AE152"/>
      <c r="AF152"/>
      <c r="AG152"/>
      <c r="AH152"/>
      <c r="AI152"/>
      <c r="AJ152"/>
      <c r="AK152"/>
      <c r="AL152"/>
      <c r="AM152"/>
      <c r="AN152"/>
      <c r="AO152"/>
      <c r="AP152"/>
      <c r="AQ152"/>
      <c r="AR152"/>
      <c r="AS152"/>
      <c r="AT152"/>
      <c r="AU152"/>
      <c r="AV152"/>
      <c r="AW152"/>
      <c r="AX152"/>
      <c r="AY152"/>
    </row>
    <row r="153" spans="2:51" ht="15" customHeight="1">
      <c r="B153" s="31"/>
      <c r="C153" s="31"/>
      <c r="D153" s="31"/>
      <c r="E153" s="31"/>
      <c r="F153" s="31"/>
      <c r="G153" s="31"/>
      <c r="H153" s="31"/>
      <c r="I153" s="31"/>
      <c r="J153" s="31"/>
      <c r="K153" s="31"/>
      <c r="L153" s="31"/>
      <c r="M153" s="31"/>
      <c r="Z153"/>
      <c r="AA153"/>
      <c r="AB153"/>
      <c r="AC153"/>
      <c r="AD153"/>
      <c r="AE153"/>
      <c r="AF153"/>
      <c r="AG153"/>
      <c r="AH153"/>
      <c r="AI153"/>
      <c r="AJ153"/>
      <c r="AK153"/>
      <c r="AL153"/>
      <c r="AM153"/>
      <c r="AN153"/>
      <c r="AO153"/>
      <c r="AP153"/>
      <c r="AQ153"/>
      <c r="AR153"/>
      <c r="AS153"/>
      <c r="AT153"/>
      <c r="AU153"/>
      <c r="AV153"/>
      <c r="AW153"/>
      <c r="AX153"/>
      <c r="AY153"/>
    </row>
  </sheetData>
  <mergeCells count="1">
    <mergeCell ref="K1:L1"/>
  </mergeCells>
  <conditionalFormatting sqref="B1">
    <cfRule type="cellIs" dxfId="32" priority="1" operator="equal">
      <formula>"Incomplete"</formula>
    </cfRule>
    <cfRule type="cellIs" dxfId="31" priority="2" operator="equal">
      <formula>"Flag for Review"</formula>
    </cfRule>
    <cfRule type="cellIs" dxfId="3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M120"/>
  <sheetViews>
    <sheetView zoomScaleNormal="100" workbookViewId="0"/>
  </sheetViews>
  <sheetFormatPr defaultColWidth="9.140625" defaultRowHeight="15"/>
  <cols>
    <col min="1" max="1" width="9.140625" style="21"/>
    <col min="2" max="2" width="16" style="21" bestFit="1" customWidth="1"/>
    <col min="3" max="12" width="11.140625" style="21" customWidth="1"/>
    <col min="13" max="14" width="9.140625" style="21"/>
    <col min="15" max="15" width="11.85546875" style="21" customWidth="1"/>
    <col min="16" max="16" width="12.7109375" style="21" customWidth="1"/>
    <col min="17" max="17" width="9.140625" style="21" customWidth="1"/>
    <col min="18" max="16384" width="9.140625" style="21"/>
  </cols>
  <sheetData>
    <row r="1" spans="1:34">
      <c r="A1" s="7">
        <v>21</v>
      </c>
      <c r="B1" s="27" t="s">
        <v>12</v>
      </c>
      <c r="C1" s="20"/>
      <c r="D1" s="20"/>
      <c r="E1" s="20"/>
      <c r="F1" s="20"/>
      <c r="G1" s="20"/>
      <c r="H1" s="20"/>
      <c r="I1" s="20"/>
      <c r="J1" s="20"/>
      <c r="K1" s="886" t="s">
        <v>24</v>
      </c>
      <c r="L1" s="887"/>
      <c r="N1" s="1" t="s">
        <v>33</v>
      </c>
      <c r="O1" s="52" t="str">
        <f>VLOOKUP(A1,'Point Grid'!$L$8:$T$54,9,FALSE)</f>
        <v>Reserving - Chap 7: Development Method</v>
      </c>
      <c r="P1"/>
      <c r="Q1"/>
      <c r="R1"/>
      <c r="S1"/>
      <c r="T1"/>
      <c r="U1"/>
      <c r="V1"/>
      <c r="W1"/>
      <c r="X1"/>
    </row>
    <row r="2" spans="1:34">
      <c r="A2" s="22"/>
      <c r="B2" s="19"/>
      <c r="C2" s="19"/>
      <c r="D2" s="19"/>
      <c r="E2" s="19"/>
      <c r="F2" s="19"/>
      <c r="G2" s="19"/>
      <c r="H2" s="19"/>
      <c r="I2" s="19"/>
      <c r="J2" s="19"/>
      <c r="K2" s="19"/>
      <c r="L2" s="23"/>
      <c r="N2" s="1"/>
      <c r="O2"/>
      <c r="P2"/>
      <c r="Q2"/>
      <c r="R2"/>
      <c r="S2"/>
      <c r="T2"/>
      <c r="U2"/>
      <c r="V2"/>
      <c r="W2"/>
      <c r="X2"/>
    </row>
    <row r="3" spans="1:34">
      <c r="A3" s="8" t="s">
        <v>13</v>
      </c>
      <c r="B3" s="17"/>
      <c r="C3" s="17"/>
      <c r="D3" s="17"/>
      <c r="E3" s="17"/>
      <c r="F3" s="17"/>
      <c r="G3" s="17"/>
      <c r="H3" s="17"/>
      <c r="I3" s="17"/>
      <c r="J3" s="17"/>
      <c r="K3" s="17"/>
      <c r="L3" s="18"/>
      <c r="M3" s="31"/>
      <c r="N3" s="48" t="s">
        <v>2</v>
      </c>
      <c r="O3" s="156" t="s">
        <v>354</v>
      </c>
      <c r="P3" s="356" t="s">
        <v>355</v>
      </c>
      <c r="Q3" s="1" t="s">
        <v>356</v>
      </c>
      <c r="R3" s="37"/>
      <c r="S3" s="37"/>
      <c r="T3" s="37"/>
      <c r="U3" s="37"/>
      <c r="V3" s="37"/>
      <c r="W3" s="37"/>
      <c r="X3" s="37"/>
      <c r="Y3" s="37"/>
      <c r="Z3" s="37"/>
      <c r="AA3" s="37"/>
    </row>
    <row r="4" spans="1:34">
      <c r="A4" s="9">
        <f>INDEX('Point Grid'!B:B,MATCH(A1,'Point Grid'!A:A,0))</f>
        <v>2.25</v>
      </c>
      <c r="B4" s="17"/>
      <c r="C4" s="17"/>
      <c r="D4" s="17"/>
      <c r="E4" s="17"/>
      <c r="F4" s="17"/>
      <c r="G4" s="17"/>
      <c r="H4" s="17"/>
      <c r="I4" s="17"/>
      <c r="J4" s="17"/>
      <c r="K4" s="17"/>
      <c r="L4" s="18"/>
      <c r="M4" s="31"/>
      <c r="N4" s="48"/>
      <c r="O4" s="37"/>
      <c r="P4" s="37"/>
      <c r="Q4" s="122" t="s">
        <v>89</v>
      </c>
      <c r="R4" s="357" t="str">
        <f>C10&amp;"-"&amp;D10</f>
        <v>12-24</v>
      </c>
      <c r="S4" s="358" t="str">
        <f>D10&amp;"-"&amp;E10</f>
        <v>24-36</v>
      </c>
      <c r="T4" s="359" t="str">
        <f>E10&amp;"-"&amp;F10</f>
        <v>36-48</v>
      </c>
      <c r="U4" s="360" t="s">
        <v>357</v>
      </c>
      <c r="V4" s="37"/>
      <c r="W4" s="361" t="s">
        <v>358</v>
      </c>
      <c r="X4" s="160"/>
      <c r="Y4" s="160"/>
      <c r="Z4" s="160"/>
      <c r="AA4" s="161"/>
    </row>
    <row r="5" spans="1:34">
      <c r="A5" s="16"/>
      <c r="B5" s="17"/>
      <c r="C5" s="17"/>
      <c r="D5" s="17"/>
      <c r="E5" s="17"/>
      <c r="F5" s="17"/>
      <c r="G5" s="17"/>
      <c r="H5" s="17"/>
      <c r="I5" s="17"/>
      <c r="J5" s="17"/>
      <c r="K5" s="17"/>
      <c r="L5" s="18"/>
      <c r="M5" s="31"/>
      <c r="N5" s="48"/>
      <c r="O5" s="37"/>
      <c r="P5" s="37"/>
      <c r="Q5" s="181">
        <f>B11</f>
        <v>2020</v>
      </c>
      <c r="R5" s="362">
        <f>D11/C11</f>
        <v>1.7</v>
      </c>
      <c r="S5" s="363">
        <f>E11/D11</f>
        <v>1.1000000000000001</v>
      </c>
      <c r="T5" s="364">
        <f>F11/E11</f>
        <v>1.1001782531194295</v>
      </c>
      <c r="U5" s="37"/>
      <c r="V5" s="37"/>
      <c r="W5" s="365" t="s">
        <v>359</v>
      </c>
      <c r="X5" s="130"/>
      <c r="Y5" s="130"/>
      <c r="Z5" s="130"/>
      <c r="AA5" s="131"/>
    </row>
    <row r="6" spans="1:34">
      <c r="A6" s="25" t="s">
        <v>2</v>
      </c>
      <c r="B6" s="139" t="s">
        <v>375</v>
      </c>
      <c r="C6" s="139"/>
      <c r="D6" s="139"/>
      <c r="E6" s="139"/>
      <c r="F6" s="398"/>
      <c r="G6" s="398"/>
      <c r="H6" s="398"/>
      <c r="I6" s="407">
        <f>B14</f>
        <v>2023</v>
      </c>
      <c r="J6" s="139"/>
      <c r="K6" s="17"/>
      <c r="L6" s="18"/>
      <c r="M6" s="31"/>
      <c r="N6" s="48"/>
      <c r="O6" s="121"/>
      <c r="P6" s="121"/>
      <c r="Q6" s="181">
        <f>Q5+1</f>
        <v>2021</v>
      </c>
      <c r="R6" s="366">
        <f>D12/C12</f>
        <v>1.3003236245954692</v>
      </c>
      <c r="S6" s="367">
        <f>E12/D12</f>
        <v>1.1000497760079642</v>
      </c>
      <c r="T6" s="368"/>
      <c r="U6" s="121"/>
      <c r="V6" s="121"/>
      <c r="W6" s="369" t="s">
        <v>360</v>
      </c>
      <c r="X6" s="133"/>
      <c r="Y6" s="133"/>
      <c r="Z6" s="133"/>
      <c r="AA6" s="134"/>
    </row>
    <row r="7" spans="1:34" ht="15.75" thickBot="1">
      <c r="A7" s="9">
        <f>INDEX('Point Grid'!$C$8:$I$54,MATCH($A$1,'Point Grid'!$A$8:$A$54,0),MATCH(A6,'Point Grid'!$C$7:$I$7,0))</f>
        <v>1</v>
      </c>
      <c r="B7" s="139"/>
      <c r="C7" s="139"/>
      <c r="D7" s="139"/>
      <c r="E7" s="139"/>
      <c r="F7" s="139"/>
      <c r="G7" s="139"/>
      <c r="H7" s="139"/>
      <c r="I7" s="139"/>
      <c r="J7" s="139"/>
      <c r="K7" s="17"/>
      <c r="L7" s="18"/>
      <c r="M7" s="31"/>
      <c r="N7" s="48"/>
      <c r="O7" s="121"/>
      <c r="P7" s="121"/>
      <c r="Q7" s="181">
        <f>Q6+1</f>
        <v>2022</v>
      </c>
      <c r="R7" s="366">
        <f>D13/C13</f>
        <v>1.2998114393463231</v>
      </c>
      <c r="S7" s="370"/>
      <c r="T7" s="368"/>
      <c r="U7" s="121"/>
      <c r="V7" s="121"/>
      <c r="W7" s="121"/>
      <c r="X7" s="121"/>
      <c r="Y7" s="121"/>
      <c r="Z7" s="121"/>
      <c r="AA7" s="121"/>
    </row>
    <row r="8" spans="1:34" ht="15.75" thickBot="1">
      <c r="A8" s="5"/>
      <c r="B8" s="139"/>
      <c r="C8" s="139"/>
      <c r="D8" s="139"/>
      <c r="E8" s="139"/>
      <c r="F8" s="139"/>
      <c r="G8" s="139"/>
      <c r="H8" s="139"/>
      <c r="I8" s="139"/>
      <c r="J8" s="139"/>
      <c r="K8" s="28"/>
      <c r="L8" s="18"/>
      <c r="M8" s="31"/>
      <c r="N8"/>
      <c r="O8" s="121"/>
      <c r="P8" s="121"/>
      <c r="Q8" s="183">
        <f>Q7+1</f>
        <v>2023</v>
      </c>
      <c r="R8" s="371"/>
      <c r="S8" s="372"/>
      <c r="T8" s="373"/>
      <c r="U8" s="121"/>
      <c r="V8" s="121"/>
      <c r="W8" s="121"/>
      <c r="X8" s="121"/>
      <c r="Y8" s="121"/>
      <c r="Z8" s="121"/>
      <c r="AA8" s="121"/>
    </row>
    <row r="9" spans="1:34">
      <c r="A9" s="25"/>
      <c r="B9" s="188" t="s">
        <v>353</v>
      </c>
      <c r="C9" s="139"/>
      <c r="D9" s="139"/>
      <c r="E9" s="139"/>
      <c r="F9" s="139"/>
      <c r="G9" s="139"/>
      <c r="H9" s="139"/>
      <c r="I9" s="139"/>
      <c r="J9" s="139"/>
      <c r="K9" s="17"/>
      <c r="L9" s="18"/>
      <c r="M9" s="31"/>
      <c r="N9" s="48"/>
      <c r="O9" s="156" t="s">
        <v>361</v>
      </c>
      <c r="P9" s="356" t="s">
        <v>355</v>
      </c>
      <c r="Q9" s="374" t="s">
        <v>362</v>
      </c>
      <c r="R9" s="375">
        <f>AVERAGE(R6:R7)</f>
        <v>1.3000675319708961</v>
      </c>
      <c r="S9" s="376">
        <f>AVERAGE(S5:S7)</f>
        <v>1.1000248880039822</v>
      </c>
      <c r="T9" s="377">
        <f>AVERAGE(T5:T7)</f>
        <v>1.1001782531194295</v>
      </c>
      <c r="U9" s="378">
        <v>1</v>
      </c>
      <c r="V9" s="856" t="s">
        <v>886</v>
      </c>
      <c r="W9" s="857" t="s">
        <v>923</v>
      </c>
      <c r="X9" s="155"/>
      <c r="Y9" s="153"/>
      <c r="Z9" s="121"/>
      <c r="AA9" s="121"/>
    </row>
    <row r="10" spans="1:34">
      <c r="A10" s="25"/>
      <c r="B10" s="273" t="s">
        <v>89</v>
      </c>
      <c r="C10" s="399">
        <v>12</v>
      </c>
      <c r="D10" s="399">
        <v>24</v>
      </c>
      <c r="E10" s="399">
        <v>36</v>
      </c>
      <c r="F10" s="400">
        <v>48</v>
      </c>
      <c r="G10" s="139"/>
      <c r="H10" s="139"/>
      <c r="I10" s="139"/>
      <c r="J10" s="139"/>
      <c r="K10" s="119"/>
      <c r="L10" s="18"/>
      <c r="M10" s="31"/>
      <c r="N10"/>
      <c r="O10" s="121"/>
      <c r="P10" s="121"/>
      <c r="Q10" s="37"/>
      <c r="R10" s="37"/>
      <c r="S10" s="37"/>
      <c r="T10" s="37"/>
      <c r="U10" s="37"/>
      <c r="V10" s="121"/>
      <c r="W10" s="159" t="s">
        <v>924</v>
      </c>
      <c r="X10" s="121"/>
      <c r="Y10" s="121"/>
      <c r="Z10" s="121"/>
      <c r="AA10" s="121"/>
    </row>
    <row r="11" spans="1:34">
      <c r="A11" s="25"/>
      <c r="B11" s="401">
        <v>2020</v>
      </c>
      <c r="C11" s="141">
        <v>1500</v>
      </c>
      <c r="D11" s="141">
        <f>ROUND(C11*1.7,0)</f>
        <v>2550</v>
      </c>
      <c r="E11" s="141">
        <f>ROUND(D11*1.1,0)</f>
        <v>2805</v>
      </c>
      <c r="F11" s="402">
        <f>ROUND(E11*1.1,0)</f>
        <v>3086</v>
      </c>
      <c r="G11" s="139"/>
      <c r="H11" s="188"/>
      <c r="I11" s="139"/>
      <c r="J11" s="139"/>
      <c r="K11" s="119"/>
      <c r="L11" s="18"/>
      <c r="M11" s="31"/>
      <c r="N11"/>
      <c r="O11" s="156" t="s">
        <v>363</v>
      </c>
      <c r="P11" s="356" t="s">
        <v>355</v>
      </c>
      <c r="Q11" s="1" t="s">
        <v>364</v>
      </c>
      <c r="R11" s="1"/>
      <c r="S11" s="37"/>
      <c r="T11" s="37"/>
      <c r="U11" s="37"/>
      <c r="V11" s="121"/>
      <c r="W11" s="259"/>
      <c r="X11" s="121"/>
      <c r="Y11" s="121"/>
      <c r="Z11" s="259"/>
      <c r="AA11" s="121"/>
    </row>
    <row r="12" spans="1:34">
      <c r="A12" s="25"/>
      <c r="B12" s="401">
        <f>B11+1</f>
        <v>2021</v>
      </c>
      <c r="C12" s="141">
        <f>ROUND(C11*1.03,0)</f>
        <v>1545</v>
      </c>
      <c r="D12" s="141">
        <f>ROUND(C12*1.3,0)</f>
        <v>2009</v>
      </c>
      <c r="E12" s="403">
        <f>ROUND(D12*1.1,0)</f>
        <v>2210</v>
      </c>
      <c r="F12" s="142"/>
      <c r="G12" s="139"/>
      <c r="H12" s="188"/>
      <c r="I12" s="188"/>
      <c r="J12" s="188"/>
      <c r="K12" s="119"/>
      <c r="L12" s="18"/>
      <c r="M12" s="31"/>
      <c r="N12"/>
      <c r="O12" s="121"/>
      <c r="P12" s="121"/>
      <c r="Q12" s="379"/>
      <c r="R12" s="380" t="str">
        <f>C10&amp;"-ult"</f>
        <v>12-ult</v>
      </c>
      <c r="S12" s="381" t="str">
        <f>D10&amp;"-ult"</f>
        <v>24-ult</v>
      </c>
      <c r="T12" s="381" t="str">
        <f>E10&amp;"-ult"</f>
        <v>36-ult</v>
      </c>
      <c r="U12" s="382" t="str">
        <f>F10&amp;"-ult"</f>
        <v>48-ult</v>
      </c>
      <c r="V12" s="121"/>
      <c r="W12" s="121"/>
      <c r="X12" s="121"/>
      <c r="Y12" s="259"/>
      <c r="Z12" s="121"/>
      <c r="AA12" s="121"/>
      <c r="AH12" s="121"/>
    </row>
    <row r="13" spans="1:34">
      <c r="A13" s="25"/>
      <c r="B13" s="401">
        <f>B12+1</f>
        <v>2022</v>
      </c>
      <c r="C13" s="141">
        <f>ROUND(C12*1.03,0)</f>
        <v>1591</v>
      </c>
      <c r="D13" s="403">
        <f>ROUND(C13*1.3,0)</f>
        <v>2068</v>
      </c>
      <c r="E13" s="141"/>
      <c r="F13" s="142"/>
      <c r="G13" s="139"/>
      <c r="H13" s="188"/>
      <c r="I13" s="188"/>
      <c r="J13" s="188"/>
      <c r="K13" s="119"/>
      <c r="L13" s="18"/>
      <c r="M13" s="31"/>
      <c r="N13" s="48"/>
      <c r="O13" s="121"/>
      <c r="P13" s="121"/>
      <c r="Q13" s="383" t="s">
        <v>365</v>
      </c>
      <c r="R13" s="384">
        <f>S13*R9</f>
        <v>1.5733722263492089</v>
      </c>
      <c r="S13" s="384">
        <f>T13*S9</f>
        <v>1.2102234596721173</v>
      </c>
      <c r="T13" s="384">
        <f>U13*T9</f>
        <v>1.1001782531194295</v>
      </c>
      <c r="U13" s="385">
        <f>U9</f>
        <v>1</v>
      </c>
      <c r="V13" s="386" t="s">
        <v>366</v>
      </c>
      <c r="W13" s="387" t="s">
        <v>367</v>
      </c>
      <c r="X13" s="241"/>
      <c r="Y13" s="186"/>
      <c r="Z13" s="121"/>
      <c r="AA13" s="121"/>
      <c r="AH13" s="121"/>
    </row>
    <row r="14" spans="1:34">
      <c r="A14" s="25"/>
      <c r="B14" s="404">
        <f>B13+1</f>
        <v>2023</v>
      </c>
      <c r="C14" s="405">
        <f>ROUND(C13*1.03,0)</f>
        <v>1639</v>
      </c>
      <c r="D14" s="148"/>
      <c r="E14" s="148"/>
      <c r="F14" s="149"/>
      <c r="G14" s="139"/>
      <c r="H14" s="188"/>
      <c r="I14" s="188"/>
      <c r="J14" s="188"/>
      <c r="K14" s="119"/>
      <c r="L14" s="18"/>
      <c r="M14" s="31"/>
      <c r="N14"/>
      <c r="O14" s="121"/>
      <c r="P14" s="121"/>
      <c r="Q14" s="37"/>
      <c r="R14" s="37"/>
      <c r="S14" s="37"/>
      <c r="T14" s="37"/>
      <c r="U14" s="37"/>
      <c r="V14" s="121"/>
      <c r="W14" s="388" t="s">
        <v>368</v>
      </c>
      <c r="X14" s="121"/>
      <c r="Y14" s="121"/>
      <c r="Z14" s="121"/>
      <c r="AA14" s="121"/>
      <c r="AH14" s="121"/>
    </row>
    <row r="15" spans="1:34">
      <c r="A15" s="25"/>
      <c r="B15" s="189"/>
      <c r="C15" s="189"/>
      <c r="D15" s="189"/>
      <c r="E15" s="189"/>
      <c r="F15" s="189"/>
      <c r="G15" s="139"/>
      <c r="H15" s="188"/>
      <c r="I15" s="188"/>
      <c r="J15" s="188"/>
      <c r="K15" s="119"/>
      <c r="L15" s="18"/>
      <c r="M15" s="31"/>
      <c r="N15"/>
      <c r="O15" s="156" t="s">
        <v>369</v>
      </c>
      <c r="P15" s="356" t="s">
        <v>355</v>
      </c>
      <c r="Q15" s="1" t="s">
        <v>370</v>
      </c>
      <c r="R15" s="37"/>
      <c r="S15" s="37"/>
      <c r="T15" s="37"/>
      <c r="U15" s="37"/>
      <c r="V15" s="121"/>
      <c r="W15" s="121"/>
      <c r="X15" s="121"/>
      <c r="Y15" s="121"/>
      <c r="Z15" s="121"/>
      <c r="AA15" s="121"/>
      <c r="AH15" s="121"/>
    </row>
    <row r="16" spans="1:34">
      <c r="A16" s="25"/>
      <c r="B16" s="406" t="s">
        <v>921</v>
      </c>
      <c r="C16" s="189"/>
      <c r="D16" s="189"/>
      <c r="E16" s="189"/>
      <c r="F16" s="189"/>
      <c r="G16" s="139"/>
      <c r="H16" s="188"/>
      <c r="I16" s="188"/>
      <c r="J16" s="188"/>
      <c r="K16" s="119"/>
      <c r="L16" s="18"/>
      <c r="M16" s="31"/>
      <c r="N16" s="48"/>
      <c r="O16" s="121"/>
      <c r="P16" s="121"/>
      <c r="Q16" s="379"/>
      <c r="R16" s="389" t="str">
        <f>"'"&amp;RIGHT($C30,2)&amp;"@"&amp;C10</f>
        <v>'23@12</v>
      </c>
      <c r="S16" s="390" t="str">
        <f>"'"&amp;RIGHT($C29,2)&amp;"@"&amp;D10</f>
        <v>'22@24</v>
      </c>
      <c r="T16" s="390" t="str">
        <f>"'"&amp;RIGHT($C28,2)&amp;"@"&amp;E10</f>
        <v>'21@36</v>
      </c>
      <c r="U16" s="391" t="str">
        <f>"'"&amp;RIGHT($C27,2)&amp;"@"&amp;F10</f>
        <v>'20@48</v>
      </c>
      <c r="V16" s="121"/>
      <c r="W16" s="121"/>
      <c r="X16" s="121"/>
      <c r="Y16" s="121"/>
      <c r="Z16" s="121"/>
      <c r="AA16" s="121"/>
      <c r="AH16" s="121"/>
    </row>
    <row r="17" spans="1:34">
      <c r="A17" s="25"/>
      <c r="B17" s="858" t="s">
        <v>925</v>
      </c>
      <c r="C17" s="139"/>
      <c r="D17" s="139"/>
      <c r="E17" s="139"/>
      <c r="F17" s="139"/>
      <c r="G17" s="139"/>
      <c r="H17" s="139"/>
      <c r="I17" s="190"/>
      <c r="J17" s="190"/>
      <c r="K17" s="119"/>
      <c r="L17" s="18"/>
      <c r="M17" s="31"/>
      <c r="N17"/>
      <c r="O17" s="121"/>
      <c r="P17" s="121"/>
      <c r="Q17" s="392" t="s">
        <v>371</v>
      </c>
      <c r="R17" s="393">
        <f>C14</f>
        <v>1639</v>
      </c>
      <c r="S17" s="393">
        <f>D13</f>
        <v>2068</v>
      </c>
      <c r="T17" s="393">
        <f>E12</f>
        <v>2210</v>
      </c>
      <c r="U17" s="394">
        <f>F11</f>
        <v>3086</v>
      </c>
      <c r="V17" s="121"/>
      <c r="W17" s="121"/>
      <c r="X17" s="121"/>
      <c r="Y17" s="121"/>
      <c r="Z17" s="121"/>
      <c r="AA17" s="121"/>
      <c r="AH17" s="121"/>
    </row>
    <row r="18" spans="1:34" ht="15" customHeight="1">
      <c r="A18" s="25"/>
      <c r="B18" s="210" t="s">
        <v>922</v>
      </c>
      <c r="C18" s="139"/>
      <c r="D18" s="139"/>
      <c r="E18" s="139"/>
      <c r="F18" s="139"/>
      <c r="G18" s="139"/>
      <c r="H18" s="139"/>
      <c r="I18" s="190"/>
      <c r="J18" s="190"/>
      <c r="K18" s="119"/>
      <c r="L18" s="18"/>
      <c r="M18" s="31"/>
      <c r="N18"/>
      <c r="O18" s="259" t="s">
        <v>372</v>
      </c>
      <c r="P18" s="121"/>
      <c r="Q18" s="395" t="s">
        <v>373</v>
      </c>
      <c r="R18" s="396">
        <f>R17*R13</f>
        <v>2578.7570789863535</v>
      </c>
      <c r="S18" s="397">
        <f>S17*S13</f>
        <v>2502.7421146019387</v>
      </c>
      <c r="T18" s="123">
        <f>T17*T13</f>
        <v>2431.393939393939</v>
      </c>
      <c r="U18" s="124">
        <f>U17*U13</f>
        <v>3086</v>
      </c>
      <c r="V18" s="386" t="s">
        <v>366</v>
      </c>
      <c r="W18" s="387" t="s">
        <v>374</v>
      </c>
      <c r="X18" s="241"/>
      <c r="Y18" s="186"/>
      <c r="Z18" s="121"/>
      <c r="AA18" s="121"/>
      <c r="AH18" s="177"/>
    </row>
    <row r="19" spans="1:34" ht="15" customHeight="1">
      <c r="A19" s="25"/>
      <c r="B19" s="119"/>
      <c r="C19" s="119"/>
      <c r="D19" s="119"/>
      <c r="E19" s="119"/>
      <c r="F19" s="119"/>
      <c r="G19" s="119"/>
      <c r="H19" s="119"/>
      <c r="I19" s="119"/>
      <c r="J19" s="119"/>
      <c r="K19" s="119"/>
      <c r="L19" s="18"/>
      <c r="M19" s="31"/>
      <c r="N19"/>
      <c r="O19"/>
      <c r="P19"/>
      <c r="Q19"/>
      <c r="R19"/>
      <c r="S19"/>
      <c r="T19"/>
      <c r="U19"/>
      <c r="V19"/>
      <c r="W19"/>
      <c r="X19"/>
    </row>
    <row r="20" spans="1:34" ht="15" customHeight="1">
      <c r="A20" s="25" t="s">
        <v>3</v>
      </c>
      <c r="B20" s="17" t="s">
        <v>376</v>
      </c>
      <c r="C20" s="17"/>
      <c r="D20" s="17"/>
      <c r="E20" s="17"/>
      <c r="F20" s="17"/>
      <c r="G20" s="17"/>
      <c r="H20" s="17"/>
      <c r="I20" s="17"/>
      <c r="J20" s="17"/>
      <c r="K20" s="17"/>
      <c r="L20" s="18"/>
      <c r="M20" s="31"/>
      <c r="N20" s="48" t="s">
        <v>3</v>
      </c>
      <c r="O20" s="89" t="s">
        <v>377</v>
      </c>
      <c r="P20"/>
      <c r="Q20"/>
      <c r="R20"/>
      <c r="S20"/>
      <c r="T20"/>
      <c r="U20"/>
      <c r="V20"/>
      <c r="W20"/>
      <c r="X20"/>
    </row>
    <row r="21" spans="1:34" ht="15" customHeight="1" thickBot="1">
      <c r="A21" s="9">
        <f>INDEX('Point Grid'!$C$8:$I$54,MATCH($A$1,'Point Grid'!$A$8:$A$54,0),MATCH(A20,'Point Grid'!$C$7:$I$7,0))</f>
        <v>0.25</v>
      </c>
      <c r="B21" s="17"/>
      <c r="C21" s="17"/>
      <c r="D21" s="17"/>
      <c r="E21" s="17"/>
      <c r="F21" s="17"/>
      <c r="G21" s="17"/>
      <c r="H21" s="17"/>
      <c r="I21" s="17"/>
      <c r="J21" s="17"/>
      <c r="K21" s="17"/>
      <c r="L21" s="18"/>
      <c r="M21" s="31"/>
      <c r="N21"/>
      <c r="O21"/>
      <c r="P21"/>
      <c r="Q21"/>
      <c r="R21"/>
      <c r="S21"/>
      <c r="T21"/>
      <c r="U21"/>
      <c r="V21"/>
      <c r="W21"/>
      <c r="X21"/>
    </row>
    <row r="22" spans="1:34" ht="15" customHeight="1" thickBot="1">
      <c r="A22" s="5"/>
      <c r="B22" s="17"/>
      <c r="C22" s="28"/>
      <c r="D22" s="28"/>
      <c r="E22" s="28"/>
      <c r="F22" s="28"/>
      <c r="G22" s="28"/>
      <c r="H22" s="28"/>
      <c r="I22" s="28"/>
      <c r="J22" s="28"/>
      <c r="K22" s="28"/>
      <c r="L22" s="18"/>
      <c r="M22" s="31"/>
      <c r="N22" s="48" t="s">
        <v>4</v>
      </c>
      <c r="O22" s="1" t="s">
        <v>385</v>
      </c>
      <c r="P22" s="37"/>
      <c r="Q22" s="37"/>
      <c r="R22" s="37"/>
      <c r="S22" s="37"/>
      <c r="T22" s="37"/>
      <c r="U22" s="37"/>
      <c r="V22" s="37"/>
      <c r="W22" s="37"/>
      <c r="X22" s="37"/>
    </row>
    <row r="23" spans="1:34" ht="15" customHeight="1">
      <c r="A23" s="25"/>
      <c r="B23" s="17"/>
      <c r="C23" s="28"/>
      <c r="D23" s="28"/>
      <c r="E23" s="28"/>
      <c r="F23" s="28"/>
      <c r="G23" s="28"/>
      <c r="H23" s="28"/>
      <c r="I23" s="28"/>
      <c r="J23" s="28"/>
      <c r="K23" s="28"/>
      <c r="L23" s="18"/>
      <c r="M23" s="31"/>
      <c r="N23"/>
      <c r="O23" s="37"/>
      <c r="P23" s="37"/>
      <c r="Q23" s="37"/>
      <c r="R23" s="37"/>
      <c r="S23" s="37"/>
      <c r="T23" s="37"/>
      <c r="U23" s="37"/>
      <c r="V23" s="37"/>
      <c r="W23" s="37"/>
      <c r="X23" s="37"/>
    </row>
    <row r="24" spans="1:34" ht="15" customHeight="1">
      <c r="A24" s="25" t="s">
        <v>4</v>
      </c>
      <c r="B24" s="17" t="s">
        <v>387</v>
      </c>
      <c r="C24" s="17"/>
      <c r="D24" s="17"/>
      <c r="E24" s="17"/>
      <c r="F24" s="17"/>
      <c r="G24" s="17"/>
      <c r="H24" s="17"/>
      <c r="I24" s="17"/>
      <c r="J24" s="17"/>
      <c r="K24" s="17"/>
      <c r="L24" s="18"/>
      <c r="M24" s="31"/>
      <c r="N24"/>
      <c r="O24" s="411" t="s">
        <v>926</v>
      </c>
      <c r="P24" s="37"/>
      <c r="Q24" s="37"/>
      <c r="R24" s="37"/>
      <c r="S24" s="37"/>
      <c r="T24" s="37"/>
      <c r="U24" s="37"/>
      <c r="V24" s="37"/>
      <c r="W24" s="37"/>
      <c r="X24" s="37"/>
    </row>
    <row r="25" spans="1:34" ht="15" customHeight="1" thickBot="1">
      <c r="A25" s="9">
        <f>INDEX('Point Grid'!$C$8:$I$54,MATCH($A$1,'Point Grid'!$A$8:$A$54,0),MATCH(A24,'Point Grid'!$C$7:$I$7,0))</f>
        <v>1</v>
      </c>
      <c r="B25" s="17"/>
      <c r="C25" s="17"/>
      <c r="D25" s="17"/>
      <c r="E25" s="17"/>
      <c r="F25" s="17"/>
      <c r="G25" s="17"/>
      <c r="H25" s="17"/>
      <c r="I25" s="17"/>
      <c r="J25" s="17"/>
      <c r="K25" s="17"/>
      <c r="L25" s="18"/>
      <c r="M25" s="31"/>
      <c r="N25"/>
      <c r="O25" s="37"/>
      <c r="P25" s="37"/>
      <c r="Q25" s="37"/>
      <c r="R25" s="37"/>
      <c r="S25" s="37"/>
      <c r="T25" s="37"/>
      <c r="U25" s="37"/>
      <c r="V25" s="37"/>
      <c r="W25" s="37"/>
      <c r="X25" s="37"/>
    </row>
    <row r="26" spans="1:34" ht="15" customHeight="1" thickBot="1">
      <c r="A26" s="5"/>
      <c r="B26" s="17"/>
      <c r="C26" s="408" t="s">
        <v>378</v>
      </c>
      <c r="D26" s="409">
        <v>12</v>
      </c>
      <c r="E26" s="409">
        <v>24</v>
      </c>
      <c r="F26" s="409">
        <v>36</v>
      </c>
      <c r="G26" s="409">
        <v>48</v>
      </c>
      <c r="H26" s="17"/>
      <c r="I26" s="17"/>
      <c r="J26" s="17"/>
      <c r="K26" s="17"/>
      <c r="L26" s="18"/>
      <c r="M26" s="31"/>
      <c r="N26" s="48"/>
      <c r="O26" s="37"/>
      <c r="P26" s="412" t="s">
        <v>381</v>
      </c>
      <c r="Q26" s="413" t="s">
        <v>384</v>
      </c>
      <c r="R26" s="413" t="s">
        <v>382</v>
      </c>
      <c r="S26" s="413" t="s">
        <v>383</v>
      </c>
      <c r="T26" s="37"/>
      <c r="U26" s="37"/>
      <c r="V26" s="37"/>
      <c r="W26" s="37"/>
      <c r="X26" s="37"/>
    </row>
    <row r="27" spans="1:34" ht="15" customHeight="1" thickBot="1">
      <c r="A27" s="22"/>
      <c r="B27" s="17"/>
      <c r="C27" s="408">
        <v>2020</v>
      </c>
      <c r="D27" s="859">
        <v>2044.8000000000002</v>
      </c>
      <c r="E27" s="859">
        <v>5964</v>
      </c>
      <c r="F27" s="859">
        <v>8562.6</v>
      </c>
      <c r="G27" s="860">
        <v>10224</v>
      </c>
      <c r="H27" s="17"/>
      <c r="I27" s="17"/>
      <c r="J27" s="17"/>
      <c r="K27" s="17"/>
      <c r="L27" s="18"/>
      <c r="M27" s="31"/>
      <c r="N27"/>
      <c r="O27" s="37"/>
      <c r="P27" s="412">
        <v>2020</v>
      </c>
      <c r="Q27" s="414">
        <f>E27/D27</f>
        <v>2.9166666666666665</v>
      </c>
      <c r="R27" s="414">
        <f t="shared" ref="R27:S28" si="0">F27/E27</f>
        <v>1.4357142857142857</v>
      </c>
      <c r="S27" s="414">
        <f t="shared" si="0"/>
        <v>1.1940298507462686</v>
      </c>
      <c r="T27" s="37"/>
      <c r="U27" s="37"/>
      <c r="V27" s="37"/>
      <c r="W27" s="37"/>
      <c r="X27" s="37"/>
    </row>
    <row r="28" spans="1:34" ht="15" customHeight="1" thickBot="1">
      <c r="A28" s="22"/>
      <c r="B28" s="17"/>
      <c r="C28" s="408">
        <v>2021</v>
      </c>
      <c r="D28" s="859">
        <v>2215.2000000000003</v>
      </c>
      <c r="E28" s="859">
        <v>6475.2</v>
      </c>
      <c r="F28" s="860">
        <v>9244.2000000000007</v>
      </c>
      <c r="G28" s="861"/>
      <c r="H28" s="17"/>
      <c r="I28" s="17"/>
      <c r="J28" s="17"/>
      <c r="K28" s="17"/>
      <c r="L28" s="18"/>
      <c r="M28" s="31"/>
      <c r="N28"/>
      <c r="O28" s="37"/>
      <c r="P28" s="412">
        <v>2021</v>
      </c>
      <c r="Q28" s="414">
        <f t="shared" ref="Q28" si="1">E28/D28</f>
        <v>2.9230769230769225</v>
      </c>
      <c r="R28" s="414">
        <f t="shared" si="0"/>
        <v>1.4276315789473686</v>
      </c>
      <c r="S28" s="865"/>
      <c r="T28" s="37"/>
      <c r="U28" s="37"/>
      <c r="V28" s="37"/>
      <c r="W28" s="37"/>
      <c r="X28" s="37"/>
    </row>
    <row r="29" spans="1:34" ht="15" customHeight="1" thickBot="1">
      <c r="A29" s="22"/>
      <c r="B29" s="17"/>
      <c r="C29" s="408">
        <v>2022</v>
      </c>
      <c r="D29" s="859">
        <v>2385.6</v>
      </c>
      <c r="E29" s="860">
        <v>6986.4</v>
      </c>
      <c r="F29" s="862"/>
      <c r="G29" s="861"/>
      <c r="H29" s="17"/>
      <c r="I29" s="17"/>
      <c r="J29" s="17"/>
      <c r="K29" s="17"/>
      <c r="L29" s="18"/>
      <c r="M29" s="31"/>
      <c r="N29"/>
      <c r="O29" s="37"/>
      <c r="P29" s="412">
        <v>2022</v>
      </c>
      <c r="Q29" s="414">
        <f>E29/D29</f>
        <v>2.9285714285714284</v>
      </c>
      <c r="R29" s="866"/>
      <c r="S29" s="867"/>
      <c r="T29" s="37"/>
      <c r="U29" s="37"/>
      <c r="V29" s="37"/>
      <c r="W29" s="37"/>
      <c r="X29" s="37"/>
    </row>
    <row r="30" spans="1:34" ht="15" customHeight="1" thickBot="1">
      <c r="A30" s="22"/>
      <c r="B30" s="17"/>
      <c r="C30" s="408">
        <v>2023</v>
      </c>
      <c r="D30" s="860">
        <v>2556</v>
      </c>
      <c r="E30" s="863"/>
      <c r="F30" s="863"/>
      <c r="G30" s="864"/>
      <c r="H30" s="17"/>
      <c r="I30" s="17"/>
      <c r="J30" s="17"/>
      <c r="K30" s="17"/>
      <c r="L30" s="18"/>
      <c r="M30" s="31"/>
      <c r="N30"/>
      <c r="O30"/>
      <c r="P30"/>
      <c r="Q30"/>
      <c r="R30"/>
      <c r="S30"/>
      <c r="T30"/>
      <c r="U30"/>
      <c r="V30" s="37"/>
      <c r="W30" s="37"/>
      <c r="X30" s="37"/>
    </row>
    <row r="31" spans="1:34" ht="15" customHeight="1" thickBot="1">
      <c r="A31" s="22"/>
      <c r="B31" s="17"/>
      <c r="C31" s="71"/>
      <c r="D31" s="410"/>
      <c r="E31" s="410"/>
      <c r="F31" s="410"/>
      <c r="G31" s="410"/>
      <c r="H31" s="17"/>
      <c r="I31" s="17"/>
      <c r="J31" s="17"/>
      <c r="K31" s="17"/>
      <c r="L31" s="18"/>
      <c r="M31" s="31"/>
      <c r="N31"/>
      <c r="O31" s="411" t="s">
        <v>386</v>
      </c>
      <c r="P31" s="37"/>
      <c r="Q31" s="37"/>
      <c r="R31" s="37"/>
      <c r="S31" s="37"/>
      <c r="T31" s="37"/>
      <c r="U31" s="37"/>
      <c r="V31" s="37"/>
      <c r="W31" s="37"/>
      <c r="X31" s="37"/>
    </row>
    <row r="32" spans="1:34" ht="15" customHeight="1" thickBot="1">
      <c r="A32" s="22"/>
      <c r="B32" s="17"/>
      <c r="C32" s="408" t="s">
        <v>379</v>
      </c>
      <c r="D32" s="409">
        <v>12</v>
      </c>
      <c r="E32" s="409">
        <v>24</v>
      </c>
      <c r="F32" s="409">
        <v>36</v>
      </c>
      <c r="G32" s="409">
        <v>48</v>
      </c>
      <c r="H32" s="17"/>
      <c r="I32" s="17"/>
      <c r="J32" s="17"/>
      <c r="K32" s="17"/>
      <c r="L32" s="18"/>
      <c r="M32" s="31"/>
      <c r="N32"/>
      <c r="O32" s="37"/>
      <c r="P32" s="37"/>
      <c r="Q32" s="37"/>
      <c r="R32" s="37"/>
      <c r="S32" s="37"/>
      <c r="T32" s="37"/>
      <c r="U32" s="37"/>
      <c r="V32" s="37"/>
      <c r="W32" s="37"/>
      <c r="X32" s="37"/>
    </row>
    <row r="33" spans="1:24" ht="15" customHeight="1" thickBot="1">
      <c r="A33" s="22"/>
      <c r="B33" s="17"/>
      <c r="C33" s="408">
        <v>2020</v>
      </c>
      <c r="D33" s="859">
        <v>2044.8000000000002</v>
      </c>
      <c r="E33" s="859">
        <v>5981.0400000000009</v>
      </c>
      <c r="F33" s="859">
        <v>8549.82</v>
      </c>
      <c r="G33" s="860">
        <v>10224</v>
      </c>
      <c r="H33" s="17"/>
      <c r="I33" s="17"/>
      <c r="J33" s="17"/>
      <c r="K33" s="17"/>
      <c r="L33" s="18"/>
      <c r="M33" s="31"/>
      <c r="N33"/>
      <c r="O33" s="37"/>
      <c r="P33" s="412" t="s">
        <v>379</v>
      </c>
      <c r="Q33" s="413" t="s">
        <v>384</v>
      </c>
      <c r="R33" s="413" t="s">
        <v>382</v>
      </c>
      <c r="S33" s="413" t="s">
        <v>383</v>
      </c>
      <c r="T33" s="37"/>
      <c r="U33" s="37"/>
      <c r="V33" s="37"/>
      <c r="W33" s="37"/>
      <c r="X33" s="37"/>
    </row>
    <row r="34" spans="1:24" ht="15" customHeight="1" thickBot="1">
      <c r="A34" s="22"/>
      <c r="B34" s="17"/>
      <c r="C34" s="408">
        <v>2021</v>
      </c>
      <c r="D34" s="859">
        <v>1857.36</v>
      </c>
      <c r="E34" s="859">
        <v>5793.6</v>
      </c>
      <c r="F34" s="860">
        <v>8460.36</v>
      </c>
      <c r="G34" s="861"/>
      <c r="H34" s="17"/>
      <c r="I34" s="17"/>
      <c r="J34" s="17"/>
      <c r="K34" s="17"/>
      <c r="L34" s="18"/>
      <c r="M34" s="31"/>
      <c r="N34"/>
      <c r="O34" s="37"/>
      <c r="P34" s="412">
        <v>2020</v>
      </c>
      <c r="Q34" s="414">
        <f>E33/D33</f>
        <v>2.9250000000000003</v>
      </c>
      <c r="R34" s="414">
        <f t="shared" ref="R34:S34" si="2">F33/E33</f>
        <v>1.4294871794871793</v>
      </c>
      <c r="S34" s="414">
        <f t="shared" si="2"/>
        <v>1.195814648729447</v>
      </c>
      <c r="T34" s="37"/>
      <c r="U34" s="37"/>
      <c r="V34" s="37"/>
      <c r="W34" s="37"/>
      <c r="X34" s="37"/>
    </row>
    <row r="35" spans="1:24" ht="15" customHeight="1" thickBot="1">
      <c r="A35" s="22"/>
      <c r="B35" s="17"/>
      <c r="C35" s="408">
        <v>2022</v>
      </c>
      <c r="D35" s="859">
        <v>1704</v>
      </c>
      <c r="E35" s="860">
        <v>5627.46</v>
      </c>
      <c r="F35" s="862"/>
      <c r="G35" s="861"/>
      <c r="H35" s="17"/>
      <c r="I35" s="17"/>
      <c r="J35" s="17"/>
      <c r="K35" s="17"/>
      <c r="L35" s="18"/>
      <c r="M35" s="31"/>
      <c r="N35"/>
      <c r="O35" s="37"/>
      <c r="P35" s="412">
        <v>2021</v>
      </c>
      <c r="Q35" s="414">
        <f>E34/D34</f>
        <v>3.119266055045872</v>
      </c>
      <c r="R35" s="414">
        <v>1.4602941176470587</v>
      </c>
      <c r="S35" s="865"/>
      <c r="T35" s="37"/>
      <c r="U35" s="37"/>
      <c r="V35" s="37"/>
      <c r="W35" s="37"/>
      <c r="X35" s="37"/>
    </row>
    <row r="36" spans="1:24" ht="15" customHeight="1" thickBot="1">
      <c r="A36" s="22"/>
      <c r="B36" s="17"/>
      <c r="C36" s="408">
        <v>2023</v>
      </c>
      <c r="D36" s="860">
        <v>1686.96</v>
      </c>
      <c r="E36" s="863"/>
      <c r="F36" s="863"/>
      <c r="G36" s="864"/>
      <c r="H36" s="17"/>
      <c r="I36" s="17"/>
      <c r="J36" s="17"/>
      <c r="K36" s="17"/>
      <c r="L36" s="18"/>
      <c r="M36" s="31"/>
      <c r="N36"/>
      <c r="O36" s="37"/>
      <c r="P36" s="412">
        <v>2022</v>
      </c>
      <c r="Q36" s="414">
        <f>E35/D35</f>
        <v>3.3025000000000002</v>
      </c>
      <c r="R36" s="866"/>
      <c r="S36" s="867"/>
      <c r="T36" s="37"/>
      <c r="U36" s="37"/>
      <c r="V36" s="37"/>
      <c r="W36" s="37"/>
      <c r="X36" s="37"/>
    </row>
    <row r="37" spans="1:24" ht="15" customHeight="1" thickBot="1">
      <c r="A37" s="22"/>
      <c r="B37" s="17"/>
      <c r="C37" s="71"/>
      <c r="D37" s="410"/>
      <c r="E37" s="410"/>
      <c r="F37" s="410"/>
      <c r="G37" s="410"/>
      <c r="H37" s="17"/>
      <c r="I37" s="17"/>
      <c r="J37" s="17"/>
      <c r="K37" s="17"/>
      <c r="L37" s="18"/>
      <c r="M37" s="31"/>
      <c r="N37"/>
      <c r="O37"/>
      <c r="P37"/>
      <c r="Q37"/>
      <c r="R37"/>
      <c r="S37"/>
      <c r="T37"/>
      <c r="U37"/>
      <c r="V37" s="37"/>
      <c r="W37" s="37"/>
      <c r="X37" s="37"/>
    </row>
    <row r="38" spans="1:24" ht="15" customHeight="1" thickBot="1">
      <c r="A38" s="22"/>
      <c r="B38" s="17"/>
      <c r="C38" s="408" t="s">
        <v>380</v>
      </c>
      <c r="D38" s="409">
        <v>12</v>
      </c>
      <c r="E38" s="409">
        <v>24</v>
      </c>
      <c r="F38" s="409">
        <v>36</v>
      </c>
      <c r="G38" s="409">
        <v>48</v>
      </c>
      <c r="H38" s="17"/>
      <c r="I38" s="17"/>
      <c r="J38" s="17"/>
      <c r="K38" s="17"/>
      <c r="L38" s="18"/>
      <c r="M38" s="31"/>
      <c r="N38"/>
      <c r="O38" s="411" t="s">
        <v>927</v>
      </c>
      <c r="P38" s="37"/>
      <c r="Q38" s="37"/>
      <c r="R38" s="37"/>
      <c r="S38" s="37"/>
      <c r="T38" s="37"/>
      <c r="U38" s="37"/>
      <c r="V38" s="37"/>
      <c r="W38" s="37"/>
      <c r="X38" s="37"/>
    </row>
    <row r="39" spans="1:24" ht="15" customHeight="1" thickBot="1">
      <c r="A39" s="22"/>
      <c r="B39" s="17"/>
      <c r="C39" s="408">
        <v>2020</v>
      </c>
      <c r="D39" s="859">
        <v>2049.06</v>
      </c>
      <c r="E39" s="859">
        <v>6016.0401599999996</v>
      </c>
      <c r="F39" s="859">
        <v>8549.82</v>
      </c>
      <c r="G39" s="860">
        <v>10224</v>
      </c>
      <c r="H39" s="17"/>
      <c r="I39" s="17"/>
      <c r="J39" s="17"/>
      <c r="K39" s="17"/>
      <c r="L39" s="18"/>
      <c r="M39" s="31"/>
      <c r="N39"/>
      <c r="O39" s="37"/>
      <c r="P39" s="37"/>
      <c r="Q39" s="37"/>
      <c r="R39" s="37"/>
      <c r="S39" s="37"/>
      <c r="T39" s="37"/>
      <c r="U39" s="37"/>
      <c r="V39" s="37"/>
      <c r="W39" s="37"/>
      <c r="X39" s="37"/>
    </row>
    <row r="40" spans="1:24" ht="15" customHeight="1" thickBot="1">
      <c r="A40" s="22"/>
      <c r="B40" s="17"/>
      <c r="C40" s="408">
        <v>2021</v>
      </c>
      <c r="D40" s="859">
        <v>2019.24</v>
      </c>
      <c r="E40" s="859">
        <v>5924.4501600000003</v>
      </c>
      <c r="F40" s="860">
        <v>8412.7192271999993</v>
      </c>
      <c r="G40" s="861"/>
      <c r="H40" s="17"/>
      <c r="I40" s="17"/>
      <c r="J40" s="17"/>
      <c r="K40" s="17"/>
      <c r="L40" s="18"/>
      <c r="M40" s="31"/>
      <c r="N40"/>
      <c r="O40" s="37"/>
      <c r="P40" s="412" t="s">
        <v>378</v>
      </c>
      <c r="Q40" s="413" t="s">
        <v>384</v>
      </c>
      <c r="R40" s="413" t="s">
        <v>382</v>
      </c>
      <c r="S40" s="413" t="s">
        <v>383</v>
      </c>
      <c r="T40" s="37"/>
      <c r="U40" s="37"/>
      <c r="V40" s="37"/>
      <c r="W40" s="37"/>
      <c r="X40" s="37"/>
    </row>
    <row r="41" spans="1:24" ht="15" customHeight="1" thickBot="1">
      <c r="A41" s="22"/>
      <c r="B41" s="17"/>
      <c r="C41" s="408">
        <v>2022</v>
      </c>
      <c r="D41" s="859">
        <v>2053.3200000000002</v>
      </c>
      <c r="E41" s="860">
        <v>6026.494200000001</v>
      </c>
      <c r="F41" s="862"/>
      <c r="G41" s="861"/>
      <c r="H41" s="17"/>
      <c r="I41" s="17"/>
      <c r="J41" s="17"/>
      <c r="K41" s="17"/>
      <c r="L41" s="18"/>
      <c r="M41" s="31"/>
      <c r="N41"/>
      <c r="O41" s="37"/>
      <c r="P41" s="412">
        <v>2020</v>
      </c>
      <c r="Q41" s="414">
        <f>E39/D39</f>
        <v>2.9359999999999999</v>
      </c>
      <c r="R41" s="414">
        <f t="shared" ref="R41:S41" si="3">F39/E39</f>
        <v>1.4211706990998545</v>
      </c>
      <c r="S41" s="414">
        <f t="shared" si="3"/>
        <v>1.195814648729447</v>
      </c>
      <c r="T41" s="37"/>
      <c r="U41" s="37"/>
      <c r="V41" s="37"/>
      <c r="W41" s="37"/>
      <c r="X41" s="37"/>
    </row>
    <row r="42" spans="1:24" ht="15" customHeight="1" thickBot="1">
      <c r="A42" s="22"/>
      <c r="B42" s="17"/>
      <c r="C42" s="408">
        <v>2023</v>
      </c>
      <c r="D42" s="860">
        <v>2044.8000000000002</v>
      </c>
      <c r="E42" s="863"/>
      <c r="F42" s="863"/>
      <c r="G42" s="864"/>
      <c r="H42" s="17"/>
      <c r="I42" s="17"/>
      <c r="J42" s="17"/>
      <c r="K42" s="17"/>
      <c r="L42" s="18"/>
      <c r="M42" s="31"/>
      <c r="N42"/>
      <c r="O42" s="1"/>
      <c r="P42" s="412">
        <v>2021</v>
      </c>
      <c r="Q42" s="414">
        <f t="shared" ref="Q42:R42" si="4">E40/D40</f>
        <v>2.9340000000000002</v>
      </c>
      <c r="R42" s="414">
        <f t="shared" si="4"/>
        <v>1.4199999999999997</v>
      </c>
      <c r="S42" s="865"/>
      <c r="T42" s="37"/>
      <c r="U42" s="37"/>
      <c r="V42" s="37"/>
      <c r="W42" s="37"/>
      <c r="X42" s="37"/>
    </row>
    <row r="43" spans="1:24" ht="15" customHeight="1" thickBot="1">
      <c r="A43" s="22"/>
      <c r="B43" s="17"/>
      <c r="C43" s="71"/>
      <c r="D43" s="410"/>
      <c r="E43" s="410"/>
      <c r="F43" s="410"/>
      <c r="G43" s="410"/>
      <c r="H43" s="17"/>
      <c r="I43" s="17"/>
      <c r="J43" s="17"/>
      <c r="K43" s="17"/>
      <c r="L43" s="18"/>
      <c r="M43" s="31"/>
      <c r="N43"/>
      <c r="O43" s="37"/>
      <c r="P43" s="412">
        <v>2022</v>
      </c>
      <c r="Q43" s="414">
        <f>E41/D41</f>
        <v>2.9350000000000001</v>
      </c>
      <c r="R43" s="866"/>
      <c r="S43" s="867"/>
      <c r="T43" s="37"/>
      <c r="U43" s="37"/>
      <c r="V43" s="37"/>
      <c r="W43" s="37"/>
      <c r="X43" s="37"/>
    </row>
    <row r="44" spans="1:24" ht="15" customHeight="1" thickBot="1">
      <c r="A44" s="22"/>
      <c r="B44" s="17"/>
      <c r="C44" s="408" t="s">
        <v>381</v>
      </c>
      <c r="D44" s="409">
        <v>12</v>
      </c>
      <c r="E44" s="409">
        <v>24</v>
      </c>
      <c r="F44" s="409">
        <v>36</v>
      </c>
      <c r="G44" s="409">
        <v>48</v>
      </c>
      <c r="H44" s="17"/>
      <c r="I44" s="17"/>
      <c r="J44" s="17"/>
      <c r="K44" s="17"/>
      <c r="L44" s="18"/>
      <c r="M44" s="31"/>
      <c r="N44"/>
      <c r="O44"/>
      <c r="P44"/>
      <c r="Q44"/>
      <c r="R44"/>
      <c r="S44"/>
      <c r="T44"/>
      <c r="U44"/>
      <c r="V44" s="37"/>
      <c r="W44" s="37"/>
      <c r="X44" s="37"/>
    </row>
    <row r="45" spans="1:24" ht="15" customHeight="1" thickBot="1">
      <c r="A45" s="22"/>
      <c r="B45" s="17"/>
      <c r="C45" s="408">
        <v>2020</v>
      </c>
      <c r="D45" s="859">
        <v>1993.6799999999996</v>
      </c>
      <c r="E45" s="859">
        <v>6147.18</v>
      </c>
      <c r="F45" s="859">
        <v>8387.94</v>
      </c>
      <c r="G45" s="860">
        <v>10224</v>
      </c>
      <c r="H45" s="17"/>
      <c r="I45" s="17"/>
      <c r="J45" s="17"/>
      <c r="K45" s="17"/>
      <c r="L45" s="18"/>
      <c r="M45" s="31"/>
      <c r="N45"/>
      <c r="O45" s="411" t="s">
        <v>928</v>
      </c>
      <c r="P45" s="37"/>
      <c r="Q45" s="37"/>
      <c r="R45" s="37"/>
      <c r="S45" s="37"/>
      <c r="T45" s="37"/>
      <c r="U45" s="37"/>
      <c r="V45" s="37"/>
      <c r="W45" s="37"/>
      <c r="X45" s="37"/>
    </row>
    <row r="46" spans="1:24" ht="15" customHeight="1" thickBot="1">
      <c r="A46" s="22"/>
      <c r="B46" s="17"/>
      <c r="C46" s="408">
        <v>2021</v>
      </c>
      <c r="D46" s="859">
        <v>2270.58</v>
      </c>
      <c r="E46" s="859">
        <v>6194.0400000000009</v>
      </c>
      <c r="F46" s="860">
        <v>8652.06</v>
      </c>
      <c r="G46" s="861"/>
      <c r="H46" s="17"/>
      <c r="I46" s="17"/>
      <c r="J46" s="17"/>
      <c r="K46" s="17"/>
      <c r="L46" s="18"/>
      <c r="M46" s="31"/>
      <c r="N46"/>
      <c r="O46" s="37"/>
      <c r="P46" s="37"/>
      <c r="Q46" s="37"/>
      <c r="R46" s="37"/>
      <c r="S46" s="37"/>
      <c r="T46" s="37"/>
      <c r="U46" s="37"/>
      <c r="V46" s="37"/>
      <c r="W46" s="37"/>
      <c r="X46" s="37"/>
    </row>
    <row r="47" spans="1:24" ht="15" customHeight="1" thickBot="1">
      <c r="A47" s="22"/>
      <c r="B47" s="17"/>
      <c r="C47" s="408">
        <v>2022</v>
      </c>
      <c r="D47" s="859">
        <v>2556</v>
      </c>
      <c r="E47" s="860">
        <v>6441.12</v>
      </c>
      <c r="F47" s="862"/>
      <c r="G47" s="861"/>
      <c r="H47" s="17"/>
      <c r="I47" s="17"/>
      <c r="J47" s="17"/>
      <c r="K47" s="17"/>
      <c r="L47" s="18"/>
      <c r="M47" s="31"/>
      <c r="N47"/>
      <c r="O47" s="37"/>
      <c r="P47" s="412" t="s">
        <v>380</v>
      </c>
      <c r="Q47" s="413" t="s">
        <v>384</v>
      </c>
      <c r="R47" s="413" t="s">
        <v>382</v>
      </c>
      <c r="S47" s="413" t="s">
        <v>383</v>
      </c>
      <c r="T47" s="37"/>
      <c r="U47" s="37"/>
      <c r="V47" s="37"/>
      <c r="W47" s="37"/>
      <c r="X47" s="37"/>
    </row>
    <row r="48" spans="1:24" ht="15" customHeight="1" thickBot="1">
      <c r="A48" s="22"/>
      <c r="B48" s="17"/>
      <c r="C48" s="408">
        <v>2023</v>
      </c>
      <c r="D48" s="860">
        <v>2922.3599999999992</v>
      </c>
      <c r="E48" s="863"/>
      <c r="F48" s="863"/>
      <c r="G48" s="864"/>
      <c r="H48" s="17"/>
      <c r="I48" s="17"/>
      <c r="J48" s="17"/>
      <c r="K48" s="17"/>
      <c r="L48" s="18"/>
      <c r="M48" s="31"/>
      <c r="N48"/>
      <c r="O48" s="37"/>
      <c r="P48" s="412">
        <v>2020</v>
      </c>
      <c r="Q48" s="414">
        <f>E45/D45</f>
        <v>3.0833333333333339</v>
      </c>
      <c r="R48" s="414">
        <f t="shared" ref="R48:S48" si="5">F45/E45</f>
        <v>1.3645183645183645</v>
      </c>
      <c r="S48" s="414">
        <f t="shared" si="5"/>
        <v>1.2188928390045708</v>
      </c>
      <c r="T48" s="37"/>
      <c r="U48" s="37"/>
      <c r="V48" s="37"/>
      <c r="W48" s="37"/>
      <c r="X48" s="37"/>
    </row>
    <row r="49" spans="1:39" ht="15" customHeight="1" thickBot="1">
      <c r="A49" s="22"/>
      <c r="B49" s="17"/>
      <c r="C49" s="17"/>
      <c r="D49" s="17"/>
      <c r="E49" s="17"/>
      <c r="F49" s="17"/>
      <c r="G49" s="17"/>
      <c r="H49" s="17"/>
      <c r="I49" s="17"/>
      <c r="J49" s="17"/>
      <c r="K49" s="17"/>
      <c r="L49" s="18"/>
      <c r="M49" s="31"/>
      <c r="N49"/>
      <c r="O49" s="37"/>
      <c r="P49" s="412">
        <v>2021</v>
      </c>
      <c r="Q49" s="414">
        <f t="shared" ref="Q49:R49" si="6">E46/D46</f>
        <v>2.7279549718574114</v>
      </c>
      <c r="R49" s="414">
        <f t="shared" si="6"/>
        <v>1.3968363136176063</v>
      </c>
      <c r="S49" s="865"/>
      <c r="T49" s="37"/>
      <c r="U49" s="37"/>
      <c r="V49" s="37"/>
      <c r="W49" s="37"/>
      <c r="X49" s="37"/>
    </row>
    <row r="50" spans="1:39" ht="15" customHeight="1" thickBot="1">
      <c r="A50" s="22"/>
      <c r="B50" s="17"/>
      <c r="C50" s="17"/>
      <c r="D50" s="17"/>
      <c r="E50" s="17"/>
      <c r="F50" s="17"/>
      <c r="G50" s="17"/>
      <c r="H50" s="17"/>
      <c r="I50" s="17"/>
      <c r="J50" s="17"/>
      <c r="K50" s="17"/>
      <c r="L50" s="18"/>
      <c r="M50" s="31"/>
      <c r="N50"/>
      <c r="O50" s="37"/>
      <c r="P50" s="412">
        <v>2022</v>
      </c>
      <c r="Q50" s="414">
        <f>E47/D47</f>
        <v>2.52</v>
      </c>
      <c r="R50" s="866"/>
      <c r="S50" s="867"/>
      <c r="T50" s="37"/>
      <c r="U50" s="37"/>
      <c r="V50" s="37"/>
      <c r="W50" s="37"/>
      <c r="X50" s="37"/>
    </row>
    <row r="51" spans="1:39" ht="15" customHeight="1">
      <c r="A51" s="22"/>
      <c r="B51" s="17"/>
      <c r="C51" s="17"/>
      <c r="D51" s="17"/>
      <c r="E51" s="17"/>
      <c r="F51" s="17"/>
      <c r="G51" s="17"/>
      <c r="H51" s="17"/>
      <c r="I51" s="17"/>
      <c r="J51" s="17"/>
      <c r="K51" s="17"/>
      <c r="L51" s="18"/>
      <c r="M51" s="31"/>
      <c r="N51"/>
      <c r="O51" s="37"/>
      <c r="P51" s="37"/>
      <c r="Q51" s="37"/>
      <c r="R51" s="37"/>
      <c r="S51" s="37"/>
      <c r="T51" s="37"/>
      <c r="U51" s="37"/>
      <c r="V51" s="37"/>
      <c r="W51" s="37"/>
      <c r="X51" s="37"/>
    </row>
    <row r="52" spans="1:39" ht="15" customHeight="1" thickBot="1">
      <c r="A52" s="24"/>
      <c r="B52" s="32"/>
      <c r="C52" s="32"/>
      <c r="D52" s="32"/>
      <c r="E52" s="32"/>
      <c r="F52" s="32"/>
      <c r="G52" s="32"/>
      <c r="H52" s="32"/>
      <c r="I52" s="32"/>
      <c r="J52" s="32"/>
      <c r="K52" s="32"/>
      <c r="L52" s="33"/>
      <c r="M52" s="31"/>
      <c r="N52"/>
      <c r="O52" s="37"/>
      <c r="P52" s="37"/>
      <c r="Q52" s="37"/>
      <c r="R52" s="37"/>
      <c r="S52" s="37"/>
      <c r="T52" s="37"/>
      <c r="U52" s="37"/>
      <c r="V52" s="37"/>
      <c r="W52" s="37"/>
      <c r="X52" s="37"/>
    </row>
    <row r="53" spans="1:39" ht="1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row>
    <row r="54" spans="1:39" ht="1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row>
    <row r="55" spans="1:39" ht="1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row>
    <row r="56" spans="1:39" ht="1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row>
    <row r="57" spans="1:39" ht="1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row>
    <row r="58" spans="1:39" ht="1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row>
    <row r="59" spans="1:39" ht="1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row>
    <row r="60" spans="1:39" ht="1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row>
    <row r="61" spans="1:39" ht="1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row>
    <row r="62" spans="1:39" ht="1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row>
    <row r="63" spans="1:39" ht="1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row>
    <row r="64" spans="1:39" ht="1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row>
    <row r="65" spans="1:39" ht="1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row>
    <row r="66" spans="1:39" ht="15" customHeight="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row>
    <row r="67" spans="1:39" ht="15" customHeight="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row>
    <row r="68" spans="1:39" ht="15" customHeight="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row>
    <row r="69" spans="1:39" ht="15" customHeight="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row>
    <row r="70" spans="1:39" ht="15" customHeight="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row>
    <row r="71" spans="1:39" ht="15" customHeight="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row>
    <row r="72" spans="1:39" ht="15" customHeight="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row>
    <row r="73" spans="1:39" ht="15" customHeight="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row>
    <row r="74" spans="1:39" ht="15" customHeight="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row>
    <row r="75" spans="1:39" ht="15" customHeight="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row>
    <row r="76" spans="1:39" ht="15" customHeight="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row>
    <row r="77" spans="1:39" ht="15" customHeight="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row>
    <row r="78" spans="1:39" ht="15" customHeight="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row>
    <row r="79" spans="1:39" ht="15" customHeight="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row>
    <row r="80" spans="1:39" ht="15" customHeight="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row>
    <row r="81" spans="2:39" ht="15" customHeight="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row>
    <row r="82" spans="2:39" ht="15" customHeight="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row>
    <row r="83" spans="2:39" ht="15" customHeight="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row>
    <row r="84" spans="2:39" ht="15" customHeight="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row>
    <row r="85" spans="2:39" ht="15" customHeight="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row>
    <row r="86" spans="2:39" ht="15" customHeight="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row>
    <row r="87" spans="2:39" ht="15" customHeight="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row>
    <row r="88" spans="2:39" ht="15" customHeight="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row>
    <row r="89" spans="2:39" ht="15" customHeight="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row>
    <row r="90" spans="2:39" ht="15" customHeight="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row>
    <row r="91" spans="2:39" ht="15" customHeight="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row>
    <row r="92" spans="2:39" ht="15" customHeight="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row>
    <row r="93" spans="2:39" ht="15" customHeight="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row>
    <row r="94" spans="2:39" ht="15" customHeight="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row>
    <row r="95" spans="2:39" ht="15" customHeight="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row>
    <row r="96" spans="2:39" ht="15" customHeight="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row>
    <row r="97" spans="2:39" ht="15" customHeight="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row>
    <row r="98" spans="2:39" ht="15" customHeight="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row>
    <row r="99" spans="2:39" ht="15" customHeight="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row>
    <row r="100" spans="2:39" ht="15" customHeight="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row>
    <row r="101" spans="2:39" ht="15" customHeight="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row>
    <row r="102" spans="2:39" ht="15" customHeight="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row>
    <row r="103" spans="2:39" ht="15" customHeight="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row>
    <row r="104" spans="2:39" ht="15" customHeight="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row>
    <row r="105" spans="2:39" ht="15" customHeight="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row>
    <row r="106" spans="2:39" ht="15" customHeight="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row>
    <row r="107" spans="2:39">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row>
    <row r="108" spans="2:39">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row>
    <row r="109" spans="2:39">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row>
    <row r="110" spans="2:39">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row>
    <row r="111" spans="2:39">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row>
    <row r="112" spans="2:39">
      <c r="O112"/>
      <c r="P112"/>
      <c r="Q112"/>
      <c r="R112"/>
      <c r="S112"/>
      <c r="T112"/>
      <c r="U112"/>
      <c r="V112"/>
      <c r="W112"/>
      <c r="X112"/>
      <c r="Y112"/>
      <c r="Z112"/>
      <c r="AA112"/>
      <c r="AB112"/>
    </row>
    <row r="113" spans="15:28">
      <c r="O113"/>
      <c r="P113"/>
      <c r="Q113"/>
      <c r="R113"/>
      <c r="S113"/>
      <c r="T113"/>
      <c r="U113"/>
      <c r="V113"/>
      <c r="W113"/>
      <c r="X113"/>
      <c r="Y113"/>
      <c r="Z113"/>
      <c r="AA113"/>
      <c r="AB113"/>
    </row>
    <row r="114" spans="15:28">
      <c r="O114"/>
      <c r="P114"/>
      <c r="Q114"/>
      <c r="R114"/>
      <c r="S114"/>
      <c r="T114"/>
      <c r="U114"/>
      <c r="V114"/>
      <c r="W114"/>
      <c r="X114"/>
      <c r="Y114"/>
      <c r="Z114"/>
      <c r="AA114"/>
      <c r="AB114"/>
    </row>
    <row r="115" spans="15:28">
      <c r="O115"/>
      <c r="P115"/>
      <c r="Q115"/>
      <c r="R115"/>
      <c r="S115"/>
      <c r="T115"/>
      <c r="U115"/>
      <c r="V115"/>
      <c r="W115"/>
      <c r="X115"/>
      <c r="Y115"/>
      <c r="Z115"/>
      <c r="AA115"/>
      <c r="AB115"/>
    </row>
    <row r="116" spans="15:28">
      <c r="O116"/>
      <c r="P116"/>
      <c r="Q116"/>
      <c r="R116"/>
      <c r="S116"/>
      <c r="T116"/>
      <c r="U116"/>
      <c r="V116"/>
      <c r="W116"/>
      <c r="X116"/>
      <c r="Y116"/>
      <c r="Z116"/>
      <c r="AA116"/>
      <c r="AB116"/>
    </row>
    <row r="117" spans="15:28">
      <c r="O117"/>
      <c r="P117"/>
      <c r="Q117"/>
      <c r="R117"/>
      <c r="S117"/>
      <c r="T117"/>
      <c r="U117"/>
      <c r="V117"/>
      <c r="W117"/>
      <c r="X117"/>
      <c r="Y117"/>
      <c r="Z117"/>
      <c r="AA117"/>
      <c r="AB117"/>
    </row>
    <row r="118" spans="15:28">
      <c r="O118"/>
      <c r="P118"/>
      <c r="Q118"/>
      <c r="R118"/>
      <c r="S118"/>
      <c r="T118"/>
      <c r="U118"/>
      <c r="V118"/>
      <c r="W118"/>
      <c r="X118"/>
      <c r="Y118"/>
      <c r="Z118"/>
      <c r="AA118"/>
      <c r="AB118"/>
    </row>
    <row r="119" spans="15:28">
      <c r="O119"/>
      <c r="P119"/>
      <c r="Q119"/>
      <c r="R119"/>
      <c r="S119"/>
      <c r="T119"/>
      <c r="U119"/>
      <c r="V119"/>
      <c r="W119"/>
      <c r="X119"/>
      <c r="Y119"/>
      <c r="Z119"/>
      <c r="AA119"/>
      <c r="AB119"/>
    </row>
    <row r="120" spans="15:28">
      <c r="O120"/>
      <c r="P120"/>
      <c r="Q120"/>
      <c r="R120"/>
      <c r="S120"/>
      <c r="T120"/>
      <c r="U120"/>
      <c r="V120"/>
      <c r="W120"/>
      <c r="X120"/>
      <c r="Y120"/>
      <c r="Z120"/>
      <c r="AA120"/>
      <c r="AB120"/>
    </row>
  </sheetData>
  <mergeCells count="1">
    <mergeCell ref="K1:L1"/>
  </mergeCells>
  <conditionalFormatting sqref="B1">
    <cfRule type="cellIs" dxfId="29" priority="1" operator="equal">
      <formula>"Incomplete"</formula>
    </cfRule>
    <cfRule type="cellIs" dxfId="28" priority="2" operator="equal">
      <formula>"Flag for Review"</formula>
    </cfRule>
    <cfRule type="cellIs" dxfId="2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I101"/>
  <sheetViews>
    <sheetView zoomScaleNormal="100" workbookViewId="0"/>
  </sheetViews>
  <sheetFormatPr defaultColWidth="9.140625" defaultRowHeight="15"/>
  <cols>
    <col min="1" max="1" width="9.140625" style="21"/>
    <col min="2" max="2" width="16" style="21" bestFit="1" customWidth="1"/>
    <col min="3" max="11" width="11.140625" style="21" customWidth="1"/>
    <col min="12" max="15" width="9.140625" style="21"/>
    <col min="16" max="16" width="9.42578125" style="21" customWidth="1"/>
    <col min="17" max="16384" width="9.140625" style="21"/>
  </cols>
  <sheetData>
    <row r="1" spans="1:23">
      <c r="A1" s="7">
        <v>22</v>
      </c>
      <c r="B1" s="27" t="s">
        <v>12</v>
      </c>
      <c r="C1" s="20"/>
      <c r="D1" s="20"/>
      <c r="E1" s="20"/>
      <c r="F1" s="20"/>
      <c r="G1" s="20"/>
      <c r="H1" s="20"/>
      <c r="I1" s="20"/>
      <c r="J1" s="886" t="s">
        <v>24</v>
      </c>
      <c r="K1" s="887"/>
      <c r="M1" s="1" t="s">
        <v>33</v>
      </c>
      <c r="N1" s="52" t="str">
        <f>VLOOKUP(A1,'Point Grid'!$L$8:$T$54,9,FALSE)</f>
        <v>Reserving - Chap 9: Bornhuetter Ferguson Method</v>
      </c>
      <c r="O1"/>
      <c r="P1"/>
      <c r="Q1"/>
      <c r="R1"/>
      <c r="S1"/>
      <c r="T1"/>
      <c r="U1"/>
      <c r="V1"/>
      <c r="W1"/>
    </row>
    <row r="2" spans="1:23">
      <c r="A2" s="22"/>
      <c r="B2" s="19"/>
      <c r="C2" s="19"/>
      <c r="D2" s="19"/>
      <c r="E2" s="19"/>
      <c r="F2" s="19"/>
      <c r="G2" s="19"/>
      <c r="H2" s="19"/>
      <c r="I2" s="19"/>
      <c r="J2" s="19"/>
      <c r="K2" s="23"/>
      <c r="M2" s="1"/>
      <c r="N2"/>
      <c r="O2"/>
      <c r="P2"/>
      <c r="Q2"/>
      <c r="R2"/>
      <c r="S2"/>
      <c r="T2"/>
      <c r="U2"/>
      <c r="V2"/>
      <c r="W2"/>
    </row>
    <row r="3" spans="1:23">
      <c r="A3" s="8" t="s">
        <v>13</v>
      </c>
      <c r="B3" s="17"/>
      <c r="C3" s="17"/>
      <c r="D3" s="17"/>
      <c r="E3" s="17"/>
      <c r="F3" s="17"/>
      <c r="G3" s="17"/>
      <c r="H3" s="17"/>
      <c r="I3" s="17"/>
      <c r="J3" s="17"/>
      <c r="K3" s="18"/>
      <c r="L3" s="31"/>
      <c r="M3" s="48" t="s">
        <v>2</v>
      </c>
      <c r="N3" t="s">
        <v>388</v>
      </c>
      <c r="O3"/>
      <c r="P3"/>
      <c r="Q3"/>
      <c r="R3"/>
      <c r="S3"/>
      <c r="T3"/>
      <c r="U3"/>
      <c r="V3"/>
      <c r="W3"/>
    </row>
    <row r="4" spans="1:23">
      <c r="A4" s="9">
        <f>INDEX('Point Grid'!B:B,MATCH(A1,'Point Grid'!A:A,0))</f>
        <v>1.75</v>
      </c>
      <c r="B4" s="17"/>
      <c r="C4" s="17"/>
      <c r="D4" s="17"/>
      <c r="E4" s="17"/>
      <c r="F4" s="17"/>
      <c r="G4" s="17"/>
      <c r="H4" s="17"/>
      <c r="I4" s="17"/>
      <c r="J4" s="17"/>
      <c r="K4" s="18"/>
      <c r="L4" s="31"/>
      <c r="M4" s="48"/>
      <c r="N4"/>
      <c r="O4"/>
      <c r="P4"/>
      <c r="Q4"/>
      <c r="R4"/>
      <c r="S4"/>
      <c r="T4"/>
      <c r="U4"/>
      <c r="V4"/>
      <c r="W4"/>
    </row>
    <row r="5" spans="1:23">
      <c r="A5" s="16"/>
      <c r="B5" s="17"/>
      <c r="C5" s="17"/>
      <c r="D5" s="17"/>
      <c r="E5" s="17"/>
      <c r="F5" s="17"/>
      <c r="G5" s="17"/>
      <c r="H5" s="17"/>
      <c r="I5" s="17"/>
      <c r="J5" s="17"/>
      <c r="K5" s="18"/>
      <c r="L5" s="31"/>
      <c r="M5" s="48" t="s">
        <v>3</v>
      </c>
      <c r="N5" s="48" t="s">
        <v>60</v>
      </c>
      <c r="O5" t="s">
        <v>967</v>
      </c>
      <c r="P5"/>
      <c r="Q5"/>
      <c r="R5"/>
      <c r="S5"/>
      <c r="T5"/>
      <c r="U5"/>
      <c r="V5"/>
      <c r="W5"/>
    </row>
    <row r="6" spans="1:23">
      <c r="A6" s="25" t="s">
        <v>2</v>
      </c>
      <c r="B6" s="17" t="s">
        <v>389</v>
      </c>
      <c r="C6" s="17"/>
      <c r="D6" s="17"/>
      <c r="E6" s="17"/>
      <c r="F6" s="17"/>
      <c r="G6" s="17"/>
      <c r="H6" s="17"/>
      <c r="I6" s="17"/>
      <c r="J6" s="17"/>
      <c r="K6" s="18"/>
      <c r="L6" s="31"/>
      <c r="M6" s="48"/>
      <c r="N6" s="48"/>
      <c r="O6"/>
      <c r="P6"/>
      <c r="Q6"/>
      <c r="R6"/>
      <c r="S6"/>
      <c r="T6"/>
      <c r="U6"/>
      <c r="V6"/>
      <c r="W6"/>
    </row>
    <row r="7" spans="1:23" ht="15.75" thickBot="1">
      <c r="A7" s="9">
        <f>INDEX('Point Grid'!$C$8:$I$54,MATCH($A$1,'Point Grid'!$A$8:$A$54,0),MATCH(A6,'Point Grid'!$C$7:$I$7,0))</f>
        <v>0.25</v>
      </c>
      <c r="B7" s="17"/>
      <c r="C7" s="17"/>
      <c r="D7" s="17"/>
      <c r="E7" s="17"/>
      <c r="F7" s="17"/>
      <c r="G7" s="17"/>
      <c r="H7" s="17"/>
      <c r="I7" s="17"/>
      <c r="J7" s="17"/>
      <c r="K7" s="18"/>
      <c r="L7" s="31"/>
      <c r="M7" s="48"/>
      <c r="N7" s="48" t="s">
        <v>61</v>
      </c>
      <c r="O7" t="s">
        <v>968</v>
      </c>
      <c r="P7"/>
      <c r="Q7"/>
      <c r="R7"/>
      <c r="S7"/>
      <c r="T7"/>
      <c r="U7"/>
      <c r="V7"/>
      <c r="W7"/>
    </row>
    <row r="8" spans="1:23" ht="15.75" thickBot="1">
      <c r="A8" s="5"/>
      <c r="B8" s="17"/>
      <c r="C8" s="28"/>
      <c r="D8" s="28"/>
      <c r="E8" s="28"/>
      <c r="F8" s="28"/>
      <c r="G8" s="28"/>
      <c r="H8" s="28"/>
      <c r="I8" s="28"/>
      <c r="J8" s="28"/>
      <c r="K8" s="18"/>
      <c r="L8" s="31"/>
      <c r="M8"/>
      <c r="N8" s="37"/>
      <c r="O8"/>
      <c r="P8"/>
      <c r="Q8"/>
      <c r="R8"/>
      <c r="S8"/>
      <c r="T8"/>
      <c r="U8"/>
      <c r="V8"/>
      <c r="W8"/>
    </row>
    <row r="9" spans="1:23">
      <c r="A9" s="25"/>
      <c r="B9" s="17"/>
      <c r="C9" s="17"/>
      <c r="D9" s="17"/>
      <c r="E9" s="17"/>
      <c r="F9" s="17"/>
      <c r="G9" s="17"/>
      <c r="H9" s="17"/>
      <c r="I9" s="17"/>
      <c r="J9" s="17"/>
      <c r="K9" s="18"/>
      <c r="L9" s="31"/>
      <c r="M9" s="48"/>
      <c r="N9"/>
      <c r="O9"/>
      <c r="P9"/>
      <c r="Q9"/>
      <c r="R9"/>
      <c r="S9"/>
      <c r="T9"/>
      <c r="U9"/>
    </row>
    <row r="10" spans="1:23">
      <c r="A10" s="25" t="s">
        <v>3</v>
      </c>
      <c r="B10" s="275" t="s">
        <v>965</v>
      </c>
      <c r="C10" s="17"/>
      <c r="D10" s="17"/>
      <c r="E10" s="17"/>
      <c r="F10" s="17"/>
      <c r="G10" s="17"/>
      <c r="H10" s="17"/>
      <c r="I10" s="17"/>
      <c r="J10" s="17"/>
      <c r="K10" s="18"/>
      <c r="L10" s="31"/>
      <c r="M10" s="48" t="s">
        <v>4</v>
      </c>
      <c r="N10" s="415" t="s">
        <v>107</v>
      </c>
      <c r="O10" s="51" t="s">
        <v>390</v>
      </c>
      <c r="P10" s="416"/>
      <c r="Q10" s="277" t="s">
        <v>34</v>
      </c>
      <c r="R10" s="277" t="s">
        <v>391</v>
      </c>
      <c r="S10" s="277" t="s">
        <v>227</v>
      </c>
      <c r="T10" s="277" t="s">
        <v>392</v>
      </c>
      <c r="U10" s="108"/>
      <c r="V10" s="108"/>
      <c r="W10"/>
    </row>
    <row r="11" spans="1:23" ht="15.75" thickBot="1">
      <c r="A11" s="9">
        <f>INDEX('Point Grid'!$C$8:$I$54,MATCH($A$1,'Point Grid'!$A$8:$A$54,0),MATCH(A10,'Point Grid'!$C$7:$I$7,0))</f>
        <v>0.5</v>
      </c>
      <c r="B11" s="34" t="s">
        <v>962</v>
      </c>
      <c r="C11" s="17" t="s">
        <v>964</v>
      </c>
      <c r="D11" s="17"/>
      <c r="E11" s="17"/>
      <c r="F11" s="17"/>
      <c r="G11" s="17"/>
      <c r="H11" s="17"/>
      <c r="I11" s="17"/>
      <c r="J11" s="17"/>
      <c r="K11" s="18"/>
      <c r="L11" s="31"/>
      <c r="M11"/>
      <c r="N11" s="108"/>
      <c r="O11" s="277"/>
      <c r="P11" s="108"/>
      <c r="Q11" s="277" t="s">
        <v>34</v>
      </c>
      <c r="R11" s="54">
        <f>IF(F14=2024,D20,D22)</f>
        <v>0.65</v>
      </c>
      <c r="S11" s="277" t="s">
        <v>227</v>
      </c>
      <c r="T11" s="277">
        <f>IF(F14=2024,D19,D21)</f>
        <v>2000</v>
      </c>
      <c r="U11" s="108"/>
      <c r="V11" s="108"/>
      <c r="W11"/>
    </row>
    <row r="12" spans="1:23" ht="15.75" thickBot="1">
      <c r="A12" s="5"/>
      <c r="B12" s="34" t="s">
        <v>963</v>
      </c>
      <c r="C12" s="28" t="s">
        <v>966</v>
      </c>
      <c r="D12" s="28"/>
      <c r="E12" s="28"/>
      <c r="F12" s="28"/>
      <c r="G12" s="28"/>
      <c r="H12" s="28"/>
      <c r="I12" s="28"/>
      <c r="J12" s="28"/>
      <c r="K12" s="18"/>
      <c r="L12" s="31"/>
      <c r="M12"/>
      <c r="N12" s="108"/>
      <c r="O12" s="108"/>
      <c r="P12" s="108"/>
      <c r="Q12" s="277" t="s">
        <v>34</v>
      </c>
      <c r="R12" s="327">
        <f>R11*T11</f>
        <v>1300</v>
      </c>
      <c r="S12" s="277"/>
      <c r="T12" s="277"/>
      <c r="U12" s="108"/>
      <c r="V12" s="108"/>
      <c r="W12"/>
    </row>
    <row r="13" spans="1:23">
      <c r="A13" s="25"/>
      <c r="B13" s="17"/>
      <c r="C13" s="28"/>
      <c r="D13" s="28"/>
      <c r="E13" s="28"/>
      <c r="F13" s="28"/>
      <c r="G13" s="28"/>
      <c r="H13" s="28"/>
      <c r="I13" s="28"/>
      <c r="J13" s="28"/>
      <c r="K13" s="18"/>
      <c r="L13" s="31"/>
      <c r="M13" s="48"/>
      <c r="N13" s="108"/>
      <c r="O13" s="108"/>
      <c r="P13" s="108"/>
      <c r="Q13" s="108"/>
      <c r="R13" s="108"/>
      <c r="S13" s="108"/>
      <c r="T13" s="108"/>
      <c r="U13" s="108"/>
      <c r="V13" s="108"/>
      <c r="W13"/>
    </row>
    <row r="14" spans="1:23">
      <c r="A14" s="25" t="s">
        <v>4</v>
      </c>
      <c r="B14" s="190" t="s">
        <v>393</v>
      </c>
      <c r="C14" s="190"/>
      <c r="D14" s="354" t="s">
        <v>373</v>
      </c>
      <c r="E14" s="281" t="s">
        <v>394</v>
      </c>
      <c r="F14" s="870">
        <v>2024</v>
      </c>
      <c r="G14" s="190" t="s">
        <v>395</v>
      </c>
      <c r="H14" s="190"/>
      <c r="I14" s="190"/>
      <c r="J14" s="190"/>
      <c r="K14" s="18"/>
      <c r="L14" s="31"/>
      <c r="M14"/>
      <c r="N14" s="417" t="s">
        <v>301</v>
      </c>
      <c r="O14" t="s">
        <v>396</v>
      </c>
      <c r="P14"/>
      <c r="Q14" s="418">
        <f>IF(F14=2024,I22,I19)</f>
        <v>1.4</v>
      </c>
      <c r="R14" s="355" t="str">
        <f>" (" &amp; IF(F14=2024,G22&amp;" "&amp;H22,G19&amp;" "&amp;H19) &amp;")"</f>
        <v xml:space="preserve"> (paid CDF for  24-ult)</v>
      </c>
      <c r="S14"/>
      <c r="T14"/>
      <c r="U14"/>
      <c r="V14"/>
      <c r="W14"/>
    </row>
    <row r="15" spans="1:23" ht="15.75" thickBot="1">
      <c r="A15" s="9">
        <f>INDEX('Point Grid'!$C$8:$I$54,MATCH($A$1,'Point Grid'!$A$8:$A$54,0),MATCH(A14,'Point Grid'!$C$7:$I$7,0))</f>
        <v>1</v>
      </c>
      <c r="B15" s="190"/>
      <c r="C15" s="190"/>
      <c r="D15" s="190"/>
      <c r="E15" s="190"/>
      <c r="F15" s="190"/>
      <c r="G15" s="190"/>
      <c r="H15" s="190"/>
      <c r="I15" s="190"/>
      <c r="J15" s="190"/>
      <c r="K15" s="18"/>
      <c r="L15" s="31"/>
      <c r="M15"/>
      <c r="N15"/>
      <c r="O15"/>
      <c r="P15"/>
      <c r="Q15"/>
      <c r="R15"/>
      <c r="S15"/>
      <c r="T15"/>
      <c r="U15"/>
      <c r="V15"/>
      <c r="W15"/>
    </row>
    <row r="16" spans="1:23" ht="15.75" thickBot="1">
      <c r="A16" s="5"/>
      <c r="B16" s="190"/>
      <c r="C16" s="190"/>
      <c r="D16" s="190"/>
      <c r="E16" s="190"/>
      <c r="F16" s="190"/>
      <c r="G16" s="190"/>
      <c r="H16" s="190"/>
      <c r="I16" s="190"/>
      <c r="J16" s="190"/>
      <c r="K16" s="18"/>
      <c r="L16" s="31"/>
      <c r="M16" s="48"/>
      <c r="N16"/>
      <c r="O16"/>
      <c r="P16"/>
      <c r="Q16"/>
      <c r="R16"/>
      <c r="S16"/>
      <c r="T16"/>
      <c r="U16"/>
      <c r="V16"/>
      <c r="W16"/>
    </row>
    <row r="17" spans="1:35">
      <c r="A17" s="22"/>
      <c r="B17" s="71" t="s">
        <v>397</v>
      </c>
      <c r="C17" s="71"/>
      <c r="D17" s="71"/>
      <c r="E17" s="71"/>
      <c r="F17" s="421"/>
      <c r="G17" s="422" t="s">
        <v>398</v>
      </c>
      <c r="H17" s="423" t="s">
        <v>399</v>
      </c>
      <c r="I17" s="424">
        <v>800</v>
      </c>
      <c r="J17" s="190"/>
      <c r="K17" s="18"/>
      <c r="L17" s="31"/>
      <c r="M17"/>
      <c r="N17"/>
      <c r="O17"/>
      <c r="P17"/>
      <c r="Q17"/>
      <c r="R17"/>
      <c r="S17"/>
      <c r="T17"/>
      <c r="U17"/>
      <c r="V17"/>
      <c r="W17"/>
    </row>
    <row r="18" spans="1:35" ht="15" customHeight="1">
      <c r="A18" s="22"/>
      <c r="B18" s="71"/>
      <c r="C18" s="71"/>
      <c r="D18" s="71"/>
      <c r="E18" s="71"/>
      <c r="F18" s="425"/>
      <c r="G18" s="426" t="s">
        <v>400</v>
      </c>
      <c r="H18" s="427" t="s">
        <v>399</v>
      </c>
      <c r="I18" s="428">
        <v>1000</v>
      </c>
      <c r="J18" s="429"/>
      <c r="K18" s="18"/>
      <c r="L18" s="31"/>
      <c r="M18"/>
      <c r="N18" s="417" t="s">
        <v>403</v>
      </c>
      <c r="O18" s="51" t="str">
        <f>IF(LEFT(G19,1)="p","  paid BF ultimate","  reported BF ultimate")</f>
        <v xml:space="preserve">  paid BF ultimate</v>
      </c>
      <c r="P18" s="416"/>
      <c r="Q18" s="277"/>
      <c r="R18" s="108"/>
      <c r="S18" s="108"/>
      <c r="T18" s="108"/>
      <c r="U18" s="108"/>
      <c r="V18" s="108"/>
      <c r="W18"/>
    </row>
    <row r="19" spans="1:35" ht="15" customHeight="1">
      <c r="A19" s="22"/>
      <c r="B19" s="430" t="s">
        <v>401</v>
      </c>
      <c r="C19" s="431">
        <v>2024</v>
      </c>
      <c r="D19" s="432">
        <v>2000</v>
      </c>
      <c r="E19" s="71"/>
      <c r="F19" s="433"/>
      <c r="G19" s="434" t="s">
        <v>415</v>
      </c>
      <c r="H19" s="435" t="s">
        <v>402</v>
      </c>
      <c r="I19" s="436">
        <v>1.7</v>
      </c>
      <c r="J19" s="71"/>
      <c r="K19" s="18"/>
      <c r="L19" s="31"/>
      <c r="M19"/>
      <c r="N19" s="108"/>
      <c r="O19" s="108"/>
      <c r="P19" s="277" t="s">
        <v>34</v>
      </c>
      <c r="Q19" s="51" t="str">
        <f>IF(LEFT(G19,1)="p","paid loss","rptd loss") &amp; IF(F14=2024," @ 24 mths"," @ 12 mths")</f>
        <v>paid loss @ 24 mths</v>
      </c>
      <c r="R19" s="108"/>
      <c r="S19" s="277" t="s">
        <v>35</v>
      </c>
      <c r="T19" s="347" t="s">
        <v>406</v>
      </c>
      <c r="U19" s="277" t="s">
        <v>227</v>
      </c>
      <c r="V19" s="108" t="s">
        <v>407</v>
      </c>
      <c r="W19"/>
    </row>
    <row r="20" spans="1:35" ht="15" customHeight="1">
      <c r="A20" s="22"/>
      <c r="B20" s="437" t="s">
        <v>404</v>
      </c>
      <c r="C20" s="438">
        <v>2024</v>
      </c>
      <c r="D20" s="315">
        <v>0.65</v>
      </c>
      <c r="E20" s="190"/>
      <c r="F20" s="439"/>
      <c r="G20" s="426" t="s">
        <v>398</v>
      </c>
      <c r="H20" s="427" t="s">
        <v>405</v>
      </c>
      <c r="I20" s="428">
        <v>950</v>
      </c>
      <c r="J20" s="190"/>
      <c r="K20" s="18"/>
      <c r="L20" s="31"/>
      <c r="M20"/>
      <c r="N20" s="108"/>
      <c r="O20" s="108"/>
      <c r="P20" s="277" t="s">
        <v>34</v>
      </c>
      <c r="Q20" s="277">
        <f>IF(F14=2024,IF(LEFT(G19,1)="p",I20,I21),IF(LEFT(G19,1)="p",I17,I18))</f>
        <v>950</v>
      </c>
      <c r="R20" s="108"/>
      <c r="S20" s="277" t="s">
        <v>35</v>
      </c>
      <c r="T20" s="419">
        <f>1-1/IF(F14=2024,I22,I19)</f>
        <v>0.2857142857142857</v>
      </c>
      <c r="U20" s="277" t="s">
        <v>227</v>
      </c>
      <c r="V20" s="108">
        <f>R12</f>
        <v>1300</v>
      </c>
      <c r="W20"/>
    </row>
    <row r="21" spans="1:35" ht="15" customHeight="1">
      <c r="A21" s="22"/>
      <c r="B21" s="430" t="s">
        <v>401</v>
      </c>
      <c r="C21" s="431">
        <v>2025</v>
      </c>
      <c r="D21" s="432">
        <v>1200</v>
      </c>
      <c r="E21" s="190"/>
      <c r="F21" s="425"/>
      <c r="G21" s="426" t="s">
        <v>400</v>
      </c>
      <c r="H21" s="427" t="s">
        <v>405</v>
      </c>
      <c r="I21" s="428">
        <v>1550</v>
      </c>
      <c r="J21" s="190"/>
      <c r="K21" s="18"/>
      <c r="L21" s="31"/>
      <c r="M21"/>
      <c r="N21" s="108"/>
      <c r="O21" s="108"/>
      <c r="P21" s="277" t="s">
        <v>34</v>
      </c>
      <c r="Q21" s="327">
        <f>Q20+T20*V20</f>
        <v>1321.4285714285713</v>
      </c>
      <c r="R21" s="108"/>
      <c r="S21" s="108"/>
      <c r="T21" s="108"/>
      <c r="U21" s="108"/>
      <c r="V21" s="108"/>
      <c r="W21"/>
    </row>
    <row r="22" spans="1:35" ht="15" customHeight="1">
      <c r="A22" s="22"/>
      <c r="B22" s="437" t="s">
        <v>404</v>
      </c>
      <c r="C22" s="438">
        <v>2025</v>
      </c>
      <c r="D22" s="315">
        <v>0.8</v>
      </c>
      <c r="E22" s="190"/>
      <c r="F22" s="433"/>
      <c r="G22" s="434" t="s">
        <v>415</v>
      </c>
      <c r="H22" s="435" t="s">
        <v>408</v>
      </c>
      <c r="I22" s="436">
        <v>1.4</v>
      </c>
      <c r="J22" s="190"/>
      <c r="K22" s="18"/>
      <c r="L22" s="31"/>
      <c r="M22"/>
      <c r="N22" s="108"/>
      <c r="O22" s="108"/>
      <c r="P22" s="108"/>
      <c r="Q22" s="108"/>
      <c r="R22" s="108"/>
      <c r="S22" s="108"/>
      <c r="T22" s="108"/>
      <c r="U22" s="108"/>
      <c r="V22" s="108"/>
      <c r="W22"/>
    </row>
    <row r="23" spans="1:35" ht="15" customHeight="1">
      <c r="A23" s="22"/>
      <c r="B23" s="17"/>
      <c r="C23" s="17"/>
      <c r="D23" s="17"/>
      <c r="E23" s="17"/>
      <c r="F23" s="17"/>
      <c r="G23" s="17"/>
      <c r="H23" s="17"/>
      <c r="I23" s="17"/>
      <c r="J23" s="17"/>
      <c r="K23" s="18"/>
      <c r="L23" s="31"/>
      <c r="M23"/>
      <c r="N23" s="239" t="s">
        <v>409</v>
      </c>
      <c r="O23" s="277" t="str">
        <f>D14</f>
        <v>ultimate</v>
      </c>
      <c r="P23" s="277" t="str">
        <f>E14</f>
        <v>for AY</v>
      </c>
      <c r="Q23" s="420">
        <f>F14</f>
        <v>2024</v>
      </c>
      <c r="R23" s="277" t="s">
        <v>34</v>
      </c>
      <c r="S23" s="239">
        <f>IF(D14="ultimate",Q21,IF(D14="unpaid",Q21-IF(F14=2024,I20,I17),Q21-IF(F14=2024,I21,I18)))</f>
        <v>1321.4285714285713</v>
      </c>
      <c r="T23" s="108"/>
      <c r="U23" s="108"/>
      <c r="V23" s="108"/>
      <c r="W23"/>
    </row>
    <row r="24" spans="1:35" ht="15" customHeight="1">
      <c r="A24" s="22"/>
      <c r="B24" s="17"/>
      <c r="C24" s="17"/>
      <c r="D24" s="17"/>
      <c r="E24" s="17"/>
      <c r="F24" s="17"/>
      <c r="G24" s="17"/>
      <c r="H24" s="17"/>
      <c r="I24" s="17"/>
      <c r="J24" s="17"/>
      <c r="K24" s="18"/>
      <c r="L24" s="31"/>
      <c r="M24"/>
      <c r="N24" s="239" t="s">
        <v>410</v>
      </c>
      <c r="O24" s="108"/>
      <c r="P24" s="108"/>
      <c r="Q24" s="108"/>
      <c r="R24" s="108"/>
      <c r="S24" s="108"/>
      <c r="T24" s="108"/>
      <c r="U24" s="108"/>
      <c r="V24" s="108"/>
      <c r="W24"/>
    </row>
    <row r="25" spans="1:35" ht="15" customHeight="1">
      <c r="A25" s="22"/>
      <c r="B25" s="17"/>
      <c r="C25" s="17"/>
      <c r="D25" s="17"/>
      <c r="E25" s="17"/>
      <c r="F25" s="17"/>
      <c r="G25" s="17"/>
      <c r="H25" s="17"/>
      <c r="I25" s="17"/>
      <c r="J25" s="17"/>
      <c r="K25" s="18"/>
      <c r="L25" s="31"/>
      <c r="M25"/>
      <c r="N25" s="108"/>
      <c r="O25" s="108"/>
      <c r="P25" s="108"/>
      <c r="Q25" s="108"/>
      <c r="R25" s="108"/>
      <c r="S25" s="108"/>
      <c r="T25" s="108"/>
      <c r="U25" s="108"/>
      <c r="V25" s="108"/>
      <c r="W25"/>
    </row>
    <row r="26" spans="1:35" ht="15" customHeight="1">
      <c r="A26" s="22"/>
      <c r="B26" s="17"/>
      <c r="C26" s="17"/>
      <c r="D26" s="17"/>
      <c r="E26" s="17"/>
      <c r="F26" s="17"/>
      <c r="G26" s="17"/>
      <c r="H26" s="17"/>
      <c r="I26" s="17"/>
      <c r="J26" s="17"/>
      <c r="K26" s="18"/>
      <c r="L26" s="31"/>
      <c r="M26"/>
      <c r="N26" s="108"/>
      <c r="O26" s="108" t="s">
        <v>411</v>
      </c>
      <c r="P26" s="108"/>
      <c r="Q26" s="108"/>
      <c r="R26" s="108"/>
      <c r="S26" s="108"/>
      <c r="T26" s="108"/>
      <c r="U26" s="108"/>
      <c r="V26" s="108"/>
      <c r="W26"/>
    </row>
    <row r="27" spans="1:35" ht="15" customHeight="1">
      <c r="A27" s="22"/>
      <c r="B27" s="17"/>
      <c r="C27" s="17"/>
      <c r="D27" s="17"/>
      <c r="E27" s="17"/>
      <c r="F27" s="17"/>
      <c r="G27" s="17"/>
      <c r="H27" s="17"/>
      <c r="I27" s="17"/>
      <c r="J27" s="17"/>
      <c r="K27" s="18"/>
      <c r="L27" s="31"/>
      <c r="M27"/>
      <c r="N27" s="108"/>
      <c r="O27" s="108" t="s">
        <v>412</v>
      </c>
      <c r="P27" s="277" t="s">
        <v>34</v>
      </c>
      <c r="Q27" s="277" t="s">
        <v>373</v>
      </c>
      <c r="R27" s="347" t="s">
        <v>119</v>
      </c>
      <c r="S27" s="277" t="s">
        <v>413</v>
      </c>
      <c r="T27" s="108"/>
      <c r="U27" s="108"/>
      <c r="V27" s="108"/>
      <c r="W27"/>
    </row>
    <row r="28" spans="1:35" ht="15" customHeight="1">
      <c r="A28" s="22"/>
      <c r="B28" s="17"/>
      <c r="C28" s="17"/>
      <c r="D28" s="17"/>
      <c r="E28" s="17"/>
      <c r="F28" s="17"/>
      <c r="G28" s="17"/>
      <c r="H28" s="17"/>
      <c r="I28" s="17"/>
      <c r="J28" s="17"/>
      <c r="K28" s="18"/>
      <c r="L28" s="31"/>
      <c r="M28"/>
      <c r="N28" s="108"/>
      <c r="O28" s="108" t="s">
        <v>414</v>
      </c>
      <c r="P28" s="277" t="s">
        <v>34</v>
      </c>
      <c r="Q28" s="277" t="s">
        <v>373</v>
      </c>
      <c r="R28" s="347" t="s">
        <v>119</v>
      </c>
      <c r="S28" s="277" t="s">
        <v>90</v>
      </c>
      <c r="T28" s="108"/>
      <c r="U28" s="108"/>
      <c r="V28" s="108"/>
      <c r="W28"/>
    </row>
    <row r="29" spans="1:35" ht="15" customHeight="1">
      <c r="A29" s="22"/>
      <c r="B29" s="17"/>
      <c r="C29" s="17"/>
      <c r="D29" s="17"/>
      <c r="E29" s="17"/>
      <c r="F29" s="17"/>
      <c r="G29" s="17"/>
      <c r="H29" s="17"/>
      <c r="I29" s="17"/>
      <c r="J29" s="17"/>
      <c r="K29" s="18"/>
      <c r="L29" s="31"/>
      <c r="M29"/>
      <c r="N29" s="108"/>
      <c r="O29" s="108"/>
      <c r="P29" s="108"/>
      <c r="Q29" s="108"/>
      <c r="R29" s="108"/>
      <c r="S29" s="108"/>
      <c r="T29" s="108"/>
      <c r="U29" s="108"/>
      <c r="V29" s="108"/>
      <c r="W29" s="108"/>
      <c r="X29" s="108"/>
      <c r="Y29" s="153" t="s">
        <v>151</v>
      </c>
      <c r="AI29" s="108"/>
    </row>
    <row r="30" spans="1:35" ht="15" customHeight="1" thickBot="1">
      <c r="A30" s="24"/>
      <c r="B30" s="32"/>
      <c r="C30" s="32"/>
      <c r="D30" s="32"/>
      <c r="E30" s="32"/>
      <c r="F30" s="32"/>
      <c r="G30" s="32"/>
      <c r="H30" s="32"/>
      <c r="I30" s="32"/>
      <c r="J30" s="32"/>
      <c r="K30" s="33"/>
      <c r="L30" s="31"/>
      <c r="M30"/>
      <c r="N30" s="108"/>
      <c r="O30" s="108"/>
      <c r="P30" s="108"/>
      <c r="Q30" s="108"/>
      <c r="R30" s="108"/>
      <c r="S30" s="108"/>
      <c r="T30" s="108"/>
      <c r="U30" s="108"/>
      <c r="V30" s="108"/>
      <c r="W30" s="108"/>
      <c r="X30" s="108"/>
      <c r="Y30" s="153" t="s">
        <v>151</v>
      </c>
      <c r="AI30" s="108"/>
    </row>
    <row r="31" spans="1:35" ht="15" customHeight="1">
      <c r="B31" s="31"/>
      <c r="C31" s="31"/>
      <c r="D31" s="31"/>
      <c r="E31" s="31"/>
      <c r="F31" s="31"/>
      <c r="G31" s="31"/>
      <c r="H31" s="31"/>
      <c r="I31" s="31"/>
      <c r="J31" s="31"/>
      <c r="K31" s="31"/>
      <c r="L31" s="31"/>
      <c r="M31"/>
      <c r="N31" s="108"/>
      <c r="O31" s="108"/>
      <c r="P31" s="108"/>
      <c r="Q31" s="108"/>
      <c r="R31" s="108"/>
      <c r="S31" s="108"/>
      <c r="T31" s="108"/>
      <c r="U31" s="108"/>
      <c r="V31" s="108"/>
      <c r="W31" s="108"/>
      <c r="X31" s="108"/>
      <c r="Y31" s="153" t="s">
        <v>151</v>
      </c>
      <c r="AI31" s="108"/>
    </row>
    <row r="32" spans="1:35" ht="15" customHeight="1">
      <c r="L32" s="31"/>
      <c r="M32"/>
      <c r="W32" s="108"/>
      <c r="X32" s="108"/>
      <c r="Y32" s="153" t="s">
        <v>151</v>
      </c>
      <c r="AI32" s="108"/>
    </row>
    <row r="33" spans="2:35" ht="15" customHeight="1">
      <c r="L33" s="31"/>
      <c r="M33" s="48"/>
      <c r="W33" s="108"/>
      <c r="X33" s="108"/>
      <c r="Y33" s="153" t="s">
        <v>151</v>
      </c>
      <c r="AI33"/>
    </row>
    <row r="34" spans="2:35" ht="15" customHeight="1">
      <c r="L34" s="31"/>
      <c r="M34"/>
      <c r="W34" s="108"/>
      <c r="X34" s="108"/>
      <c r="Y34" s="153" t="s">
        <v>151</v>
      </c>
      <c r="AI34"/>
    </row>
    <row r="35" spans="2:35" ht="15" customHeight="1">
      <c r="L35" s="31"/>
      <c r="M35" s="48"/>
      <c r="W35" s="108"/>
      <c r="X35" s="108"/>
      <c r="Y35" s="153" t="s">
        <v>151</v>
      </c>
      <c r="AI35"/>
    </row>
    <row r="36" spans="2:35" ht="15" customHeight="1">
      <c r="L36" s="31"/>
      <c r="M36"/>
      <c r="W36" s="90"/>
      <c r="X36" s="90"/>
      <c r="Y36" s="153" t="s">
        <v>151</v>
      </c>
      <c r="AI36"/>
    </row>
    <row r="37" spans="2:35" ht="15" customHeight="1">
      <c r="L37" s="31"/>
      <c r="M37"/>
      <c r="W37"/>
      <c r="X37"/>
      <c r="Y37" s="153" t="s">
        <v>151</v>
      </c>
      <c r="AI37" s="108"/>
    </row>
    <row r="38" spans="2:35" ht="15" customHeight="1">
      <c r="L38" s="31"/>
      <c r="M38"/>
      <c r="W38" s="108"/>
      <c r="X38" s="108"/>
      <c r="Y38" s="153" t="s">
        <v>151</v>
      </c>
      <c r="AI38" s="108"/>
    </row>
    <row r="39" spans="2:35" ht="15" customHeight="1">
      <c r="L39" s="31"/>
      <c r="M39"/>
      <c r="W39" s="108"/>
      <c r="X39" s="108"/>
      <c r="Y39" s="153" t="s">
        <v>151</v>
      </c>
      <c r="AI39" s="108"/>
    </row>
    <row r="40" spans="2:35" ht="15" customHeight="1">
      <c r="L40" s="31"/>
      <c r="M40"/>
      <c r="W40" s="108"/>
      <c r="X40" s="108"/>
      <c r="Y40" s="153" t="s">
        <v>151</v>
      </c>
      <c r="AI40" s="108"/>
    </row>
    <row r="41" spans="2:35" ht="15" customHeight="1">
      <c r="L41" s="31"/>
      <c r="M41"/>
      <c r="N41" s="108"/>
      <c r="O41" s="108"/>
      <c r="P41" s="108"/>
      <c r="Q41" s="108"/>
      <c r="R41" s="108"/>
      <c r="S41" s="108"/>
      <c r="T41" s="108"/>
      <c r="U41" s="108"/>
      <c r="V41" s="108"/>
      <c r="W41" s="108"/>
      <c r="X41" s="108"/>
      <c r="Y41" s="153" t="s">
        <v>151</v>
      </c>
      <c r="AI41" s="108"/>
    </row>
    <row r="42" spans="2:35" ht="15" customHeight="1">
      <c r="L42" s="31"/>
      <c r="M42"/>
      <c r="N42" s="108"/>
      <c r="O42" s="108"/>
      <c r="P42" s="108"/>
      <c r="Q42" s="108"/>
      <c r="R42" s="108"/>
      <c r="S42" s="108"/>
      <c r="T42" s="108"/>
      <c r="U42" s="108"/>
      <c r="V42" s="108"/>
      <c r="W42" s="108"/>
      <c r="X42" s="108"/>
      <c r="Y42" s="153" t="s">
        <v>151</v>
      </c>
      <c r="AI42" s="108"/>
    </row>
    <row r="43" spans="2:35" ht="15" customHeight="1">
      <c r="L43" s="31"/>
      <c r="M43"/>
      <c r="N43" s="108"/>
      <c r="O43" s="108"/>
      <c r="P43" s="108"/>
      <c r="Q43" s="108"/>
      <c r="R43" s="108"/>
      <c r="S43" s="108"/>
      <c r="T43" s="108"/>
      <c r="U43" s="108"/>
      <c r="V43" s="108"/>
      <c r="W43" s="108"/>
      <c r="X43" s="108"/>
      <c r="Y43" s="153" t="s">
        <v>151</v>
      </c>
      <c r="AI43" s="108"/>
    </row>
    <row r="44" spans="2:35" ht="15" customHeight="1">
      <c r="L44" s="31"/>
      <c r="M44"/>
      <c r="N44" s="108"/>
      <c r="O44" s="108"/>
      <c r="P44" s="108"/>
      <c r="Q44" s="108"/>
      <c r="R44" s="108"/>
      <c r="S44" s="108"/>
      <c r="T44" s="108"/>
      <c r="U44" s="108"/>
      <c r="V44" s="108"/>
      <c r="W44" s="108"/>
      <c r="X44" s="108"/>
      <c r="Y44" s="153" t="s">
        <v>151</v>
      </c>
      <c r="AI44" s="108"/>
    </row>
    <row r="45" spans="2:35" ht="15" customHeight="1">
      <c r="L45" s="31"/>
      <c r="M45"/>
      <c r="N45" s="108"/>
      <c r="O45" s="108"/>
      <c r="P45" s="108"/>
      <c r="Q45" s="108"/>
      <c r="R45" s="108"/>
      <c r="S45" s="108"/>
      <c r="T45" s="108"/>
      <c r="U45" s="108"/>
      <c r="V45" s="108"/>
      <c r="W45" s="108"/>
      <c r="X45" s="108"/>
      <c r="Y45" s="153" t="s">
        <v>151</v>
      </c>
      <c r="AI45" s="108"/>
    </row>
    <row r="46" spans="2:35" ht="15" customHeight="1">
      <c r="B46" s="31"/>
      <c r="C46" s="31"/>
      <c r="D46" s="31"/>
      <c r="E46" s="31"/>
      <c r="F46" s="31"/>
      <c r="G46" s="31"/>
      <c r="H46" s="31"/>
      <c r="I46" s="31"/>
      <c r="J46" s="31"/>
      <c r="K46" s="31"/>
      <c r="L46" s="31"/>
      <c r="M46"/>
      <c r="N46" s="108"/>
      <c r="O46" s="108"/>
      <c r="P46" s="108"/>
      <c r="Q46" s="108"/>
      <c r="R46" s="108"/>
      <c r="S46" s="108"/>
      <c r="T46" s="108"/>
      <c r="U46" s="108"/>
      <c r="V46" s="108"/>
      <c r="W46" s="108"/>
      <c r="X46" s="108"/>
      <c r="Y46" s="153" t="s">
        <v>151</v>
      </c>
      <c r="AI46" s="108"/>
    </row>
    <row r="47" spans="2:35" ht="15" customHeight="1">
      <c r="B47" s="31"/>
      <c r="C47" s="31"/>
      <c r="D47" s="31"/>
      <c r="E47" s="31"/>
      <c r="F47" s="31"/>
      <c r="G47" s="31"/>
      <c r="H47" s="31"/>
      <c r="I47" s="31"/>
      <c r="J47" s="31"/>
      <c r="K47" s="31"/>
      <c r="L47" s="31"/>
      <c r="M47"/>
      <c r="N47" s="108"/>
      <c r="O47" s="108"/>
      <c r="P47" s="108"/>
      <c r="Q47" s="108"/>
      <c r="R47" s="108"/>
      <c r="S47" s="108"/>
      <c r="T47" s="108"/>
      <c r="U47" s="108"/>
      <c r="V47" s="108"/>
      <c r="W47" s="108"/>
      <c r="X47" s="108"/>
      <c r="Y47" s="153" t="s">
        <v>151</v>
      </c>
      <c r="AI47" s="108"/>
    </row>
    <row r="48" spans="2:35" ht="15" customHeight="1">
      <c r="B48" s="31"/>
      <c r="C48" s="31"/>
      <c r="D48" s="31"/>
      <c r="E48" s="31"/>
      <c r="F48" s="31"/>
      <c r="G48" s="31"/>
      <c r="H48" s="31"/>
      <c r="I48" s="31"/>
      <c r="J48" s="31"/>
      <c r="K48" s="31"/>
      <c r="L48" s="31"/>
      <c r="M48"/>
      <c r="N48" s="108"/>
      <c r="O48" s="108"/>
      <c r="P48" s="108"/>
      <c r="Q48" s="108"/>
      <c r="R48" s="108"/>
      <c r="S48" s="108"/>
      <c r="T48" s="108"/>
      <c r="U48" s="108"/>
      <c r="V48" s="108"/>
      <c r="W48" s="108"/>
      <c r="X48" s="108"/>
      <c r="Y48" s="153" t="s">
        <v>151</v>
      </c>
      <c r="Z48" s="108"/>
      <c r="AA48" s="108"/>
      <c r="AB48" s="108"/>
      <c r="AC48" s="108"/>
      <c r="AD48" s="108"/>
      <c r="AE48" s="108"/>
      <c r="AF48" s="108"/>
      <c r="AG48" s="108"/>
      <c r="AH48" s="108"/>
      <c r="AI48" s="108"/>
    </row>
    <row r="49" spans="2:23" ht="15" customHeight="1">
      <c r="B49" s="31"/>
      <c r="C49" s="31"/>
      <c r="D49" s="31"/>
      <c r="E49" s="31"/>
      <c r="F49" s="31"/>
      <c r="G49" s="31"/>
      <c r="H49" s="31"/>
      <c r="I49" s="31"/>
      <c r="J49" s="31"/>
      <c r="K49" s="31"/>
      <c r="L49" s="31"/>
      <c r="M49"/>
      <c r="N49"/>
      <c r="O49"/>
      <c r="P49"/>
      <c r="Q49"/>
      <c r="R49"/>
      <c r="S49"/>
      <c r="T49"/>
      <c r="U49"/>
      <c r="V49"/>
      <c r="W49"/>
    </row>
    <row r="50" spans="2:23" ht="15" customHeight="1">
      <c r="B50" s="31"/>
      <c r="C50" s="31"/>
      <c r="D50" s="31"/>
      <c r="E50" s="31"/>
      <c r="F50" s="31"/>
      <c r="G50" s="31"/>
      <c r="H50" s="31"/>
      <c r="I50" s="31"/>
      <c r="J50" s="31"/>
      <c r="K50" s="31"/>
      <c r="L50" s="31"/>
      <c r="M50"/>
      <c r="N50"/>
      <c r="O50"/>
      <c r="P50"/>
      <c r="Q50"/>
      <c r="R50"/>
      <c r="S50"/>
      <c r="T50"/>
      <c r="U50"/>
      <c r="V50"/>
      <c r="W50"/>
    </row>
    <row r="51" spans="2:23" ht="15" customHeight="1">
      <c r="B51" s="31"/>
      <c r="C51" s="31"/>
      <c r="D51" s="31"/>
      <c r="E51" s="31"/>
      <c r="F51" s="31"/>
      <c r="G51" s="31"/>
      <c r="H51" s="31"/>
      <c r="I51" s="31"/>
      <c r="J51" s="31"/>
      <c r="K51" s="31"/>
      <c r="L51" s="31"/>
    </row>
    <row r="52" spans="2:23" ht="15" customHeight="1">
      <c r="B52" s="31"/>
      <c r="C52" s="31"/>
      <c r="D52" s="31"/>
      <c r="E52" s="31"/>
      <c r="F52" s="31"/>
      <c r="G52" s="31"/>
      <c r="H52" s="31"/>
      <c r="I52" s="31"/>
      <c r="J52" s="31"/>
      <c r="K52" s="31"/>
      <c r="L52" s="31"/>
    </row>
    <row r="53" spans="2:23" ht="15" customHeight="1">
      <c r="B53" s="31"/>
      <c r="C53" s="31"/>
      <c r="D53" s="31"/>
      <c r="E53" s="31"/>
      <c r="F53" s="31"/>
      <c r="G53" s="31"/>
      <c r="H53" s="31"/>
      <c r="I53" s="31"/>
      <c r="J53" s="31"/>
      <c r="K53" s="31"/>
      <c r="L53" s="31"/>
    </row>
    <row r="54" spans="2:23" ht="15" customHeight="1">
      <c r="B54" s="31"/>
      <c r="C54" s="31"/>
      <c r="D54" s="31"/>
      <c r="E54" s="31"/>
      <c r="F54" s="31"/>
      <c r="G54" s="31"/>
      <c r="H54" s="31"/>
      <c r="I54" s="31"/>
      <c r="J54" s="31"/>
      <c r="K54" s="31"/>
      <c r="L54" s="31"/>
    </row>
    <row r="55" spans="2:23" ht="15" customHeight="1">
      <c r="B55" s="31"/>
      <c r="C55" s="31"/>
      <c r="D55" s="31"/>
      <c r="E55" s="31"/>
      <c r="F55" s="31"/>
      <c r="G55" s="31"/>
      <c r="H55" s="31"/>
      <c r="I55" s="31"/>
      <c r="J55" s="31"/>
      <c r="K55" s="31"/>
      <c r="L55" s="31"/>
    </row>
    <row r="56" spans="2:23" ht="15" customHeight="1">
      <c r="B56" s="31"/>
      <c r="C56" s="31"/>
      <c r="D56" s="31"/>
      <c r="E56" s="31"/>
      <c r="F56" s="31"/>
      <c r="G56" s="31"/>
      <c r="H56" s="31"/>
      <c r="I56" s="31"/>
      <c r="J56" s="31"/>
      <c r="K56" s="31"/>
      <c r="L56" s="31"/>
    </row>
    <row r="57" spans="2:23" ht="15" customHeight="1">
      <c r="B57" s="31"/>
      <c r="C57" s="31"/>
      <c r="D57" s="31"/>
      <c r="E57" s="31"/>
      <c r="F57" s="31"/>
      <c r="G57" s="31"/>
      <c r="H57" s="31"/>
      <c r="I57" s="31"/>
      <c r="J57" s="31"/>
      <c r="K57" s="31"/>
      <c r="L57" s="31"/>
    </row>
    <row r="58" spans="2:23" ht="15" customHeight="1">
      <c r="B58" s="31"/>
      <c r="C58" s="31"/>
      <c r="D58" s="31"/>
      <c r="E58" s="31"/>
      <c r="F58" s="31"/>
      <c r="G58" s="31"/>
      <c r="H58" s="31"/>
      <c r="I58" s="31"/>
      <c r="J58" s="31"/>
      <c r="K58" s="31"/>
      <c r="L58" s="31"/>
    </row>
    <row r="59" spans="2:23" ht="15" customHeight="1">
      <c r="B59" s="31"/>
      <c r="C59" s="31"/>
      <c r="D59" s="31"/>
      <c r="E59" s="31"/>
      <c r="F59" s="31"/>
      <c r="G59" s="31"/>
      <c r="H59" s="31"/>
      <c r="I59" s="31"/>
      <c r="J59" s="31"/>
      <c r="K59" s="31"/>
      <c r="L59" s="31"/>
    </row>
    <row r="60" spans="2:23" ht="15" customHeight="1">
      <c r="B60" s="31"/>
      <c r="C60" s="31"/>
      <c r="D60" s="31"/>
      <c r="E60" s="31"/>
      <c r="F60" s="31"/>
      <c r="G60" s="31"/>
      <c r="H60" s="31"/>
      <c r="I60" s="31"/>
      <c r="J60" s="31"/>
      <c r="K60" s="31"/>
      <c r="L60" s="31"/>
    </row>
    <row r="61" spans="2:23" ht="15" customHeight="1">
      <c r="B61" s="31"/>
      <c r="C61" s="31"/>
      <c r="D61" s="31"/>
      <c r="E61" s="31"/>
      <c r="F61" s="31"/>
      <c r="G61" s="31"/>
      <c r="H61" s="31"/>
      <c r="I61" s="31"/>
      <c r="J61" s="31"/>
      <c r="K61" s="31"/>
      <c r="L61" s="31"/>
    </row>
    <row r="62" spans="2:23" ht="15" customHeight="1">
      <c r="B62" s="31"/>
      <c r="C62" s="31"/>
      <c r="D62" s="31"/>
      <c r="E62" s="31"/>
      <c r="F62" s="31"/>
      <c r="G62" s="31"/>
      <c r="H62" s="31"/>
      <c r="I62" s="31"/>
      <c r="J62" s="31"/>
      <c r="K62" s="31"/>
      <c r="L62" s="31"/>
    </row>
    <row r="63" spans="2:23" ht="15" customHeight="1">
      <c r="B63" s="31"/>
      <c r="C63" s="31"/>
      <c r="D63" s="31"/>
      <c r="E63" s="31"/>
      <c r="F63" s="31"/>
      <c r="G63" s="31"/>
      <c r="H63" s="31"/>
      <c r="I63" s="31"/>
      <c r="J63" s="31"/>
      <c r="K63" s="31"/>
      <c r="L63" s="31"/>
    </row>
    <row r="64" spans="2:23" ht="15" customHeight="1">
      <c r="B64" s="31"/>
      <c r="C64" s="31"/>
      <c r="D64" s="31"/>
      <c r="E64" s="31"/>
      <c r="F64" s="31"/>
      <c r="G64" s="31"/>
      <c r="H64" s="31"/>
      <c r="I64" s="31"/>
      <c r="J64" s="31"/>
      <c r="K64" s="31"/>
      <c r="L64" s="31"/>
    </row>
    <row r="65" spans="2:12" ht="15" customHeight="1">
      <c r="B65" s="31"/>
      <c r="C65" s="31"/>
      <c r="D65" s="31"/>
      <c r="E65" s="31"/>
      <c r="F65" s="31"/>
      <c r="G65" s="31"/>
      <c r="H65" s="31"/>
      <c r="I65" s="31"/>
      <c r="J65" s="31"/>
      <c r="K65" s="31"/>
      <c r="L65" s="31"/>
    </row>
    <row r="66" spans="2:12" ht="15" customHeight="1">
      <c r="B66" s="31"/>
      <c r="C66" s="31"/>
      <c r="D66" s="31"/>
      <c r="E66" s="31"/>
      <c r="F66" s="31"/>
      <c r="G66" s="31"/>
      <c r="H66" s="31"/>
      <c r="I66" s="31"/>
      <c r="J66" s="31"/>
      <c r="K66" s="31"/>
      <c r="L66" s="31"/>
    </row>
    <row r="67" spans="2:12" ht="15" customHeight="1">
      <c r="B67" s="31"/>
      <c r="C67" s="31"/>
      <c r="D67" s="31"/>
      <c r="E67" s="31"/>
      <c r="F67" s="31"/>
      <c r="G67" s="31"/>
      <c r="H67" s="31"/>
      <c r="I67" s="31"/>
      <c r="J67" s="31"/>
      <c r="K67" s="31"/>
      <c r="L67" s="31"/>
    </row>
    <row r="68" spans="2:12" ht="15" customHeight="1">
      <c r="B68" s="31"/>
      <c r="C68" s="31"/>
      <c r="D68" s="31"/>
      <c r="E68" s="31"/>
      <c r="F68" s="31"/>
      <c r="G68" s="31"/>
      <c r="H68" s="31"/>
      <c r="I68" s="31"/>
      <c r="J68" s="31"/>
      <c r="K68" s="31"/>
      <c r="L68" s="31"/>
    </row>
    <row r="69" spans="2:12" ht="15" customHeight="1">
      <c r="B69" s="31"/>
      <c r="C69" s="31"/>
      <c r="D69" s="31"/>
      <c r="E69" s="31"/>
      <c r="F69" s="31"/>
      <c r="G69" s="31"/>
      <c r="H69" s="31"/>
      <c r="I69" s="31"/>
      <c r="J69" s="31"/>
      <c r="K69" s="31"/>
      <c r="L69" s="31"/>
    </row>
    <row r="70" spans="2:12" ht="15" customHeight="1">
      <c r="B70" s="31"/>
      <c r="C70" s="31"/>
      <c r="D70" s="31"/>
      <c r="E70" s="31"/>
      <c r="F70" s="31"/>
      <c r="G70" s="31"/>
      <c r="H70" s="31"/>
      <c r="I70" s="31"/>
      <c r="J70" s="31"/>
      <c r="K70" s="31"/>
      <c r="L70" s="31"/>
    </row>
    <row r="71" spans="2:12" ht="15" customHeight="1">
      <c r="B71" s="31"/>
      <c r="C71" s="31"/>
      <c r="D71" s="31"/>
      <c r="E71" s="31"/>
      <c r="F71" s="31"/>
      <c r="G71" s="31"/>
      <c r="H71" s="31"/>
      <c r="I71" s="31"/>
      <c r="J71" s="31"/>
      <c r="K71" s="31"/>
      <c r="L71" s="31"/>
    </row>
    <row r="72" spans="2:12" ht="15" customHeight="1">
      <c r="B72" s="31"/>
      <c r="C72" s="31"/>
      <c r="D72" s="31"/>
      <c r="E72" s="31"/>
      <c r="F72" s="31"/>
      <c r="G72" s="31"/>
      <c r="H72" s="31"/>
      <c r="I72" s="31"/>
      <c r="J72" s="31"/>
      <c r="K72" s="31"/>
      <c r="L72" s="31"/>
    </row>
    <row r="73" spans="2:12" ht="15" customHeight="1">
      <c r="B73" s="31"/>
      <c r="C73" s="31"/>
      <c r="D73" s="31"/>
      <c r="E73" s="31"/>
      <c r="F73" s="31"/>
      <c r="G73" s="31"/>
      <c r="H73" s="31"/>
      <c r="I73" s="31"/>
      <c r="J73" s="31"/>
      <c r="K73" s="31"/>
      <c r="L73" s="31"/>
    </row>
    <row r="74" spans="2:12" ht="15" customHeight="1">
      <c r="B74" s="31"/>
      <c r="C74" s="31"/>
      <c r="D74" s="31"/>
      <c r="E74" s="31"/>
      <c r="F74" s="31"/>
      <c r="G74" s="31"/>
      <c r="H74" s="31"/>
      <c r="I74" s="31"/>
      <c r="J74" s="31"/>
      <c r="K74" s="31"/>
      <c r="L74" s="31"/>
    </row>
    <row r="75" spans="2:12" ht="15" customHeight="1">
      <c r="B75" s="31"/>
      <c r="C75" s="31"/>
      <c r="D75" s="31"/>
      <c r="E75" s="31"/>
      <c r="F75" s="31"/>
      <c r="G75" s="31"/>
      <c r="H75" s="31"/>
      <c r="I75" s="31"/>
      <c r="J75" s="31"/>
      <c r="K75" s="31"/>
      <c r="L75" s="31"/>
    </row>
    <row r="76" spans="2:12" ht="15" customHeight="1">
      <c r="B76" s="31"/>
      <c r="C76" s="31"/>
      <c r="D76" s="31"/>
      <c r="E76" s="31"/>
      <c r="F76" s="31"/>
      <c r="G76" s="31"/>
      <c r="H76" s="31"/>
      <c r="I76" s="31"/>
      <c r="J76" s="31"/>
      <c r="K76" s="31"/>
      <c r="L76" s="31"/>
    </row>
    <row r="77" spans="2:12" ht="15" customHeight="1">
      <c r="B77" s="31"/>
      <c r="C77" s="31"/>
      <c r="D77" s="31"/>
      <c r="E77" s="31"/>
      <c r="F77" s="31"/>
      <c r="G77" s="31"/>
      <c r="H77" s="31"/>
      <c r="I77" s="31"/>
      <c r="J77" s="31"/>
      <c r="K77" s="31"/>
      <c r="L77" s="31"/>
    </row>
    <row r="78" spans="2:12" ht="15" customHeight="1">
      <c r="B78" s="31"/>
      <c r="C78" s="31"/>
      <c r="D78" s="31"/>
      <c r="E78" s="31"/>
      <c r="F78" s="31"/>
      <c r="G78" s="31"/>
      <c r="H78" s="31"/>
      <c r="I78" s="31"/>
      <c r="J78" s="31"/>
      <c r="K78" s="31"/>
      <c r="L78" s="31"/>
    </row>
    <row r="79" spans="2:12" ht="15" customHeight="1">
      <c r="B79" s="31"/>
      <c r="C79" s="31"/>
      <c r="D79" s="31"/>
      <c r="E79" s="31"/>
      <c r="F79" s="31"/>
      <c r="G79" s="31"/>
      <c r="H79" s="31"/>
      <c r="I79" s="31"/>
      <c r="J79" s="31"/>
      <c r="K79" s="31"/>
      <c r="L79" s="31"/>
    </row>
    <row r="80" spans="2:12" ht="15" customHeight="1">
      <c r="B80" s="31"/>
      <c r="C80" s="31"/>
      <c r="D80" s="31"/>
      <c r="E80" s="31"/>
      <c r="F80" s="31"/>
      <c r="G80" s="31"/>
      <c r="H80" s="31"/>
      <c r="I80" s="31"/>
      <c r="J80" s="31"/>
      <c r="K80" s="31"/>
      <c r="L80" s="31"/>
    </row>
    <row r="81" spans="2:12" ht="15" customHeight="1">
      <c r="B81" s="31"/>
      <c r="C81" s="31"/>
      <c r="D81" s="31"/>
      <c r="E81" s="31"/>
      <c r="F81" s="31"/>
      <c r="G81" s="31"/>
      <c r="H81" s="31"/>
      <c r="I81" s="31"/>
      <c r="J81" s="31"/>
      <c r="K81" s="31"/>
      <c r="L81" s="31"/>
    </row>
    <row r="82" spans="2:12" ht="15" customHeight="1">
      <c r="B82" s="31"/>
      <c r="C82" s="31"/>
      <c r="D82" s="31"/>
      <c r="E82" s="31"/>
      <c r="F82" s="31"/>
      <c r="G82" s="31"/>
      <c r="H82" s="31"/>
      <c r="I82" s="31"/>
      <c r="J82" s="31"/>
      <c r="K82" s="31"/>
      <c r="L82" s="31"/>
    </row>
    <row r="83" spans="2:12" ht="15" customHeight="1">
      <c r="B83" s="31"/>
      <c r="C83" s="31"/>
      <c r="D83" s="31"/>
      <c r="E83" s="31"/>
      <c r="F83" s="31"/>
      <c r="G83" s="31"/>
      <c r="H83" s="31"/>
      <c r="I83" s="31"/>
      <c r="J83" s="31"/>
      <c r="K83" s="31"/>
      <c r="L83" s="31"/>
    </row>
    <row r="84" spans="2:12" ht="15" customHeight="1">
      <c r="B84" s="31"/>
      <c r="C84" s="31"/>
      <c r="D84" s="31"/>
      <c r="E84" s="31"/>
      <c r="F84" s="31"/>
      <c r="G84" s="31"/>
      <c r="H84" s="31"/>
      <c r="I84" s="31"/>
      <c r="J84" s="31"/>
      <c r="K84" s="31"/>
      <c r="L84" s="31"/>
    </row>
    <row r="85" spans="2:12" ht="15" customHeight="1">
      <c r="B85" s="31"/>
      <c r="C85" s="31"/>
      <c r="D85" s="31"/>
      <c r="E85" s="31"/>
      <c r="F85" s="31"/>
      <c r="G85" s="31"/>
      <c r="H85" s="31"/>
      <c r="I85" s="31"/>
      <c r="J85" s="31"/>
      <c r="K85" s="31"/>
      <c r="L85" s="31"/>
    </row>
    <row r="86" spans="2:12" ht="15" customHeight="1">
      <c r="B86" s="31"/>
      <c r="C86" s="31"/>
      <c r="D86" s="31"/>
      <c r="E86" s="31"/>
      <c r="F86" s="31"/>
      <c r="G86" s="31"/>
      <c r="H86" s="31"/>
      <c r="I86" s="31"/>
      <c r="J86" s="31"/>
      <c r="K86" s="31"/>
      <c r="L86" s="31"/>
    </row>
    <row r="87" spans="2:12" ht="15" customHeight="1">
      <c r="B87" s="31"/>
      <c r="C87" s="31"/>
      <c r="D87" s="31"/>
      <c r="E87" s="31"/>
      <c r="F87" s="31"/>
      <c r="G87" s="31"/>
      <c r="H87" s="31"/>
      <c r="I87" s="31"/>
      <c r="J87" s="31"/>
      <c r="K87" s="31"/>
      <c r="L87" s="31"/>
    </row>
    <row r="88" spans="2:12" ht="15" customHeight="1">
      <c r="B88" s="31"/>
      <c r="C88" s="31"/>
      <c r="D88" s="31"/>
      <c r="E88" s="31"/>
      <c r="F88" s="31"/>
      <c r="G88" s="31"/>
      <c r="H88" s="31"/>
      <c r="I88" s="31"/>
      <c r="J88" s="31"/>
      <c r="K88" s="31"/>
      <c r="L88" s="31"/>
    </row>
    <row r="89" spans="2:12" ht="15" customHeight="1">
      <c r="B89" s="31"/>
      <c r="C89" s="31"/>
      <c r="D89" s="31"/>
      <c r="E89" s="31"/>
      <c r="F89" s="31"/>
      <c r="G89" s="31"/>
      <c r="H89" s="31"/>
      <c r="I89" s="31"/>
      <c r="J89" s="31"/>
      <c r="K89" s="31"/>
      <c r="L89" s="31"/>
    </row>
    <row r="90" spans="2:12" ht="15" customHeight="1">
      <c r="B90" s="31"/>
      <c r="C90" s="31"/>
      <c r="D90" s="31"/>
      <c r="E90" s="31"/>
      <c r="F90" s="31"/>
      <c r="G90" s="31"/>
      <c r="H90" s="31"/>
      <c r="I90" s="31"/>
      <c r="J90" s="31"/>
      <c r="K90" s="31"/>
      <c r="L90" s="31"/>
    </row>
    <row r="91" spans="2:12" ht="15" customHeight="1">
      <c r="B91" s="31"/>
      <c r="C91" s="31"/>
      <c r="D91" s="31"/>
      <c r="E91" s="31"/>
      <c r="F91" s="31"/>
      <c r="G91" s="31"/>
      <c r="H91" s="31"/>
      <c r="I91" s="31"/>
      <c r="J91" s="31"/>
      <c r="K91" s="31"/>
      <c r="L91" s="31"/>
    </row>
    <row r="92" spans="2:12" ht="15" customHeight="1">
      <c r="B92" s="31"/>
      <c r="C92" s="31"/>
      <c r="D92" s="31"/>
      <c r="E92" s="31"/>
      <c r="F92" s="31"/>
      <c r="G92" s="31"/>
      <c r="H92" s="31"/>
      <c r="I92" s="31"/>
      <c r="J92" s="31"/>
      <c r="K92" s="31"/>
      <c r="L92" s="31"/>
    </row>
    <row r="93" spans="2:12" ht="15" customHeight="1">
      <c r="B93" s="31"/>
      <c r="C93" s="31"/>
      <c r="D93" s="31"/>
      <c r="E93" s="31"/>
      <c r="F93" s="31"/>
      <c r="G93" s="31"/>
      <c r="H93" s="31"/>
      <c r="I93" s="31"/>
      <c r="J93" s="31"/>
      <c r="K93" s="31"/>
      <c r="L93" s="31"/>
    </row>
    <row r="94" spans="2:12" ht="15" customHeight="1">
      <c r="B94" s="31"/>
      <c r="C94" s="31"/>
      <c r="D94" s="31"/>
      <c r="E94" s="31"/>
      <c r="F94" s="31"/>
      <c r="G94" s="31"/>
      <c r="H94" s="31"/>
      <c r="I94" s="31"/>
      <c r="J94" s="31"/>
      <c r="K94" s="31"/>
      <c r="L94" s="31"/>
    </row>
    <row r="95" spans="2:12" ht="15" customHeight="1">
      <c r="B95" s="31"/>
      <c r="C95" s="31"/>
      <c r="D95" s="31"/>
      <c r="E95" s="31"/>
      <c r="F95" s="31"/>
      <c r="G95" s="31"/>
      <c r="H95" s="31"/>
      <c r="I95" s="31"/>
      <c r="J95" s="31"/>
      <c r="K95" s="31"/>
      <c r="L95" s="31"/>
    </row>
    <row r="96" spans="2:12" ht="15" customHeight="1">
      <c r="B96" s="31"/>
      <c r="C96" s="31"/>
      <c r="D96" s="31"/>
      <c r="E96" s="31"/>
      <c r="F96" s="31"/>
      <c r="G96" s="31"/>
      <c r="H96" s="31"/>
      <c r="I96" s="31"/>
      <c r="J96" s="31"/>
      <c r="K96" s="31"/>
      <c r="L96" s="31"/>
    </row>
    <row r="97" spans="2:12" ht="15" customHeight="1">
      <c r="B97" s="31"/>
      <c r="C97" s="31"/>
      <c r="D97" s="31"/>
      <c r="E97" s="31"/>
      <c r="F97" s="31"/>
      <c r="G97" s="31"/>
      <c r="H97" s="31"/>
      <c r="I97" s="31"/>
      <c r="J97" s="31"/>
      <c r="K97" s="31"/>
      <c r="L97" s="31"/>
    </row>
    <row r="98" spans="2:12" ht="15" customHeight="1">
      <c r="B98" s="31"/>
      <c r="C98" s="31"/>
      <c r="D98" s="31"/>
      <c r="E98" s="31"/>
      <c r="F98" s="31"/>
      <c r="G98" s="31"/>
      <c r="H98" s="31"/>
      <c r="I98" s="31"/>
      <c r="J98" s="31"/>
      <c r="K98" s="31"/>
      <c r="L98" s="31"/>
    </row>
    <row r="99" spans="2:12" ht="15" customHeight="1">
      <c r="B99" s="31"/>
      <c r="C99" s="31"/>
      <c r="D99" s="31"/>
      <c r="E99" s="31"/>
      <c r="F99" s="31"/>
      <c r="G99" s="31"/>
      <c r="H99" s="31"/>
      <c r="I99" s="31"/>
      <c r="J99" s="31"/>
      <c r="K99" s="31"/>
      <c r="L99" s="31"/>
    </row>
    <row r="100" spans="2:12" ht="15" customHeight="1">
      <c r="B100" s="31"/>
      <c r="C100" s="31"/>
      <c r="D100" s="31"/>
      <c r="E100" s="31"/>
      <c r="F100" s="31"/>
      <c r="G100" s="31"/>
      <c r="H100" s="31"/>
      <c r="I100" s="31"/>
      <c r="J100" s="31"/>
      <c r="K100" s="31"/>
      <c r="L100" s="31"/>
    </row>
    <row r="101" spans="2:12" ht="15" customHeight="1">
      <c r="B101" s="31"/>
      <c r="C101" s="31"/>
      <c r="D101" s="31"/>
      <c r="E101" s="31"/>
      <c r="F101" s="31"/>
      <c r="G101" s="31"/>
      <c r="H101" s="31"/>
      <c r="I101" s="31"/>
      <c r="J101" s="31"/>
      <c r="K101" s="31"/>
      <c r="L101" s="31"/>
    </row>
  </sheetData>
  <mergeCells count="1">
    <mergeCell ref="J1:K1"/>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K101"/>
  <sheetViews>
    <sheetView zoomScaleNormal="100" workbookViewId="0"/>
  </sheetViews>
  <sheetFormatPr defaultColWidth="9.140625" defaultRowHeight="15"/>
  <cols>
    <col min="1" max="1" width="9.140625" style="21"/>
    <col min="2" max="2" width="16" style="21" bestFit="1" customWidth="1"/>
    <col min="3" max="10" width="11.140625" style="21" customWidth="1"/>
    <col min="11" max="16384" width="9.140625" style="21"/>
  </cols>
  <sheetData>
    <row r="1" spans="1:24">
      <c r="A1" s="7">
        <v>23</v>
      </c>
      <c r="B1" s="27" t="s">
        <v>12</v>
      </c>
      <c r="C1" s="20"/>
      <c r="D1" s="20"/>
      <c r="E1" s="20"/>
      <c r="F1" s="20"/>
      <c r="G1" s="20"/>
      <c r="H1" s="20"/>
      <c r="I1" s="886" t="s">
        <v>24</v>
      </c>
      <c r="J1" s="887"/>
      <c r="L1" s="1" t="s">
        <v>33</v>
      </c>
      <c r="M1" s="52" t="str">
        <f>VLOOKUP(A1,'Point Grid'!$L$8:$T$54,9,FALSE)</f>
        <v>Reserving - Chap 10: Cape Cod Method</v>
      </c>
      <c r="N1"/>
      <c r="O1"/>
      <c r="P1"/>
      <c r="Q1"/>
      <c r="R1"/>
      <c r="S1"/>
      <c r="T1"/>
      <c r="U1"/>
      <c r="V1"/>
    </row>
    <row r="2" spans="1:24">
      <c r="A2" s="22"/>
      <c r="B2" s="19"/>
      <c r="C2" s="19"/>
      <c r="D2" s="19"/>
      <c r="E2" s="19"/>
      <c r="F2" s="19"/>
      <c r="G2" s="19"/>
      <c r="H2" s="19"/>
      <c r="I2" s="19"/>
      <c r="J2" s="23"/>
      <c r="L2" s="1"/>
      <c r="M2"/>
      <c r="N2"/>
      <c r="O2"/>
      <c r="P2"/>
      <c r="Q2"/>
      <c r="R2"/>
      <c r="S2"/>
      <c r="T2"/>
      <c r="U2"/>
      <c r="V2"/>
    </row>
    <row r="3" spans="1:24">
      <c r="A3" s="8" t="s">
        <v>13</v>
      </c>
      <c r="B3" s="17"/>
      <c r="C3" s="17"/>
      <c r="D3" s="17"/>
      <c r="E3" s="17"/>
      <c r="F3" s="17"/>
      <c r="G3" s="17"/>
      <c r="H3" s="17"/>
      <c r="I3" s="17"/>
      <c r="J3" s="18"/>
      <c r="K3" s="31"/>
      <c r="L3" s="48" t="s">
        <v>2</v>
      </c>
      <c r="M3" t="s">
        <v>418</v>
      </c>
      <c r="N3"/>
      <c r="O3"/>
      <c r="P3"/>
      <c r="Q3"/>
      <c r="R3"/>
      <c r="S3"/>
      <c r="T3"/>
      <c r="U3"/>
      <c r="V3"/>
    </row>
    <row r="4" spans="1:24">
      <c r="A4" s="9">
        <f>INDEX('Point Grid'!B:B,MATCH(A1,'Point Grid'!A:A,0))</f>
        <v>3</v>
      </c>
      <c r="B4" s="17"/>
      <c r="C4" s="17"/>
      <c r="D4" s="17"/>
      <c r="E4" s="17"/>
      <c r="F4" s="17"/>
      <c r="G4" s="17"/>
      <c r="H4" s="17"/>
      <c r="I4" s="17"/>
      <c r="J4" s="18"/>
      <c r="K4" s="31"/>
      <c r="L4" s="48"/>
      <c r="M4" s="109" t="s">
        <v>419</v>
      </c>
      <c r="N4"/>
      <c r="O4"/>
      <c r="P4"/>
      <c r="Q4"/>
      <c r="R4"/>
      <c r="S4"/>
      <c r="T4"/>
      <c r="U4"/>
      <c r="V4"/>
    </row>
    <row r="5" spans="1:24">
      <c r="A5" s="16"/>
      <c r="B5" s="17"/>
      <c r="C5" s="17"/>
      <c r="D5" s="17"/>
      <c r="E5" s="17"/>
      <c r="F5" s="17"/>
      <c r="G5" s="17"/>
      <c r="H5" s="17"/>
      <c r="I5" s="17"/>
      <c r="J5" s="18"/>
      <c r="K5" s="31"/>
      <c r="L5" s="48"/>
      <c r="M5" s="109" t="s">
        <v>420</v>
      </c>
      <c r="N5"/>
      <c r="O5"/>
      <c r="P5"/>
      <c r="Q5"/>
      <c r="R5"/>
      <c r="S5"/>
      <c r="T5"/>
      <c r="U5"/>
      <c r="V5"/>
    </row>
    <row r="6" spans="1:24" ht="15" customHeight="1">
      <c r="A6" s="25" t="s">
        <v>2</v>
      </c>
      <c r="B6" s="17" t="s">
        <v>416</v>
      </c>
      <c r="C6" s="17"/>
      <c r="D6" s="17"/>
      <c r="E6" s="17"/>
      <c r="F6" s="17"/>
      <c r="G6" s="17"/>
      <c r="H6" s="17"/>
      <c r="I6" s="17"/>
      <c r="J6" s="18"/>
      <c r="K6" s="31"/>
      <c r="L6" s="48"/>
      <c r="M6" s="1"/>
      <c r="N6" s="1"/>
      <c r="O6" s="1"/>
      <c r="P6"/>
      <c r="Q6"/>
      <c r="R6"/>
      <c r="S6"/>
      <c r="T6"/>
      <c r="U6"/>
      <c r="V6"/>
    </row>
    <row r="7" spans="1:24" ht="15" customHeight="1" thickBot="1">
      <c r="A7" s="9">
        <f>INDEX('Point Grid'!$C$8:$I$54,MATCH($A$1,'Point Grid'!$A$8:$A$54,0),MATCH(A6,'Point Grid'!$C$7:$I$7,0))</f>
        <v>0.5</v>
      </c>
      <c r="B7" s="17" t="s">
        <v>417</v>
      </c>
      <c r="C7" s="17"/>
      <c r="D7" s="17"/>
      <c r="E7" s="17"/>
      <c r="F7" s="17"/>
      <c r="G7" s="17"/>
      <c r="H7" s="17"/>
      <c r="I7" s="17"/>
      <c r="J7" s="18"/>
      <c r="K7" s="31"/>
      <c r="L7" s="48" t="s">
        <v>3</v>
      </c>
      <c r="M7" s="37" t="s">
        <v>973</v>
      </c>
      <c r="N7" s="1"/>
      <c r="O7" s="1"/>
      <c r="P7" s="49"/>
      <c r="Q7" s="49"/>
      <c r="R7" s="49"/>
      <c r="S7" s="49"/>
      <c r="T7" s="49"/>
      <c r="U7" s="49"/>
      <c r="V7" s="49"/>
    </row>
    <row r="8" spans="1:24" ht="15.75" thickBot="1">
      <c r="A8" s="5"/>
      <c r="B8" s="17"/>
      <c r="C8" s="28"/>
      <c r="D8" s="28"/>
      <c r="E8" s="28"/>
      <c r="F8" s="28"/>
      <c r="G8" s="28"/>
      <c r="H8" s="28"/>
      <c r="I8" s="28"/>
      <c r="J8" s="18"/>
      <c r="K8" s="31"/>
      <c r="L8"/>
      <c r="M8" s="355" t="s">
        <v>971</v>
      </c>
      <c r="N8" s="1"/>
      <c r="O8" s="1"/>
      <c r="P8" s="49"/>
      <c r="Q8" s="49"/>
      <c r="R8" s="49"/>
      <c r="S8" s="49"/>
      <c r="T8" s="49"/>
      <c r="U8" s="49"/>
      <c r="V8" s="49"/>
    </row>
    <row r="9" spans="1:24">
      <c r="A9" s="25"/>
      <c r="B9" s="17"/>
      <c r="C9" s="17"/>
      <c r="D9" s="17"/>
      <c r="E9" s="17"/>
      <c r="F9" s="17"/>
      <c r="G9" s="17"/>
      <c r="H9" s="17"/>
      <c r="I9" s="17"/>
      <c r="J9" s="18"/>
      <c r="K9" s="31"/>
      <c r="L9" s="48"/>
      <c r="M9" s="1"/>
      <c r="N9" s="1"/>
      <c r="O9" s="1"/>
      <c r="P9" s="49"/>
      <c r="Q9" s="49"/>
      <c r="R9" s="49"/>
      <c r="S9" s="49"/>
      <c r="T9" s="49"/>
      <c r="U9" s="440"/>
      <c r="V9" s="440"/>
    </row>
    <row r="10" spans="1:24">
      <c r="A10" s="25" t="s">
        <v>3</v>
      </c>
      <c r="B10" s="17" t="s">
        <v>969</v>
      </c>
      <c r="C10" s="17"/>
      <c r="D10" s="17"/>
      <c r="E10" s="17"/>
      <c r="F10" s="17"/>
      <c r="G10" s="17"/>
      <c r="H10" s="17"/>
      <c r="I10" s="17"/>
      <c r="J10" s="18"/>
      <c r="K10" s="31"/>
      <c r="L10"/>
      <c r="M10" s="37" t="s">
        <v>972</v>
      </c>
      <c r="N10" s="1"/>
      <c r="O10" s="1"/>
      <c r="P10" s="49"/>
      <c r="Q10" s="49"/>
      <c r="R10" s="49"/>
      <c r="S10" s="49"/>
      <c r="T10" s="49"/>
      <c r="U10" s="49"/>
      <c r="V10" s="49"/>
    </row>
    <row r="11" spans="1:24" ht="15.75" thickBot="1">
      <c r="A11" s="9">
        <f>INDEX('Point Grid'!$C$8:$I$54,MATCH($A$1,'Point Grid'!$A$8:$A$54,0),MATCH(A10,'Point Grid'!$C$7:$I$7,0))</f>
        <v>1</v>
      </c>
      <c r="B11" s="17" t="s">
        <v>970</v>
      </c>
      <c r="C11" s="17"/>
      <c r="D11" s="17"/>
      <c r="E11" s="17"/>
      <c r="F11" s="17"/>
      <c r="G11" s="17"/>
      <c r="H11" s="17"/>
      <c r="I11" s="17"/>
      <c r="J11" s="18"/>
      <c r="K11" s="31"/>
      <c r="L11"/>
      <c r="M11" s="37" t="s">
        <v>974</v>
      </c>
      <c r="N11" s="1"/>
      <c r="O11" s="1"/>
      <c r="P11" s="49"/>
      <c r="Q11" s="49"/>
      <c r="R11" s="49"/>
      <c r="S11" s="49"/>
      <c r="T11" s="49"/>
      <c r="U11" s="49"/>
      <c r="V11" s="49"/>
    </row>
    <row r="12" spans="1:24" ht="15.75" thickBot="1">
      <c r="A12" s="5"/>
      <c r="B12" s="17"/>
      <c r="C12" s="28"/>
      <c r="D12" s="28"/>
      <c r="E12" s="28"/>
      <c r="F12" s="28"/>
      <c r="G12" s="28"/>
      <c r="H12" s="28"/>
      <c r="I12" s="28"/>
      <c r="J12" s="18"/>
      <c r="K12" s="31"/>
      <c r="L12"/>
      <c r="M12" s="108"/>
      <c r="N12" s="108"/>
      <c r="O12" s="108"/>
      <c r="P12" s="108"/>
      <c r="Q12" s="108"/>
      <c r="R12" s="108"/>
      <c r="S12" s="108"/>
      <c r="T12" s="108"/>
      <c r="U12" s="108"/>
      <c r="V12" s="108"/>
      <c r="W12" s="108"/>
      <c r="X12" s="153"/>
    </row>
    <row r="13" spans="1:24">
      <c r="A13" s="25"/>
      <c r="B13" s="17"/>
      <c r="C13" s="28"/>
      <c r="D13" s="28"/>
      <c r="E13" s="28"/>
      <c r="F13" s="28"/>
      <c r="G13" s="28"/>
      <c r="H13" s="28"/>
      <c r="I13" s="28"/>
      <c r="J13" s="18"/>
      <c r="K13" s="31"/>
      <c r="L13" s="48" t="s">
        <v>4</v>
      </c>
      <c r="M13" s="417" t="s">
        <v>107</v>
      </c>
      <c r="N13" s="335" t="s">
        <v>423</v>
      </c>
      <c r="O13" s="108"/>
      <c r="P13" s="108"/>
      <c r="Q13" s="108"/>
      <c r="R13" s="108"/>
      <c r="S13" s="108"/>
      <c r="T13" s="108"/>
      <c r="U13" s="108"/>
      <c r="V13" s="108"/>
      <c r="W13" s="108"/>
      <c r="X13" s="108"/>
    </row>
    <row r="14" spans="1:24">
      <c r="A14" s="25" t="s">
        <v>4</v>
      </c>
      <c r="B14" s="190" t="s">
        <v>393</v>
      </c>
      <c r="C14" s="190"/>
      <c r="D14" s="472" t="s">
        <v>373</v>
      </c>
      <c r="E14" s="281" t="s">
        <v>394</v>
      </c>
      <c r="F14" s="473">
        <v>2023</v>
      </c>
      <c r="G14" s="190" t="s">
        <v>427</v>
      </c>
      <c r="H14" s="190"/>
      <c r="I14" s="190"/>
      <c r="J14" s="18"/>
      <c r="K14" s="31"/>
      <c r="L14"/>
      <c r="M14" s="108"/>
      <c r="N14" s="108"/>
      <c r="O14" s="108"/>
      <c r="P14" s="108"/>
      <c r="Q14" s="108"/>
      <c r="R14" s="108"/>
      <c r="S14" s="108"/>
      <c r="T14" s="108"/>
      <c r="U14" s="108"/>
      <c r="V14" s="108"/>
      <c r="W14" s="108"/>
      <c r="X14" s="108"/>
    </row>
    <row r="15" spans="1:24" ht="15.75" thickBot="1">
      <c r="A15" s="9">
        <f>INDEX('Point Grid'!$C$8:$I$54,MATCH($A$1,'Point Grid'!$A$8:$A$54,0),MATCH(A14,'Point Grid'!$C$7:$I$7,0))</f>
        <v>1.5</v>
      </c>
      <c r="B15" s="190"/>
      <c r="C15" s="190"/>
      <c r="D15" s="190"/>
      <c r="E15" s="190"/>
      <c r="F15" s="190"/>
      <c r="G15" s="190"/>
      <c r="H15" s="190"/>
      <c r="I15" s="190"/>
      <c r="J15" s="18"/>
      <c r="K15" s="31"/>
      <c r="L15"/>
      <c r="M15" s="108"/>
      <c r="N15" s="441" t="s">
        <v>89</v>
      </c>
      <c r="O15" s="351" t="s">
        <v>424</v>
      </c>
      <c r="P15" s="351" t="s">
        <v>227</v>
      </c>
      <c r="Q15" s="351" t="s">
        <v>425</v>
      </c>
      <c r="R15" s="351" t="s">
        <v>34</v>
      </c>
      <c r="S15" s="350" t="s">
        <v>426</v>
      </c>
      <c r="T15" s="350"/>
      <c r="U15" s="350"/>
      <c r="V15" s="108"/>
      <c r="W15" s="108"/>
      <c r="X15" s="108"/>
    </row>
    <row r="16" spans="1:24" ht="15.75" thickBot="1">
      <c r="A16" s="5"/>
      <c r="B16" s="190"/>
      <c r="C16" s="190"/>
      <c r="D16" s="190"/>
      <c r="E16" s="190"/>
      <c r="F16" s="190"/>
      <c r="G16" s="190"/>
      <c r="H16" s="190"/>
      <c r="I16" s="190"/>
      <c r="J16" s="18"/>
      <c r="K16" s="31"/>
      <c r="L16"/>
      <c r="M16" s="108"/>
      <c r="N16" s="442">
        <v>2023</v>
      </c>
      <c r="O16" s="277">
        <f>C20</f>
        <v>7500</v>
      </c>
      <c r="P16" s="277" t="s">
        <v>227</v>
      </c>
      <c r="Q16" s="443">
        <f>E20</f>
        <v>1.1025</v>
      </c>
      <c r="R16" s="277" t="s">
        <v>34</v>
      </c>
      <c r="S16" s="108">
        <f>O16*Q16</f>
        <v>8268.75</v>
      </c>
      <c r="T16" s="108"/>
      <c r="U16" s="108"/>
      <c r="V16" s="108"/>
      <c r="W16" s="108"/>
      <c r="X16" s="108"/>
    </row>
    <row r="17" spans="1:37">
      <c r="A17" s="22"/>
      <c r="B17" s="454"/>
      <c r="C17" s="455"/>
      <c r="D17" s="455"/>
      <c r="E17" s="432" t="s">
        <v>215</v>
      </c>
      <c r="F17" s="281"/>
      <c r="G17" s="281"/>
      <c r="H17" s="281"/>
      <c r="I17" s="190"/>
      <c r="J17" s="18"/>
      <c r="K17" s="31"/>
      <c r="L17"/>
      <c r="M17" s="108"/>
      <c r="N17" s="442">
        <f>N16+1</f>
        <v>2024</v>
      </c>
      <c r="O17" s="277">
        <f>C21</f>
        <v>5000</v>
      </c>
      <c r="P17" s="277" t="s">
        <v>227</v>
      </c>
      <c r="Q17" s="443">
        <f>E21</f>
        <v>1.05</v>
      </c>
      <c r="R17" s="277" t="s">
        <v>34</v>
      </c>
      <c r="S17" s="108">
        <f>O17*Q17</f>
        <v>5250</v>
      </c>
      <c r="T17" s="108"/>
      <c r="U17" s="108"/>
      <c r="V17" s="108"/>
      <c r="W17" s="108"/>
      <c r="X17" s="108"/>
    </row>
    <row r="18" spans="1:37" ht="15" customHeight="1">
      <c r="A18" s="22"/>
      <c r="B18" s="456"/>
      <c r="C18" s="457"/>
      <c r="D18" s="457"/>
      <c r="E18" s="458" t="s">
        <v>217</v>
      </c>
      <c r="F18" s="459"/>
      <c r="G18" s="459"/>
      <c r="H18" s="459"/>
      <c r="I18" s="190"/>
      <c r="J18" s="18"/>
      <c r="K18" s="31"/>
      <c r="L18"/>
      <c r="M18" s="108"/>
      <c r="N18" s="442">
        <f>N17+1</f>
        <v>2025</v>
      </c>
      <c r="O18" s="277">
        <f>C22</f>
        <v>2400</v>
      </c>
      <c r="P18" s="277" t="s">
        <v>227</v>
      </c>
      <c r="Q18" s="443">
        <f>E22</f>
        <v>1</v>
      </c>
      <c r="R18" s="277" t="s">
        <v>34</v>
      </c>
      <c r="S18" s="108">
        <f>O18*Q18</f>
        <v>2400</v>
      </c>
      <c r="T18" s="108"/>
      <c r="U18" s="108"/>
      <c r="V18" s="108"/>
      <c r="W18" s="108"/>
      <c r="X18" s="108"/>
      <c r="AK18" s="108"/>
    </row>
    <row r="19" spans="1:37" ht="15" customHeight="1">
      <c r="A19" s="22"/>
      <c r="B19" s="460" t="s">
        <v>89</v>
      </c>
      <c r="C19" s="461" t="s">
        <v>424</v>
      </c>
      <c r="D19" s="461" t="s">
        <v>428</v>
      </c>
      <c r="E19" s="462" t="s">
        <v>429</v>
      </c>
      <c r="F19" s="281"/>
      <c r="G19" s="354" t="s">
        <v>336</v>
      </c>
      <c r="H19" s="463" t="s">
        <v>392</v>
      </c>
      <c r="I19" s="190"/>
      <c r="J19" s="18"/>
      <c r="K19" s="31"/>
      <c r="L19"/>
      <c r="M19" s="108"/>
      <c r="N19" s="444"/>
      <c r="O19" s="445"/>
      <c r="P19" s="445"/>
      <c r="Q19" s="445"/>
      <c r="R19" s="445"/>
      <c r="S19" s="446">
        <f>SUM(S16:S18)</f>
        <v>15918.75</v>
      </c>
      <c r="T19" s="445"/>
      <c r="U19" s="445"/>
      <c r="V19" s="108"/>
      <c r="W19" s="108"/>
      <c r="X19" s="108"/>
      <c r="AK19" s="108"/>
    </row>
    <row r="20" spans="1:37" ht="15" customHeight="1">
      <c r="A20" s="22"/>
      <c r="B20" s="464">
        <v>2023</v>
      </c>
      <c r="C20" s="465">
        <v>7500</v>
      </c>
      <c r="D20" s="466">
        <v>1.5</v>
      </c>
      <c r="E20" s="467">
        <v>1.1025</v>
      </c>
      <c r="F20" s="190"/>
      <c r="G20" s="464">
        <v>2023</v>
      </c>
      <c r="H20" s="468">
        <v>19500</v>
      </c>
      <c r="I20" s="190"/>
      <c r="J20" s="18"/>
      <c r="K20" s="31"/>
      <c r="L20"/>
      <c r="M20" s="108"/>
      <c r="N20" s="108"/>
      <c r="O20" s="108"/>
      <c r="P20" s="108"/>
      <c r="Q20" s="108"/>
      <c r="R20" s="108"/>
      <c r="S20" s="108"/>
      <c r="T20" s="108"/>
      <c r="U20" s="108"/>
      <c r="V20" s="108"/>
      <c r="W20" s="108"/>
      <c r="X20" s="108"/>
      <c r="AK20" s="108"/>
    </row>
    <row r="21" spans="1:37" ht="15" customHeight="1">
      <c r="A21" s="22"/>
      <c r="B21" s="464">
        <v>2024</v>
      </c>
      <c r="C21" s="465">
        <v>5000</v>
      </c>
      <c r="D21" s="466">
        <v>3.9</v>
      </c>
      <c r="E21" s="467">
        <v>1.05</v>
      </c>
      <c r="F21" s="190"/>
      <c r="G21" s="464">
        <v>2024</v>
      </c>
      <c r="H21" s="468">
        <v>23000</v>
      </c>
      <c r="I21" s="190"/>
      <c r="J21" s="18"/>
      <c r="K21" s="31"/>
      <c r="L21"/>
      <c r="M21" s="417" t="s">
        <v>108</v>
      </c>
      <c r="N21" t="s">
        <v>430</v>
      </c>
      <c r="O21"/>
      <c r="P21"/>
      <c r="Q21"/>
      <c r="R21"/>
      <c r="S21"/>
      <c r="T21"/>
      <c r="U21"/>
      <c r="V21"/>
      <c r="W21"/>
      <c r="X21"/>
      <c r="AK21" s="108"/>
    </row>
    <row r="22" spans="1:37" ht="15" customHeight="1">
      <c r="A22" s="22"/>
      <c r="B22" s="469">
        <v>2025</v>
      </c>
      <c r="C22" s="461">
        <v>2400</v>
      </c>
      <c r="D22" s="470">
        <v>5</v>
      </c>
      <c r="E22" s="471">
        <v>1</v>
      </c>
      <c r="F22" s="190"/>
      <c r="G22" s="469">
        <v>2025</v>
      </c>
      <c r="H22" s="462">
        <v>20880</v>
      </c>
      <c r="I22" s="190"/>
      <c r="J22" s="18"/>
      <c r="K22" s="31"/>
      <c r="L22"/>
      <c r="M22" s="108"/>
      <c r="N22" s="108"/>
      <c r="O22" s="108"/>
      <c r="P22" s="108"/>
      <c r="Q22" s="108"/>
      <c r="R22" s="108"/>
      <c r="S22" s="108"/>
      <c r="T22" s="108"/>
      <c r="U22" s="108"/>
      <c r="V22" s="108"/>
      <c r="W22" s="108"/>
      <c r="X22" s="108"/>
      <c r="AK22" s="108"/>
    </row>
    <row r="23" spans="1:37" ht="15" customHeight="1">
      <c r="A23" s="22"/>
      <c r="B23" s="17"/>
      <c r="C23" s="17"/>
      <c r="D23" s="17"/>
      <c r="E23" s="17"/>
      <c r="F23" s="17"/>
      <c r="G23" s="17"/>
      <c r="H23" s="17"/>
      <c r="I23" s="17"/>
      <c r="J23" s="18"/>
      <c r="K23" s="31"/>
      <c r="L23"/>
      <c r="M23" s="108"/>
      <c r="N23" s="447" t="s">
        <v>431</v>
      </c>
      <c r="O23" s="351" t="s">
        <v>392</v>
      </c>
      <c r="P23" s="448" t="s">
        <v>36</v>
      </c>
      <c r="Q23" s="351" t="s">
        <v>428</v>
      </c>
      <c r="R23" s="351" t="s">
        <v>34</v>
      </c>
      <c r="S23" s="351" t="s">
        <v>432</v>
      </c>
      <c r="T23" s="108"/>
      <c r="U23" s="108"/>
      <c r="V23" s="108"/>
      <c r="W23" s="108"/>
      <c r="X23" s="108"/>
      <c r="AK23" s="108"/>
    </row>
    <row r="24" spans="1:37" ht="15" customHeight="1">
      <c r="A24" s="22"/>
      <c r="B24" s="474" t="s">
        <v>433</v>
      </c>
      <c r="C24" s="17"/>
      <c r="D24" s="17"/>
      <c r="E24" s="17"/>
      <c r="F24" s="17"/>
      <c r="G24" s="17"/>
      <c r="H24" s="17"/>
      <c r="I24" s="17"/>
      <c r="J24" s="18"/>
      <c r="K24" s="31"/>
      <c r="L24"/>
      <c r="M24" s="108"/>
      <c r="N24" s="442">
        <f>B20</f>
        <v>2023</v>
      </c>
      <c r="O24" s="277">
        <f>H20</f>
        <v>19500</v>
      </c>
      <c r="P24" s="347" t="s">
        <v>36</v>
      </c>
      <c r="Q24" s="418">
        <f>D20</f>
        <v>1.5</v>
      </c>
      <c r="R24" s="277" t="s">
        <v>34</v>
      </c>
      <c r="S24" s="277">
        <f>O24/Q24</f>
        <v>13000</v>
      </c>
      <c r="T24" s="108"/>
      <c r="U24" s="108"/>
      <c r="V24" s="108"/>
      <c r="W24" s="108"/>
      <c r="X24" s="108"/>
      <c r="AK24" s="108"/>
    </row>
    <row r="25" spans="1:37" ht="15" customHeight="1">
      <c r="A25" s="22"/>
      <c r="B25" s="474" t="s">
        <v>434</v>
      </c>
      <c r="C25" s="17"/>
      <c r="D25" s="17"/>
      <c r="E25" s="17"/>
      <c r="F25" s="17"/>
      <c r="G25" s="17"/>
      <c r="H25" s="17"/>
      <c r="I25" s="17"/>
      <c r="J25" s="18"/>
      <c r="K25" s="31"/>
      <c r="L25"/>
      <c r="M25" s="108"/>
      <c r="N25" s="442">
        <f>B21</f>
        <v>2024</v>
      </c>
      <c r="O25" s="277">
        <f>H21</f>
        <v>23000</v>
      </c>
      <c r="P25" s="347" t="s">
        <v>36</v>
      </c>
      <c r="Q25" s="418">
        <f>D21</f>
        <v>3.9</v>
      </c>
      <c r="R25" s="277" t="s">
        <v>34</v>
      </c>
      <c r="S25" s="277">
        <f>O25/Q25</f>
        <v>5897.4358974358975</v>
      </c>
      <c r="T25" s="108"/>
      <c r="U25" s="108"/>
      <c r="V25" s="108"/>
      <c r="W25" s="108"/>
      <c r="X25" s="108"/>
      <c r="AK25" s="108"/>
    </row>
    <row r="26" spans="1:37" ht="15" customHeight="1">
      <c r="A26" s="22"/>
      <c r="B26" s="17"/>
      <c r="C26" s="17"/>
      <c r="D26" s="17"/>
      <c r="E26" s="17"/>
      <c r="F26" s="17"/>
      <c r="G26" s="17"/>
      <c r="H26" s="17"/>
      <c r="I26" s="17"/>
      <c r="J26" s="18"/>
      <c r="K26" s="31"/>
      <c r="L26"/>
      <c r="M26" s="108"/>
      <c r="N26" s="442">
        <f>B22</f>
        <v>2025</v>
      </c>
      <c r="O26" s="277">
        <f>H22</f>
        <v>20880</v>
      </c>
      <c r="P26" s="347" t="s">
        <v>36</v>
      </c>
      <c r="Q26" s="418">
        <f>D22</f>
        <v>5</v>
      </c>
      <c r="R26" s="277" t="s">
        <v>34</v>
      </c>
      <c r="S26" s="277">
        <f>O26/Q26</f>
        <v>4176</v>
      </c>
      <c r="T26" s="108"/>
      <c r="U26" s="108"/>
      <c r="V26" s="108"/>
      <c r="W26" s="108"/>
      <c r="X26" s="108"/>
      <c r="AK26"/>
    </row>
    <row r="27" spans="1:37" ht="15" customHeight="1">
      <c r="A27" s="22"/>
      <c r="B27" s="17"/>
      <c r="C27" s="17"/>
      <c r="D27" s="17"/>
      <c r="E27" s="17"/>
      <c r="F27" s="17"/>
      <c r="G27" s="17"/>
      <c r="H27" s="17"/>
      <c r="I27" s="17"/>
      <c r="J27" s="18"/>
      <c r="K27" s="31"/>
      <c r="L27"/>
      <c r="M27" s="108"/>
      <c r="N27" s="444"/>
      <c r="O27" s="445"/>
      <c r="P27" s="445"/>
      <c r="Q27" s="445"/>
      <c r="R27" s="445"/>
      <c r="S27" s="449">
        <f>SUM(S24:S26)</f>
        <v>23073.435897435898</v>
      </c>
      <c r="T27" s="108"/>
      <c r="U27" s="108"/>
      <c r="V27" s="108"/>
      <c r="W27" s="108"/>
      <c r="X27" s="108"/>
      <c r="AK27" s="108"/>
    </row>
    <row r="28" spans="1:37" ht="15" customHeight="1">
      <c r="A28" s="22"/>
      <c r="B28" s="17"/>
      <c r="C28" s="17"/>
      <c r="D28" s="17"/>
      <c r="E28" s="17"/>
      <c r="F28" s="17"/>
      <c r="G28" s="17"/>
      <c r="H28" s="17"/>
      <c r="I28" s="17"/>
      <c r="J28" s="18"/>
      <c r="K28" s="31"/>
      <c r="L28" s="48"/>
      <c r="M28" s="108"/>
      <c r="N28" s="108"/>
      <c r="O28" s="108"/>
      <c r="P28" s="108"/>
      <c r="Q28" s="108"/>
      <c r="R28" s="108"/>
      <c r="S28" s="108"/>
      <c r="T28" s="108"/>
      <c r="U28" s="108"/>
      <c r="V28" s="108"/>
      <c r="W28" s="108"/>
      <c r="X28" s="108"/>
      <c r="AK28" s="108"/>
    </row>
    <row r="29" spans="1:37" ht="15" customHeight="1">
      <c r="A29" s="22"/>
      <c r="B29" s="17"/>
      <c r="C29" s="17"/>
      <c r="D29" s="17"/>
      <c r="E29" s="17"/>
      <c r="F29" s="17"/>
      <c r="G29" s="17"/>
      <c r="H29" s="17"/>
      <c r="I29" s="17"/>
      <c r="J29" s="18"/>
      <c r="K29" s="31"/>
      <c r="L29"/>
      <c r="M29" s="320" t="s">
        <v>240</v>
      </c>
      <c r="N29" s="108" t="s">
        <v>435</v>
      </c>
      <c r="O29" s="108"/>
      <c r="P29" s="108"/>
      <c r="Q29" s="108"/>
      <c r="R29" s="450">
        <f>F14</f>
        <v>2023</v>
      </c>
      <c r="S29" s="187" t="s">
        <v>436</v>
      </c>
      <c r="T29" s="108"/>
      <c r="U29" s="108"/>
      <c r="V29" s="108"/>
      <c r="W29" s="108"/>
      <c r="X29" s="108"/>
      <c r="AK29" s="108"/>
    </row>
    <row r="30" spans="1:37" ht="15" customHeight="1" thickBot="1">
      <c r="A30" s="24"/>
      <c r="B30" s="32"/>
      <c r="C30" s="32"/>
      <c r="D30" s="32"/>
      <c r="E30" s="32"/>
      <c r="F30" s="32"/>
      <c r="G30" s="32"/>
      <c r="H30" s="32"/>
      <c r="I30" s="32"/>
      <c r="J30" s="33"/>
      <c r="K30" s="31"/>
      <c r="L30" s="48"/>
      <c r="M30" s="108"/>
      <c r="N30" s="108"/>
      <c r="O30" s="108"/>
      <c r="P30" s="108"/>
      <c r="Q30" s="108"/>
      <c r="R30" s="108"/>
      <c r="S30" s="108"/>
      <c r="T30" s="108"/>
      <c r="U30" s="108"/>
      <c r="V30" s="108"/>
      <c r="W30" s="108"/>
      <c r="X30" s="108"/>
      <c r="AK30" s="108"/>
    </row>
    <row r="31" spans="1:37" ht="15" customHeight="1">
      <c r="B31" s="31"/>
      <c r="C31" s="31"/>
      <c r="D31" s="31"/>
      <c r="E31" s="31"/>
      <c r="F31" s="31"/>
      <c r="G31" s="31"/>
      <c r="H31" s="31"/>
      <c r="I31" s="31"/>
      <c r="J31" s="31"/>
      <c r="K31" s="31"/>
      <c r="L31"/>
      <c r="M31" s="108"/>
      <c r="N31" s="277" t="s">
        <v>391</v>
      </c>
      <c r="O31" s="277" t="s">
        <v>34</v>
      </c>
      <c r="P31" s="277" t="s">
        <v>107</v>
      </c>
      <c r="Q31" s="347" t="s">
        <v>36</v>
      </c>
      <c r="R31" s="277" t="s">
        <v>108</v>
      </c>
      <c r="S31" s="347" t="s">
        <v>36</v>
      </c>
      <c r="T31" s="108" t="str">
        <f>"(PP trend for AY " &amp;R29 &amp; ")"</f>
        <v>(PP trend for AY 2023)</v>
      </c>
      <c r="U31" s="108"/>
      <c r="V31" s="108"/>
      <c r="W31" s="108"/>
      <c r="X31" s="108"/>
      <c r="AK31" s="108"/>
    </row>
    <row r="32" spans="1:37" ht="15" customHeight="1">
      <c r="K32" s="31"/>
      <c r="L32"/>
      <c r="M32" s="108"/>
      <c r="N32" s="108"/>
      <c r="O32" s="277" t="s">
        <v>34</v>
      </c>
      <c r="P32" s="451">
        <f>S19</f>
        <v>15918.75</v>
      </c>
      <c r="Q32" s="347" t="s">
        <v>36</v>
      </c>
      <c r="R32" s="452">
        <f>S27</f>
        <v>23073.435897435898</v>
      </c>
      <c r="S32" s="347" t="s">
        <v>36</v>
      </c>
      <c r="T32" s="443">
        <f>VLOOKUP(R29,B20:E22,4,FALSE)</f>
        <v>1.1025</v>
      </c>
      <c r="U32" s="108"/>
      <c r="V32" s="108"/>
      <c r="W32" s="108"/>
      <c r="X32" s="108"/>
      <c r="AK32" s="108"/>
    </row>
    <row r="33" spans="2:37" ht="15" customHeight="1">
      <c r="K33" s="31"/>
      <c r="L33"/>
      <c r="M33" s="108"/>
      <c r="N33" s="108"/>
      <c r="O33" s="277" t="s">
        <v>34</v>
      </c>
      <c r="P33" s="453">
        <f>P32/R32/T32</f>
        <v>0.62577483363926012</v>
      </c>
      <c r="Q33" s="108"/>
      <c r="R33" s="108"/>
      <c r="S33" s="108"/>
      <c r="T33" s="108"/>
      <c r="U33" s="108"/>
      <c r="V33" s="108"/>
      <c r="W33" s="108"/>
      <c r="X33" s="108"/>
      <c r="AK33" s="108"/>
    </row>
    <row r="34" spans="2:37" ht="15" customHeight="1">
      <c r="K34" s="31"/>
      <c r="L34"/>
      <c r="M34" s="108"/>
      <c r="N34" s="108"/>
      <c r="O34" s="108"/>
      <c r="P34" s="108"/>
      <c r="Q34" s="108"/>
      <c r="R34" s="108"/>
      <c r="S34" s="108"/>
      <c r="T34" s="108"/>
      <c r="U34" s="108"/>
      <c r="V34" s="108"/>
      <c r="W34" s="108"/>
      <c r="X34" s="108"/>
      <c r="AK34" s="108"/>
    </row>
    <row r="35" spans="2:37" ht="15" customHeight="1">
      <c r="K35" s="31"/>
      <c r="L35"/>
      <c r="M35" s="320" t="s">
        <v>437</v>
      </c>
      <c r="N35" s="51" t="s">
        <v>438</v>
      </c>
      <c r="O35" s="51"/>
      <c r="P35" s="51"/>
      <c r="Q35" s="51"/>
      <c r="R35" s="450">
        <f>F14</f>
        <v>2023</v>
      </c>
      <c r="S35" s="51"/>
      <c r="T35" s="51"/>
      <c r="U35" s="51"/>
      <c r="V35" s="51"/>
      <c r="W35" s="108"/>
      <c r="X35" s="108"/>
      <c r="AK35" s="108"/>
    </row>
    <row r="36" spans="2:37" ht="15" customHeight="1">
      <c r="K36" s="31"/>
      <c r="L36"/>
      <c r="M36" s="108"/>
      <c r="N36" s="108"/>
      <c r="O36" s="108"/>
      <c r="P36" s="108"/>
      <c r="Q36" s="108"/>
      <c r="R36" s="108"/>
      <c r="S36" s="108"/>
      <c r="T36" s="108"/>
      <c r="U36" s="108"/>
      <c r="V36" s="108"/>
      <c r="W36" s="108"/>
      <c r="X36" s="108"/>
      <c r="AK36" s="108"/>
    </row>
    <row r="37" spans="2:37" ht="15" customHeight="1">
      <c r="K37" s="31"/>
      <c r="L37"/>
      <c r="M37" s="108"/>
      <c r="N37" s="277" t="s">
        <v>373</v>
      </c>
      <c r="O37" s="277" t="s">
        <v>34</v>
      </c>
      <c r="P37" s="277" t="s">
        <v>424</v>
      </c>
      <c r="Q37" s="277" t="s">
        <v>35</v>
      </c>
      <c r="R37" s="277" t="s">
        <v>439</v>
      </c>
      <c r="S37" s="416" t="s">
        <v>440</v>
      </c>
      <c r="T37" s="277" t="s">
        <v>227</v>
      </c>
      <c r="U37" s="277" t="s">
        <v>391</v>
      </c>
      <c r="V37" s="277" t="s">
        <v>227</v>
      </c>
      <c r="W37" s="277" t="s">
        <v>392</v>
      </c>
      <c r="X37" s="108"/>
      <c r="AK37" s="108"/>
    </row>
    <row r="38" spans="2:37" ht="15" customHeight="1">
      <c r="K38" s="31"/>
      <c r="L38"/>
      <c r="M38" s="108"/>
      <c r="N38" s="108"/>
      <c r="O38" s="277" t="s">
        <v>34</v>
      </c>
      <c r="P38" s="277">
        <f>VLOOKUP(R35,B20:H22,2,FALSE)</f>
        <v>7500</v>
      </c>
      <c r="Q38" s="277" t="s">
        <v>35</v>
      </c>
      <c r="R38" s="277" t="s">
        <v>439</v>
      </c>
      <c r="S38" s="416" t="str">
        <f>VLOOKUP(R35,B20:H22,3,FALSE) &amp;" )"</f>
        <v>1.5 )</v>
      </c>
      <c r="T38" s="277" t="s">
        <v>227</v>
      </c>
      <c r="U38" s="453">
        <f>P33</f>
        <v>0.62577483363926012</v>
      </c>
      <c r="V38" s="277" t="s">
        <v>227</v>
      </c>
      <c r="W38" s="277">
        <f>VLOOKUP(R35,B20:H22,7,FALSE)</f>
        <v>19500</v>
      </c>
      <c r="X38" s="108"/>
      <c r="AK38" s="108"/>
    </row>
    <row r="39" spans="2:37" ht="15" customHeight="1">
      <c r="K39" s="31"/>
      <c r="L39"/>
      <c r="M39" s="108"/>
      <c r="N39" s="108"/>
      <c r="O39" s="277" t="s">
        <v>34</v>
      </c>
      <c r="P39" s="239">
        <f>P38+(1-1/VLOOKUP(R35,B20:H22,3,FALSE))*U38*W38</f>
        <v>11567.536418655191</v>
      </c>
      <c r="Q39" s="259" t="s">
        <v>441</v>
      </c>
      <c r="R39" s="108"/>
      <c r="S39" s="108"/>
      <c r="T39" s="108"/>
      <c r="U39" s="108"/>
      <c r="V39" s="108"/>
      <c r="W39" s="108"/>
      <c r="X39" s="108"/>
      <c r="AK39" s="108"/>
    </row>
    <row r="40" spans="2:37" ht="15" customHeight="1">
      <c r="K40" s="31"/>
      <c r="L40"/>
      <c r="AK40" s="108"/>
    </row>
    <row r="41" spans="2:37" ht="15" customHeight="1">
      <c r="K41" s="31"/>
      <c r="AK41" s="108"/>
    </row>
    <row r="42" spans="2:37" ht="15" customHeight="1">
      <c r="K42" s="31"/>
      <c r="AK42" s="108"/>
    </row>
    <row r="43" spans="2:37" ht="15" customHeight="1">
      <c r="K43" s="31"/>
      <c r="AK43" s="108"/>
    </row>
    <row r="44" spans="2:37" ht="15" customHeight="1">
      <c r="K44" s="31"/>
      <c r="AK44" s="108"/>
    </row>
    <row r="45" spans="2:37" ht="15" customHeight="1">
      <c r="K45" s="31"/>
      <c r="Y45" s="108"/>
      <c r="Z45" s="108"/>
      <c r="AA45" s="108"/>
      <c r="AB45" s="108"/>
      <c r="AC45" s="108"/>
      <c r="AD45" s="108"/>
      <c r="AE45" s="108"/>
      <c r="AF45" s="108"/>
      <c r="AG45" s="108"/>
      <c r="AH45" s="108"/>
      <c r="AI45" s="108"/>
      <c r="AJ45" s="108"/>
      <c r="AK45" s="108"/>
    </row>
    <row r="46" spans="2:37" ht="15" customHeight="1">
      <c r="B46" s="31"/>
      <c r="C46" s="31"/>
      <c r="D46" s="31"/>
      <c r="E46" s="31"/>
      <c r="F46" s="31"/>
      <c r="G46" s="31"/>
      <c r="H46" s="31"/>
      <c r="I46" s="31"/>
      <c r="J46" s="31"/>
      <c r="K46" s="31"/>
      <c r="L46"/>
      <c r="M46"/>
      <c r="N46"/>
      <c r="O46"/>
      <c r="P46"/>
      <c r="Q46"/>
      <c r="R46"/>
      <c r="S46"/>
      <c r="T46"/>
      <c r="U46"/>
      <c r="V46"/>
    </row>
    <row r="47" spans="2:37" ht="15" customHeight="1">
      <c r="B47" s="31"/>
      <c r="C47" s="31"/>
      <c r="D47" s="31"/>
      <c r="E47" s="31"/>
      <c r="F47" s="31"/>
      <c r="G47" s="31"/>
      <c r="H47" s="31"/>
      <c r="I47" s="31"/>
      <c r="J47" s="31"/>
      <c r="K47" s="31"/>
      <c r="L47"/>
      <c r="M47"/>
      <c r="N47"/>
      <c r="O47"/>
      <c r="P47"/>
      <c r="Q47"/>
      <c r="R47"/>
      <c r="S47"/>
      <c r="T47"/>
      <c r="U47"/>
      <c r="V47"/>
    </row>
    <row r="48" spans="2:37" ht="15" customHeight="1">
      <c r="B48" s="31"/>
      <c r="C48" s="31"/>
      <c r="D48" s="31"/>
      <c r="E48" s="31"/>
      <c r="F48" s="31"/>
      <c r="G48" s="31"/>
      <c r="H48" s="31"/>
      <c r="I48" s="31"/>
      <c r="J48" s="31"/>
      <c r="K48" s="31"/>
      <c r="L48"/>
      <c r="M48"/>
      <c r="N48"/>
      <c r="O48"/>
      <c r="P48"/>
      <c r="Q48"/>
      <c r="R48"/>
      <c r="S48"/>
      <c r="T48"/>
      <c r="U48"/>
      <c r="V48"/>
    </row>
    <row r="49" spans="2:22" ht="15" customHeight="1">
      <c r="B49" s="31"/>
      <c r="C49" s="31"/>
      <c r="D49" s="31"/>
      <c r="E49" s="31"/>
      <c r="F49" s="31"/>
      <c r="G49" s="31"/>
      <c r="H49" s="31"/>
      <c r="I49" s="31"/>
      <c r="J49" s="31"/>
      <c r="K49" s="31"/>
      <c r="L49"/>
      <c r="M49"/>
      <c r="N49"/>
      <c r="O49"/>
      <c r="P49"/>
      <c r="Q49"/>
      <c r="R49"/>
      <c r="S49"/>
      <c r="T49"/>
      <c r="U49"/>
      <c r="V49"/>
    </row>
    <row r="50" spans="2:22" ht="15" customHeight="1">
      <c r="B50" s="31"/>
      <c r="C50" s="31"/>
      <c r="D50" s="31"/>
      <c r="E50" s="31"/>
      <c r="F50" s="31"/>
      <c r="G50" s="31"/>
      <c r="H50" s="31"/>
      <c r="I50" s="31"/>
      <c r="J50" s="31"/>
      <c r="K50" s="31"/>
      <c r="L50"/>
      <c r="M50"/>
      <c r="N50"/>
      <c r="O50"/>
      <c r="P50"/>
      <c r="Q50"/>
      <c r="R50"/>
      <c r="S50"/>
      <c r="T50"/>
      <c r="U50"/>
      <c r="V50"/>
    </row>
    <row r="51" spans="2:22" ht="15" customHeight="1">
      <c r="B51" s="31"/>
      <c r="C51" s="31"/>
      <c r="D51" s="31"/>
      <c r="E51" s="31"/>
      <c r="F51" s="31"/>
      <c r="G51" s="31"/>
      <c r="H51" s="31"/>
      <c r="I51" s="31"/>
      <c r="J51" s="31"/>
      <c r="K51" s="31"/>
    </row>
    <row r="52" spans="2:22" ht="15" customHeight="1">
      <c r="B52" s="31"/>
      <c r="C52" s="31"/>
      <c r="D52" s="31"/>
      <c r="E52" s="31"/>
      <c r="F52" s="31"/>
      <c r="G52" s="31"/>
      <c r="H52" s="31"/>
      <c r="I52" s="31"/>
      <c r="J52" s="31"/>
      <c r="K52" s="31"/>
    </row>
    <row r="53" spans="2:22" ht="15" customHeight="1">
      <c r="B53" s="31"/>
      <c r="C53" s="31"/>
      <c r="D53" s="31"/>
      <c r="E53" s="31"/>
      <c r="F53" s="31"/>
      <c r="G53" s="31"/>
      <c r="H53" s="31"/>
      <c r="I53" s="31"/>
      <c r="J53" s="31"/>
      <c r="K53" s="31"/>
    </row>
    <row r="54" spans="2:22" ht="15" customHeight="1">
      <c r="B54" s="31"/>
      <c r="C54" s="31"/>
      <c r="D54" s="31"/>
      <c r="E54" s="31"/>
      <c r="F54" s="31"/>
      <c r="G54" s="31"/>
      <c r="H54" s="31"/>
      <c r="I54" s="31"/>
      <c r="J54" s="31"/>
      <c r="K54" s="31"/>
    </row>
    <row r="55" spans="2:22" ht="15" customHeight="1">
      <c r="B55" s="31"/>
      <c r="C55" s="31"/>
      <c r="D55" s="31"/>
      <c r="E55" s="31"/>
      <c r="F55" s="31"/>
      <c r="G55" s="31"/>
      <c r="H55" s="31"/>
      <c r="I55" s="31"/>
      <c r="J55" s="31"/>
      <c r="K55" s="31"/>
    </row>
    <row r="56" spans="2:22" ht="15" customHeight="1">
      <c r="B56" s="31"/>
      <c r="C56" s="31"/>
      <c r="D56" s="31"/>
      <c r="E56" s="31"/>
      <c r="F56" s="31"/>
      <c r="G56" s="31"/>
      <c r="H56" s="31"/>
      <c r="I56" s="31"/>
      <c r="J56" s="31"/>
      <c r="K56" s="31"/>
    </row>
    <row r="57" spans="2:22" ht="15" customHeight="1">
      <c r="B57" s="31"/>
      <c r="C57" s="31"/>
      <c r="D57" s="31"/>
      <c r="E57" s="31"/>
      <c r="F57" s="31"/>
      <c r="G57" s="31"/>
      <c r="H57" s="31"/>
      <c r="I57" s="31"/>
      <c r="J57" s="31"/>
      <c r="K57" s="31"/>
    </row>
    <row r="58" spans="2:22" ht="15" customHeight="1">
      <c r="B58" s="31"/>
      <c r="C58" s="31"/>
      <c r="D58" s="31"/>
      <c r="E58" s="31"/>
      <c r="F58" s="31"/>
      <c r="G58" s="31"/>
      <c r="H58" s="31"/>
      <c r="I58" s="31"/>
      <c r="J58" s="31"/>
      <c r="K58" s="31"/>
    </row>
    <row r="59" spans="2:22" ht="15" customHeight="1">
      <c r="B59" s="31"/>
      <c r="C59" s="31"/>
      <c r="D59" s="31"/>
      <c r="E59" s="31"/>
      <c r="F59" s="31"/>
      <c r="G59" s="31"/>
      <c r="H59" s="31"/>
      <c r="I59" s="31"/>
      <c r="J59" s="31"/>
      <c r="K59" s="31"/>
    </row>
    <row r="60" spans="2:22" ht="15" customHeight="1">
      <c r="B60" s="31"/>
      <c r="C60" s="31"/>
      <c r="D60" s="31"/>
      <c r="E60" s="31"/>
      <c r="F60" s="31"/>
      <c r="G60" s="31"/>
      <c r="H60" s="31"/>
      <c r="I60" s="31"/>
      <c r="J60" s="31"/>
      <c r="K60" s="31"/>
    </row>
    <row r="61" spans="2:22" ht="15" customHeight="1">
      <c r="B61" s="31"/>
      <c r="C61" s="31"/>
      <c r="D61" s="31"/>
      <c r="E61" s="31"/>
      <c r="F61" s="31"/>
      <c r="G61" s="31"/>
      <c r="H61" s="31"/>
      <c r="I61" s="31"/>
      <c r="J61" s="31"/>
      <c r="K61" s="31"/>
    </row>
    <row r="62" spans="2:22" ht="15" customHeight="1">
      <c r="B62" s="31"/>
      <c r="C62" s="31"/>
      <c r="D62" s="31"/>
      <c r="E62" s="31"/>
      <c r="F62" s="31"/>
      <c r="G62" s="31"/>
      <c r="H62" s="31"/>
      <c r="I62" s="31"/>
      <c r="J62" s="31"/>
      <c r="K62" s="31"/>
    </row>
    <row r="63" spans="2:22" ht="15" customHeight="1">
      <c r="B63" s="31"/>
      <c r="C63" s="31"/>
      <c r="D63" s="31"/>
      <c r="E63" s="31"/>
      <c r="F63" s="31"/>
      <c r="G63" s="31"/>
      <c r="H63" s="31"/>
      <c r="I63" s="31"/>
      <c r="J63" s="31"/>
      <c r="K63" s="31"/>
    </row>
    <row r="64" spans="2:22" ht="15" customHeight="1">
      <c r="B64" s="31"/>
      <c r="C64" s="31"/>
      <c r="D64" s="31"/>
      <c r="E64" s="31"/>
      <c r="F64" s="31"/>
      <c r="G64" s="31"/>
      <c r="H64" s="31"/>
      <c r="I64" s="31"/>
      <c r="J64" s="31"/>
      <c r="K64" s="31"/>
    </row>
    <row r="65" spans="2:11" ht="15" customHeight="1">
      <c r="B65" s="31"/>
      <c r="C65" s="31"/>
      <c r="D65" s="31"/>
      <c r="E65" s="31"/>
      <c r="F65" s="31"/>
      <c r="G65" s="31"/>
      <c r="H65" s="31"/>
      <c r="I65" s="31"/>
      <c r="J65" s="31"/>
      <c r="K65" s="31"/>
    </row>
    <row r="66" spans="2:11" ht="15" customHeight="1">
      <c r="B66" s="31"/>
      <c r="C66" s="31"/>
      <c r="D66" s="31"/>
      <c r="E66" s="31"/>
      <c r="F66" s="31"/>
      <c r="G66" s="31"/>
      <c r="H66" s="31"/>
      <c r="I66" s="31"/>
      <c r="J66" s="31"/>
      <c r="K66" s="31"/>
    </row>
    <row r="67" spans="2:11" ht="15" customHeight="1">
      <c r="B67" s="31"/>
      <c r="C67" s="31"/>
      <c r="D67" s="31"/>
      <c r="E67" s="31"/>
      <c r="F67" s="31"/>
      <c r="G67" s="31"/>
      <c r="H67" s="31"/>
      <c r="I67" s="31"/>
      <c r="J67" s="31"/>
      <c r="K67" s="31"/>
    </row>
    <row r="68" spans="2:11" ht="15" customHeight="1">
      <c r="B68" s="31"/>
      <c r="C68" s="31"/>
      <c r="D68" s="31"/>
      <c r="E68" s="31"/>
      <c r="F68" s="31"/>
      <c r="G68" s="31"/>
      <c r="H68" s="31"/>
      <c r="I68" s="31"/>
      <c r="J68" s="31"/>
      <c r="K68" s="31"/>
    </row>
    <row r="69" spans="2:11" ht="15" customHeight="1">
      <c r="B69" s="31"/>
      <c r="C69" s="31"/>
      <c r="D69" s="31"/>
      <c r="E69" s="31"/>
      <c r="F69" s="31"/>
      <c r="G69" s="31"/>
      <c r="H69" s="31"/>
      <c r="I69" s="31"/>
      <c r="J69" s="31"/>
      <c r="K69" s="31"/>
    </row>
    <row r="70" spans="2:11" ht="15" customHeight="1">
      <c r="B70" s="31"/>
      <c r="C70" s="31"/>
      <c r="D70" s="31"/>
      <c r="E70" s="31"/>
      <c r="F70" s="31"/>
      <c r="G70" s="31"/>
      <c r="H70" s="31"/>
      <c r="I70" s="31"/>
      <c r="J70" s="31"/>
      <c r="K70" s="31"/>
    </row>
    <row r="71" spans="2:11" ht="15" customHeight="1">
      <c r="B71" s="31"/>
      <c r="C71" s="31"/>
      <c r="D71" s="31"/>
      <c r="E71" s="31"/>
      <c r="F71" s="31"/>
      <c r="G71" s="31"/>
      <c r="H71" s="31"/>
      <c r="I71" s="31"/>
      <c r="J71" s="31"/>
      <c r="K71" s="31"/>
    </row>
    <row r="72" spans="2:11" ht="15" customHeight="1">
      <c r="B72" s="31"/>
      <c r="C72" s="31"/>
      <c r="D72" s="31"/>
      <c r="E72" s="31"/>
      <c r="F72" s="31"/>
      <c r="G72" s="31"/>
      <c r="H72" s="31"/>
      <c r="I72" s="31"/>
      <c r="J72" s="31"/>
      <c r="K72" s="31"/>
    </row>
    <row r="73" spans="2:11" ht="15" customHeight="1">
      <c r="B73" s="31"/>
      <c r="C73" s="31"/>
      <c r="D73" s="31"/>
      <c r="E73" s="31"/>
      <c r="F73" s="31"/>
      <c r="G73" s="31"/>
      <c r="H73" s="31"/>
      <c r="I73" s="31"/>
      <c r="J73" s="31"/>
      <c r="K73" s="31"/>
    </row>
    <row r="74" spans="2:11" ht="15" customHeight="1">
      <c r="B74" s="31"/>
      <c r="C74" s="31"/>
      <c r="D74" s="31"/>
      <c r="E74" s="31"/>
      <c r="F74" s="31"/>
      <c r="G74" s="31"/>
      <c r="H74" s="31"/>
      <c r="I74" s="31"/>
      <c r="J74" s="31"/>
      <c r="K74" s="31"/>
    </row>
    <row r="75" spans="2:11" ht="15" customHeight="1">
      <c r="B75" s="31"/>
      <c r="C75" s="31"/>
      <c r="D75" s="31"/>
      <c r="E75" s="31"/>
      <c r="F75" s="31"/>
      <c r="G75" s="31"/>
      <c r="H75" s="31"/>
      <c r="I75" s="31"/>
      <c r="J75" s="31"/>
      <c r="K75" s="31"/>
    </row>
    <row r="76" spans="2:11" ht="15" customHeight="1">
      <c r="B76" s="31"/>
      <c r="C76" s="31"/>
      <c r="D76" s="31"/>
      <c r="E76" s="31"/>
      <c r="F76" s="31"/>
      <c r="G76" s="31"/>
      <c r="H76" s="31"/>
      <c r="I76" s="31"/>
      <c r="J76" s="31"/>
      <c r="K76" s="31"/>
    </row>
    <row r="77" spans="2:11" ht="15" customHeight="1">
      <c r="B77" s="31"/>
      <c r="C77" s="31"/>
      <c r="D77" s="31"/>
      <c r="E77" s="31"/>
      <c r="F77" s="31"/>
      <c r="G77" s="31"/>
      <c r="H77" s="31"/>
      <c r="I77" s="31"/>
      <c r="J77" s="31"/>
      <c r="K77" s="31"/>
    </row>
    <row r="78" spans="2:11" ht="15" customHeight="1">
      <c r="B78" s="31"/>
      <c r="C78" s="31"/>
      <c r="D78" s="31"/>
      <c r="E78" s="31"/>
      <c r="F78" s="31"/>
      <c r="G78" s="31"/>
      <c r="H78" s="31"/>
      <c r="I78" s="31"/>
      <c r="J78" s="31"/>
      <c r="K78" s="31"/>
    </row>
    <row r="79" spans="2:11" ht="15" customHeight="1">
      <c r="B79" s="31"/>
      <c r="C79" s="31"/>
      <c r="D79" s="31"/>
      <c r="E79" s="31"/>
      <c r="F79" s="31"/>
      <c r="G79" s="31"/>
      <c r="H79" s="31"/>
      <c r="I79" s="31"/>
      <c r="J79" s="31"/>
      <c r="K79" s="31"/>
    </row>
    <row r="80" spans="2:11" ht="15" customHeight="1">
      <c r="B80" s="31"/>
      <c r="C80" s="31"/>
      <c r="D80" s="31"/>
      <c r="E80" s="31"/>
      <c r="F80" s="31"/>
      <c r="G80" s="31"/>
      <c r="H80" s="31"/>
      <c r="I80" s="31"/>
      <c r="J80" s="31"/>
      <c r="K80" s="31"/>
    </row>
    <row r="81" spans="2:11" ht="15" customHeight="1">
      <c r="B81" s="31"/>
      <c r="C81" s="31"/>
      <c r="D81" s="31"/>
      <c r="E81" s="31"/>
      <c r="F81" s="31"/>
      <c r="G81" s="31"/>
      <c r="H81" s="31"/>
      <c r="I81" s="31"/>
      <c r="J81" s="31"/>
      <c r="K81" s="31"/>
    </row>
    <row r="82" spans="2:11" ht="15" customHeight="1">
      <c r="B82" s="31"/>
      <c r="C82" s="31"/>
      <c r="D82" s="31"/>
      <c r="E82" s="31"/>
      <c r="F82" s="31"/>
      <c r="G82" s="31"/>
      <c r="H82" s="31"/>
      <c r="I82" s="31"/>
      <c r="J82" s="31"/>
      <c r="K82" s="31"/>
    </row>
    <row r="83" spans="2:11" ht="15" customHeight="1">
      <c r="B83" s="31"/>
      <c r="C83" s="31"/>
      <c r="D83" s="31"/>
      <c r="E83" s="31"/>
      <c r="F83" s="31"/>
      <c r="G83" s="31"/>
      <c r="H83" s="31"/>
      <c r="I83" s="31"/>
      <c r="J83" s="31"/>
      <c r="K83" s="31"/>
    </row>
    <row r="84" spans="2:11" ht="15" customHeight="1">
      <c r="B84" s="31"/>
      <c r="C84" s="31"/>
      <c r="D84" s="31"/>
      <c r="E84" s="31"/>
      <c r="F84" s="31"/>
      <c r="G84" s="31"/>
      <c r="H84" s="31"/>
      <c r="I84" s="31"/>
      <c r="J84" s="31"/>
      <c r="K84" s="31"/>
    </row>
    <row r="85" spans="2:11" ht="15" customHeight="1">
      <c r="B85" s="31"/>
      <c r="C85" s="31"/>
      <c r="D85" s="31"/>
      <c r="E85" s="31"/>
      <c r="F85" s="31"/>
      <c r="G85" s="31"/>
      <c r="H85" s="31"/>
      <c r="I85" s="31"/>
      <c r="J85" s="31"/>
      <c r="K85" s="31"/>
    </row>
    <row r="86" spans="2:11" ht="15" customHeight="1">
      <c r="B86" s="31"/>
      <c r="C86" s="31"/>
      <c r="D86" s="31"/>
      <c r="E86" s="31"/>
      <c r="F86" s="31"/>
      <c r="G86" s="31"/>
      <c r="H86" s="31"/>
      <c r="I86" s="31"/>
      <c r="J86" s="31"/>
      <c r="K86" s="31"/>
    </row>
    <row r="87" spans="2:11" ht="15" customHeight="1">
      <c r="B87" s="31"/>
      <c r="C87" s="31"/>
      <c r="D87" s="31"/>
      <c r="E87" s="31"/>
      <c r="F87" s="31"/>
      <c r="G87" s="31"/>
      <c r="H87" s="31"/>
      <c r="I87" s="31"/>
      <c r="J87" s="31"/>
      <c r="K87" s="31"/>
    </row>
    <row r="88" spans="2:11" ht="15" customHeight="1">
      <c r="B88" s="31"/>
      <c r="C88" s="31"/>
      <c r="D88" s="31"/>
      <c r="E88" s="31"/>
      <c r="F88" s="31"/>
      <c r="G88" s="31"/>
      <c r="H88" s="31"/>
      <c r="I88" s="31"/>
      <c r="J88" s="31"/>
      <c r="K88" s="31"/>
    </row>
    <row r="89" spans="2:11" ht="15" customHeight="1">
      <c r="B89" s="31"/>
      <c r="C89" s="31"/>
      <c r="D89" s="31"/>
      <c r="E89" s="31"/>
      <c r="F89" s="31"/>
      <c r="G89" s="31"/>
      <c r="H89" s="31"/>
      <c r="I89" s="31"/>
      <c r="J89" s="31"/>
      <c r="K89" s="31"/>
    </row>
    <row r="90" spans="2:11" ht="15" customHeight="1">
      <c r="B90" s="31"/>
      <c r="C90" s="31"/>
      <c r="D90" s="31"/>
      <c r="E90" s="31"/>
      <c r="F90" s="31"/>
      <c r="G90" s="31"/>
      <c r="H90" s="31"/>
      <c r="I90" s="31"/>
      <c r="J90" s="31"/>
      <c r="K90" s="31"/>
    </row>
    <row r="91" spans="2:11" ht="15" customHeight="1">
      <c r="B91" s="31"/>
      <c r="C91" s="31"/>
      <c r="D91" s="31"/>
      <c r="E91" s="31"/>
      <c r="F91" s="31"/>
      <c r="G91" s="31"/>
      <c r="H91" s="31"/>
      <c r="I91" s="31"/>
      <c r="J91" s="31"/>
      <c r="K91" s="31"/>
    </row>
    <row r="92" spans="2:11" ht="15" customHeight="1">
      <c r="B92" s="31"/>
      <c r="C92" s="31"/>
      <c r="D92" s="31"/>
      <c r="E92" s="31"/>
      <c r="F92" s="31"/>
      <c r="G92" s="31"/>
      <c r="H92" s="31"/>
      <c r="I92" s="31"/>
      <c r="J92" s="31"/>
      <c r="K92" s="31"/>
    </row>
    <row r="93" spans="2:11" ht="15" customHeight="1">
      <c r="B93" s="31"/>
      <c r="C93" s="31"/>
      <c r="D93" s="31"/>
      <c r="E93" s="31"/>
      <c r="F93" s="31"/>
      <c r="G93" s="31"/>
      <c r="H93" s="31"/>
      <c r="I93" s="31"/>
      <c r="J93" s="31"/>
      <c r="K93" s="31"/>
    </row>
    <row r="94" spans="2:11" ht="15" customHeight="1">
      <c r="B94" s="31"/>
      <c r="C94" s="31"/>
      <c r="D94" s="31"/>
      <c r="E94" s="31"/>
      <c r="F94" s="31"/>
      <c r="G94" s="31"/>
      <c r="H94" s="31"/>
      <c r="I94" s="31"/>
      <c r="J94" s="31"/>
      <c r="K94" s="31"/>
    </row>
    <row r="95" spans="2:11" ht="15" customHeight="1">
      <c r="B95" s="31"/>
      <c r="C95" s="31"/>
      <c r="D95" s="31"/>
      <c r="E95" s="31"/>
      <c r="F95" s="31"/>
      <c r="G95" s="31"/>
      <c r="H95" s="31"/>
      <c r="I95" s="31"/>
      <c r="J95" s="31"/>
      <c r="K95" s="31"/>
    </row>
    <row r="96" spans="2:11" ht="15" customHeight="1">
      <c r="B96" s="31"/>
      <c r="C96" s="31"/>
      <c r="D96" s="31"/>
      <c r="E96" s="31"/>
      <c r="F96" s="31"/>
      <c r="G96" s="31"/>
      <c r="H96" s="31"/>
      <c r="I96" s="31"/>
      <c r="J96" s="31"/>
      <c r="K96" s="31"/>
    </row>
    <row r="97" spans="2:11" ht="15" customHeight="1">
      <c r="B97" s="31"/>
      <c r="C97" s="31"/>
      <c r="D97" s="31"/>
      <c r="E97" s="31"/>
      <c r="F97" s="31"/>
      <c r="G97" s="31"/>
      <c r="H97" s="31"/>
      <c r="I97" s="31"/>
      <c r="J97" s="31"/>
      <c r="K97" s="31"/>
    </row>
    <row r="98" spans="2:11" ht="15" customHeight="1">
      <c r="B98" s="31"/>
      <c r="C98" s="31"/>
      <c r="D98" s="31"/>
      <c r="E98" s="31"/>
      <c r="F98" s="31"/>
      <c r="G98" s="31"/>
      <c r="H98" s="31"/>
      <c r="I98" s="31"/>
      <c r="J98" s="31"/>
      <c r="K98" s="31"/>
    </row>
    <row r="99" spans="2:11" ht="15" customHeight="1">
      <c r="B99" s="31"/>
      <c r="C99" s="31"/>
      <c r="D99" s="31"/>
      <c r="E99" s="31"/>
      <c r="F99" s="31"/>
      <c r="G99" s="31"/>
      <c r="H99" s="31"/>
      <c r="I99" s="31"/>
      <c r="J99" s="31"/>
      <c r="K99" s="31"/>
    </row>
    <row r="100" spans="2:11" ht="15" customHeight="1">
      <c r="B100" s="31"/>
      <c r="C100" s="31"/>
      <c r="D100" s="31"/>
      <c r="E100" s="31"/>
      <c r="F100" s="31"/>
      <c r="G100" s="31"/>
      <c r="H100" s="31"/>
      <c r="I100" s="31"/>
      <c r="J100" s="31"/>
      <c r="K100" s="31"/>
    </row>
    <row r="101" spans="2:11" ht="15" customHeight="1">
      <c r="B101" s="31"/>
      <c r="C101" s="31"/>
      <c r="D101" s="31"/>
      <c r="E101" s="31"/>
      <c r="F101" s="31"/>
      <c r="G101" s="31"/>
      <c r="H101" s="31"/>
      <c r="I101" s="31"/>
      <c r="J101" s="31"/>
      <c r="K101" s="31"/>
    </row>
  </sheetData>
  <mergeCells count="1">
    <mergeCell ref="I1:J1"/>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G101"/>
  <sheetViews>
    <sheetView zoomScaleNormal="100" workbookViewId="0">
      <selection activeCell="H1" sqref="H1:I1"/>
    </sheetView>
  </sheetViews>
  <sheetFormatPr defaultColWidth="9.140625" defaultRowHeight="15"/>
  <cols>
    <col min="1" max="1" width="9.140625" style="21"/>
    <col min="2" max="2" width="16" style="21" bestFit="1" customWidth="1"/>
    <col min="3" max="9" width="11.140625" style="21" customWidth="1"/>
    <col min="10" max="16" width="9.140625" style="21"/>
    <col min="17" max="17" width="9.140625" style="21" customWidth="1"/>
    <col min="18" max="19" width="9.140625" style="21"/>
    <col min="20" max="20" width="9.5703125" style="21" bestFit="1" customWidth="1"/>
    <col min="21" max="21" width="9.140625" style="21"/>
    <col min="22" max="22" width="9.140625" style="21" customWidth="1"/>
    <col min="23" max="16384" width="9.140625" style="21"/>
  </cols>
  <sheetData>
    <row r="1" spans="1:21">
      <c r="A1" s="7">
        <v>24</v>
      </c>
      <c r="B1" s="27" t="s">
        <v>12</v>
      </c>
      <c r="C1" s="20"/>
      <c r="D1" s="20"/>
      <c r="E1" s="20"/>
      <c r="F1" s="20"/>
      <c r="G1" s="20"/>
      <c r="H1" s="886" t="s">
        <v>24</v>
      </c>
      <c r="I1" s="887"/>
      <c r="K1" s="1" t="s">
        <v>33</v>
      </c>
      <c r="L1" s="52" t="str">
        <f>VLOOKUP(A1,'Point Grid'!$L$8:$T$54,9,FALSE)</f>
        <v>Reserving - Chap 11: Frequency/Severity Methods</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444</v>
      </c>
      <c r="M3"/>
      <c r="N3"/>
      <c r="O3"/>
      <c r="P3"/>
      <c r="Q3"/>
      <c r="R3"/>
      <c r="S3"/>
      <c r="T3"/>
      <c r="U3"/>
    </row>
    <row r="4" spans="1:21">
      <c r="A4" s="9">
        <f>INDEX('Point Grid'!B:B,MATCH(A1,'Point Grid'!A:A,0))</f>
        <v>4.5</v>
      </c>
      <c r="B4" s="17"/>
      <c r="C4" s="17"/>
      <c r="D4" s="17"/>
      <c r="E4" s="17"/>
      <c r="F4" s="17"/>
      <c r="G4" s="17"/>
      <c r="H4" s="17"/>
      <c r="I4" s="18"/>
      <c r="J4" s="31"/>
      <c r="K4" s="48"/>
      <c r="L4"/>
      <c r="M4"/>
      <c r="N4"/>
      <c r="O4"/>
      <c r="P4"/>
      <c r="Q4"/>
      <c r="R4"/>
      <c r="S4"/>
      <c r="T4"/>
      <c r="U4"/>
    </row>
    <row r="5" spans="1:21">
      <c r="A5" s="16"/>
      <c r="B5" s="17"/>
      <c r="C5" s="17"/>
      <c r="D5" s="17"/>
      <c r="E5" s="17"/>
      <c r="F5" s="17"/>
      <c r="G5" s="17"/>
      <c r="H5" s="17"/>
      <c r="I5" s="18"/>
      <c r="J5" s="31"/>
      <c r="K5" s="48"/>
      <c r="L5" s="52" t="s">
        <v>447</v>
      </c>
      <c r="M5"/>
      <c r="N5"/>
      <c r="O5"/>
      <c r="P5"/>
      <c r="Q5"/>
      <c r="R5"/>
      <c r="S5"/>
      <c r="T5"/>
      <c r="U5"/>
    </row>
    <row r="6" spans="1:21">
      <c r="A6" s="25" t="s">
        <v>2</v>
      </c>
      <c r="B6" s="17" t="s">
        <v>442</v>
      </c>
      <c r="C6" s="17"/>
      <c r="D6" s="17"/>
      <c r="E6" s="17"/>
      <c r="F6" s="17"/>
      <c r="G6" s="17"/>
      <c r="H6" s="17"/>
      <c r="I6" s="18"/>
      <c r="J6" s="31"/>
      <c r="K6" s="48"/>
      <c r="L6" s="37" t="s">
        <v>446</v>
      </c>
      <c r="M6"/>
      <c r="N6"/>
      <c r="O6"/>
      <c r="P6"/>
      <c r="Q6"/>
      <c r="R6"/>
      <c r="S6"/>
      <c r="T6"/>
      <c r="U6"/>
    </row>
    <row r="7" spans="1:21" ht="15.75" thickBot="1">
      <c r="A7" s="9">
        <f>INDEX('Point Grid'!$C$8:$I$54,MATCH($A$1,'Point Grid'!$A$8:$A$54,0),MATCH(A6,'Point Grid'!$C$7:$I$7,0))</f>
        <v>1</v>
      </c>
      <c r="B7" s="17" t="s">
        <v>443</v>
      </c>
      <c r="C7" s="17"/>
      <c r="D7" s="17"/>
      <c r="E7" s="17"/>
      <c r="F7" s="17"/>
      <c r="G7" s="17"/>
      <c r="H7" s="17"/>
      <c r="I7" s="18"/>
      <c r="J7" s="31"/>
      <c r="K7" s="48"/>
      <c r="L7" s="37" t="s">
        <v>445</v>
      </c>
      <c r="M7"/>
      <c r="N7"/>
      <c r="O7"/>
      <c r="P7"/>
      <c r="Q7"/>
      <c r="R7"/>
      <c r="S7"/>
      <c r="T7"/>
      <c r="U7"/>
    </row>
    <row r="8" spans="1:21" ht="15.75" thickBot="1">
      <c r="A8" s="5"/>
      <c r="B8" s="17"/>
      <c r="C8" s="28"/>
      <c r="D8" s="28"/>
      <c r="E8" s="28"/>
      <c r="F8" s="28"/>
      <c r="G8" s="28"/>
      <c r="H8" s="28"/>
      <c r="I8" s="18"/>
      <c r="J8" s="31"/>
      <c r="K8"/>
      <c r="L8"/>
      <c r="M8"/>
      <c r="N8"/>
      <c r="O8"/>
      <c r="P8"/>
      <c r="Q8"/>
      <c r="R8"/>
      <c r="S8"/>
      <c r="T8"/>
      <c r="U8"/>
    </row>
    <row r="9" spans="1:21">
      <c r="A9" s="25"/>
      <c r="B9" s="17"/>
      <c r="C9" s="17"/>
      <c r="D9" s="17"/>
      <c r="E9" s="17"/>
      <c r="F9" s="17"/>
      <c r="G9" s="17"/>
      <c r="H9" s="17"/>
      <c r="I9" s="18"/>
      <c r="J9" s="31"/>
      <c r="K9" s="48"/>
      <c r="L9" s="475" t="s">
        <v>449</v>
      </c>
      <c r="M9"/>
      <c r="N9"/>
      <c r="O9"/>
      <c r="P9"/>
      <c r="Q9"/>
      <c r="R9"/>
      <c r="S9"/>
    </row>
    <row r="10" spans="1:21">
      <c r="A10" s="25" t="s">
        <v>3</v>
      </c>
      <c r="B10" s="17" t="s">
        <v>484</v>
      </c>
      <c r="C10" s="17"/>
      <c r="D10" s="17"/>
      <c r="E10" s="17"/>
      <c r="F10" s="17"/>
      <c r="G10" s="17"/>
      <c r="H10" s="17"/>
      <c r="I10" s="18"/>
      <c r="J10" s="31"/>
      <c r="K10"/>
      <c r="L10" s="37" t="s">
        <v>448</v>
      </c>
      <c r="M10"/>
      <c r="N10"/>
      <c r="O10"/>
      <c r="P10"/>
      <c r="Q10"/>
      <c r="R10"/>
      <c r="S10"/>
      <c r="T10"/>
      <c r="U10"/>
    </row>
    <row r="11" spans="1:21" ht="15.75" thickBot="1">
      <c r="A11" s="9">
        <f>INDEX('Point Grid'!$C$8:$I$54,MATCH($A$1,'Point Grid'!$A$8:$A$54,0),MATCH(A10,'Point Grid'!$C$7:$I$7,0))</f>
        <v>1</v>
      </c>
      <c r="B11" s="17"/>
      <c r="C11" s="17"/>
      <c r="D11" s="17"/>
      <c r="E11" s="17"/>
      <c r="F11" s="17"/>
      <c r="G11" s="17"/>
      <c r="H11" s="17"/>
      <c r="I11" s="18"/>
      <c r="J11" s="31"/>
      <c r="K11"/>
      <c r="L11"/>
      <c r="M11"/>
      <c r="N11"/>
      <c r="O11"/>
      <c r="P11"/>
      <c r="Q11"/>
      <c r="R11"/>
      <c r="S11"/>
      <c r="T11"/>
      <c r="U11"/>
    </row>
    <row r="12" spans="1:21" ht="15.75" thickBot="1">
      <c r="A12" s="5"/>
      <c r="B12" s="17"/>
      <c r="C12" s="28"/>
      <c r="D12" s="28"/>
      <c r="E12" s="28"/>
      <c r="F12" s="28"/>
      <c r="G12" s="28"/>
      <c r="H12" s="28"/>
      <c r="I12" s="18"/>
      <c r="J12" s="31"/>
      <c r="K12"/>
      <c r="L12" s="475" t="s">
        <v>450</v>
      </c>
      <c r="M12"/>
      <c r="N12"/>
      <c r="O12"/>
      <c r="P12"/>
      <c r="Q12"/>
      <c r="R12"/>
      <c r="S12"/>
      <c r="T12"/>
      <c r="U12"/>
    </row>
    <row r="13" spans="1:21">
      <c r="A13" s="25"/>
      <c r="B13" s="17"/>
      <c r="C13" s="28"/>
      <c r="D13" s="28"/>
      <c r="E13" s="28"/>
      <c r="F13" s="28"/>
      <c r="G13" s="28"/>
      <c r="H13" s="28"/>
      <c r="I13" s="18"/>
      <c r="J13" s="31"/>
      <c r="K13" s="48"/>
      <c r="L13" s="37" t="s">
        <v>451</v>
      </c>
      <c r="M13"/>
      <c r="N13"/>
      <c r="O13"/>
      <c r="P13"/>
      <c r="Q13"/>
      <c r="R13"/>
      <c r="S13"/>
      <c r="T13"/>
      <c r="U13"/>
    </row>
    <row r="14" spans="1:21">
      <c r="A14" s="25" t="s">
        <v>4</v>
      </c>
      <c r="B14" s="17" t="s">
        <v>474</v>
      </c>
      <c r="C14" s="17"/>
      <c r="D14" s="17"/>
      <c r="E14" s="17"/>
      <c r="F14" s="17"/>
      <c r="G14" s="17"/>
      <c r="H14" s="17"/>
      <c r="I14" s="18"/>
      <c r="J14" s="31"/>
      <c r="K14"/>
      <c r="L14" s="37" t="s">
        <v>452</v>
      </c>
      <c r="M14"/>
      <c r="N14"/>
      <c r="O14"/>
      <c r="P14"/>
      <c r="Q14"/>
      <c r="R14"/>
      <c r="S14"/>
      <c r="T14"/>
      <c r="U14"/>
    </row>
    <row r="15" spans="1:21" ht="15.75" thickBot="1">
      <c r="A15" s="9">
        <f>INDEX('Point Grid'!$C$8:$I$54,MATCH($A$1,'Point Grid'!$A$8:$A$54,0),MATCH(A14,'Point Grid'!$C$7:$I$7,0))</f>
        <v>2.5</v>
      </c>
      <c r="B15" s="17"/>
      <c r="C15" s="17"/>
      <c r="D15" s="17"/>
      <c r="E15" s="17"/>
      <c r="F15" s="17"/>
      <c r="G15" s="17"/>
      <c r="H15" s="17"/>
      <c r="I15" s="18"/>
      <c r="J15" s="31"/>
      <c r="K15"/>
      <c r="L15"/>
      <c r="M15"/>
      <c r="N15"/>
      <c r="O15"/>
      <c r="P15"/>
      <c r="Q15"/>
      <c r="R15"/>
      <c r="S15"/>
      <c r="T15"/>
      <c r="U15"/>
    </row>
    <row r="16" spans="1:21" ht="15.75" thickBot="1">
      <c r="A16" s="5"/>
      <c r="B16" s="479" t="s">
        <v>975</v>
      </c>
      <c r="C16" s="479"/>
      <c r="D16" s="17"/>
      <c r="E16" s="871">
        <v>1.2579999999999999E-2</v>
      </c>
      <c r="F16" s="325"/>
      <c r="G16" s="17"/>
      <c r="H16" s="17"/>
      <c r="I16" s="18"/>
      <c r="J16" s="31"/>
      <c r="K16" s="48" t="s">
        <v>3</v>
      </c>
      <c r="L16" s="476" t="s">
        <v>453</v>
      </c>
      <c r="M16" s="477"/>
      <c r="N16" s="478"/>
      <c r="O16"/>
      <c r="P16"/>
      <c r="Q16"/>
      <c r="R16"/>
      <c r="S16"/>
      <c r="T16"/>
      <c r="U16"/>
    </row>
    <row r="17" spans="1:21">
      <c r="A17" s="22"/>
      <c r="B17" s="17"/>
      <c r="C17" s="17"/>
      <c r="D17" s="17"/>
      <c r="E17" s="17"/>
      <c r="F17" s="17"/>
      <c r="G17" s="17"/>
      <c r="H17" s="17"/>
      <c r="I17" s="18"/>
      <c r="J17" s="31"/>
      <c r="K17"/>
      <c r="L17" s="248"/>
      <c r="M17"/>
      <c r="N17"/>
      <c r="O17"/>
      <c r="P17"/>
      <c r="Q17"/>
      <c r="R17"/>
      <c r="S17"/>
      <c r="T17"/>
      <c r="U17"/>
    </row>
    <row r="18" spans="1:21" ht="15" customHeight="1">
      <c r="A18" s="22"/>
      <c r="B18" s="492" t="s">
        <v>89</v>
      </c>
      <c r="C18" s="483" t="s">
        <v>465</v>
      </c>
      <c r="D18" s="484" t="s">
        <v>90</v>
      </c>
      <c r="E18" s="483" t="s">
        <v>373</v>
      </c>
      <c r="F18" s="484" t="s">
        <v>373</v>
      </c>
      <c r="G18" s="17"/>
      <c r="H18" s="17"/>
      <c r="I18" s="18"/>
      <c r="J18" s="31"/>
      <c r="K18"/>
      <c r="L18" s="475" t="s">
        <v>457</v>
      </c>
      <c r="M18"/>
      <c r="N18"/>
      <c r="O18"/>
      <c r="P18"/>
      <c r="Q18"/>
      <c r="R18"/>
      <c r="S18"/>
      <c r="T18"/>
      <c r="U18"/>
    </row>
    <row r="19" spans="1:21" ht="15" customHeight="1">
      <c r="A19" s="22"/>
      <c r="B19" s="493"/>
      <c r="C19" s="488"/>
      <c r="D19" s="491" t="s">
        <v>466</v>
      </c>
      <c r="E19" s="488" t="s">
        <v>48</v>
      </c>
      <c r="F19" s="491" t="s">
        <v>272</v>
      </c>
      <c r="G19" s="17"/>
      <c r="H19" s="17"/>
      <c r="I19" s="18"/>
      <c r="J19" s="31"/>
      <c r="K19"/>
      <c r="L19" s="37"/>
      <c r="M19"/>
      <c r="N19"/>
      <c r="O19"/>
      <c r="P19"/>
      <c r="Q19"/>
      <c r="R19"/>
      <c r="S19"/>
      <c r="T19"/>
      <c r="U19"/>
    </row>
    <row r="20" spans="1:21" ht="15" customHeight="1">
      <c r="A20" s="22"/>
      <c r="B20" s="494">
        <v>2022</v>
      </c>
      <c r="C20" s="482">
        <v>68000</v>
      </c>
      <c r="D20" s="485">
        <v>3880</v>
      </c>
      <c r="E20" s="481">
        <v>820</v>
      </c>
      <c r="F20" s="485">
        <v>3670</v>
      </c>
      <c r="G20" s="17"/>
      <c r="H20" s="17"/>
      <c r="I20" s="18"/>
      <c r="J20" s="31"/>
      <c r="K20"/>
      <c r="L20" s="37" t="s">
        <v>455</v>
      </c>
      <c r="M20"/>
      <c r="N20"/>
      <c r="O20"/>
      <c r="P20"/>
      <c r="Q20"/>
      <c r="R20"/>
      <c r="S20"/>
      <c r="T20"/>
      <c r="U20"/>
    </row>
    <row r="21" spans="1:21" ht="15" customHeight="1">
      <c r="A21" s="22"/>
      <c r="B21" s="494">
        <v>2023</v>
      </c>
      <c r="C21" s="482">
        <v>63600</v>
      </c>
      <c r="D21" s="485">
        <v>2500</v>
      </c>
      <c r="E21" s="481">
        <v>890</v>
      </c>
      <c r="F21" s="485">
        <v>3500</v>
      </c>
      <c r="G21" s="17"/>
      <c r="H21" s="17"/>
      <c r="I21" s="18"/>
      <c r="J21" s="31"/>
      <c r="K21"/>
      <c r="L21" s="355" t="s">
        <v>454</v>
      </c>
      <c r="M21"/>
      <c r="N21"/>
      <c r="O21"/>
      <c r="P21"/>
      <c r="Q21"/>
      <c r="R21"/>
      <c r="S21"/>
      <c r="T21"/>
      <c r="U21"/>
    </row>
    <row r="22" spans="1:21" ht="15" customHeight="1">
      <c r="A22" s="22"/>
      <c r="B22" s="494">
        <v>2024</v>
      </c>
      <c r="C22" s="482">
        <v>64800</v>
      </c>
      <c r="D22" s="485">
        <v>1800</v>
      </c>
      <c r="E22" s="481">
        <v>900</v>
      </c>
      <c r="F22" s="486" t="s">
        <v>467</v>
      </c>
      <c r="G22" s="17"/>
      <c r="H22" s="17"/>
      <c r="I22" s="18"/>
      <c r="J22" s="31"/>
      <c r="K22"/>
      <c r="L22" s="37"/>
      <c r="M22"/>
      <c r="N22"/>
      <c r="O22"/>
      <c r="P22"/>
      <c r="Q22"/>
      <c r="R22"/>
      <c r="S22"/>
      <c r="T22"/>
      <c r="U22"/>
    </row>
    <row r="23" spans="1:21" ht="15" customHeight="1">
      <c r="A23" s="22"/>
      <c r="B23" s="495">
        <v>2025</v>
      </c>
      <c r="C23" s="487">
        <v>70100</v>
      </c>
      <c r="D23" s="491">
        <v>1200</v>
      </c>
      <c r="E23" s="489" t="s">
        <v>467</v>
      </c>
      <c r="F23" s="490" t="s">
        <v>467</v>
      </c>
      <c r="G23" s="17"/>
      <c r="H23" s="17"/>
      <c r="I23" s="18"/>
      <c r="J23" s="31"/>
      <c r="K23"/>
      <c r="L23" s="37" t="s">
        <v>456</v>
      </c>
      <c r="M23"/>
      <c r="N23"/>
      <c r="O23"/>
      <c r="P23"/>
      <c r="Q23"/>
      <c r="R23"/>
      <c r="S23"/>
      <c r="T23"/>
      <c r="U23"/>
    </row>
    <row r="24" spans="1:21" ht="15" customHeight="1">
      <c r="A24" s="22"/>
      <c r="B24" s="17"/>
      <c r="C24" s="17"/>
      <c r="D24" s="17"/>
      <c r="E24" s="17"/>
      <c r="F24" s="17"/>
      <c r="G24" s="17"/>
      <c r="H24" s="17"/>
      <c r="I24" s="18"/>
      <c r="J24" s="31"/>
      <c r="K24"/>
      <c r="L24"/>
      <c r="M24"/>
      <c r="N24"/>
      <c r="O24"/>
      <c r="P24"/>
      <c r="Q24"/>
      <c r="R24"/>
      <c r="S24"/>
      <c r="T24"/>
      <c r="U24"/>
    </row>
    <row r="25" spans="1:21" ht="15" customHeight="1">
      <c r="A25" s="22"/>
      <c r="B25" s="492" t="s">
        <v>468</v>
      </c>
      <c r="C25" s="484" t="s">
        <v>469</v>
      </c>
      <c r="D25" s="484" t="s">
        <v>272</v>
      </c>
      <c r="E25" s="17"/>
      <c r="F25" s="17"/>
      <c r="G25" s="17"/>
      <c r="H25" s="17"/>
      <c r="I25" s="18"/>
      <c r="J25" s="31"/>
      <c r="K25"/>
      <c r="L25" s="476" t="s">
        <v>421</v>
      </c>
      <c r="M25" s="477"/>
      <c r="N25" s="478"/>
      <c r="O25"/>
      <c r="P25"/>
      <c r="Q25"/>
      <c r="R25"/>
      <c r="S25"/>
      <c r="T25"/>
      <c r="U25"/>
    </row>
    <row r="26" spans="1:21" ht="15" customHeight="1">
      <c r="A26" s="22"/>
      <c r="B26" s="493" t="s">
        <v>429</v>
      </c>
      <c r="C26" s="491" t="s">
        <v>429</v>
      </c>
      <c r="D26" s="491" t="s">
        <v>429</v>
      </c>
      <c r="E26" s="17"/>
      <c r="F26" s="17"/>
      <c r="G26" s="17"/>
      <c r="H26" s="17"/>
      <c r="I26" s="18"/>
      <c r="J26" s="31"/>
      <c r="K26"/>
      <c r="L26"/>
      <c r="M26"/>
      <c r="N26"/>
      <c r="O26"/>
      <c r="P26"/>
      <c r="Q26"/>
      <c r="R26"/>
      <c r="S26"/>
      <c r="T26"/>
      <c r="U26"/>
    </row>
    <row r="27" spans="1:21" ht="15" customHeight="1">
      <c r="A27" s="22"/>
      <c r="B27" s="496">
        <v>0.04</v>
      </c>
      <c r="C27" s="497">
        <v>0.01</v>
      </c>
      <c r="D27" s="497">
        <v>0.06</v>
      </c>
      <c r="E27" s="17"/>
      <c r="F27" s="17"/>
      <c r="G27" s="17"/>
      <c r="H27" s="17"/>
      <c r="I27" s="18"/>
      <c r="J27" s="31"/>
      <c r="K27"/>
      <c r="L27" t="s">
        <v>464</v>
      </c>
      <c r="M27"/>
      <c r="N27"/>
      <c r="O27"/>
      <c r="P27"/>
      <c r="Q27"/>
      <c r="R27"/>
      <c r="S27"/>
      <c r="T27"/>
      <c r="U27"/>
    </row>
    <row r="28" spans="1:21" ht="15" customHeight="1">
      <c r="A28" s="22"/>
      <c r="B28" s="498"/>
      <c r="C28" s="189"/>
      <c r="D28" s="189"/>
      <c r="E28" s="17"/>
      <c r="F28" s="17"/>
      <c r="G28" s="17"/>
      <c r="H28" s="17"/>
      <c r="I28" s="18"/>
      <c r="J28" s="31"/>
      <c r="K28"/>
      <c r="L28" t="s">
        <v>458</v>
      </c>
      <c r="M28"/>
      <c r="N28"/>
      <c r="O28"/>
      <c r="P28"/>
      <c r="Q28"/>
      <c r="R28"/>
      <c r="S28"/>
      <c r="T28"/>
      <c r="U28"/>
    </row>
    <row r="29" spans="1:21" ht="15" customHeight="1">
      <c r="A29" s="22"/>
      <c r="B29" s="498" t="s">
        <v>475</v>
      </c>
      <c r="C29" s="189"/>
      <c r="D29" s="189"/>
      <c r="E29" s="17"/>
      <c r="F29" s="17"/>
      <c r="G29" s="17"/>
      <c r="H29" s="17"/>
      <c r="I29" s="18"/>
      <c r="J29" s="31"/>
      <c r="K29"/>
      <c r="L29" s="37" t="s">
        <v>459</v>
      </c>
      <c r="M29"/>
      <c r="N29"/>
      <c r="O29"/>
      <c r="P29"/>
      <c r="Q29"/>
      <c r="R29"/>
      <c r="S29"/>
      <c r="T29"/>
      <c r="U29"/>
    </row>
    <row r="30" spans="1:21" ht="15" customHeight="1">
      <c r="A30" s="22"/>
      <c r="B30" s="498" t="s">
        <v>476</v>
      </c>
      <c r="C30" s="17"/>
      <c r="D30" s="17"/>
      <c r="E30" s="17"/>
      <c r="F30" s="17"/>
      <c r="G30" s="17"/>
      <c r="H30" s="17"/>
      <c r="I30" s="18"/>
      <c r="J30" s="31"/>
      <c r="K30"/>
      <c r="L30"/>
      <c r="M30"/>
      <c r="N30"/>
      <c r="O30"/>
      <c r="P30"/>
      <c r="Q30"/>
      <c r="R30"/>
      <c r="S30"/>
      <c r="T30"/>
      <c r="U30"/>
    </row>
    <row r="31" spans="1:21" ht="15" customHeight="1">
      <c r="A31" s="22"/>
      <c r="B31" s="17"/>
      <c r="C31" s="17"/>
      <c r="D31" s="17"/>
      <c r="E31" s="17"/>
      <c r="F31" s="17"/>
      <c r="G31" s="17"/>
      <c r="H31" s="17"/>
      <c r="I31" s="18"/>
      <c r="J31" s="31"/>
      <c r="K31"/>
      <c r="L31" t="s">
        <v>463</v>
      </c>
      <c r="M31"/>
      <c r="N31"/>
      <c r="O31"/>
      <c r="P31"/>
      <c r="Q31"/>
      <c r="R31"/>
      <c r="S31"/>
      <c r="T31"/>
      <c r="U31"/>
    </row>
    <row r="32" spans="1:21" ht="15" customHeight="1">
      <c r="A32" s="22"/>
      <c r="B32" s="17"/>
      <c r="C32" s="17"/>
      <c r="D32" s="17"/>
      <c r="E32" s="17"/>
      <c r="F32" s="17"/>
      <c r="G32" s="17"/>
      <c r="H32" s="17"/>
      <c r="I32" s="18"/>
      <c r="J32" s="31"/>
      <c r="K32"/>
      <c r="L32" s="37" t="s">
        <v>460</v>
      </c>
      <c r="M32"/>
      <c r="N32"/>
      <c r="O32"/>
      <c r="P32"/>
      <c r="Q32"/>
      <c r="R32"/>
      <c r="S32"/>
      <c r="T32"/>
      <c r="U32"/>
    </row>
    <row r="33" spans="1:21" ht="15" customHeight="1">
      <c r="A33" s="22"/>
      <c r="B33" s="17"/>
      <c r="C33" s="17"/>
      <c r="D33" s="17"/>
      <c r="E33" s="17"/>
      <c r="F33" s="17"/>
      <c r="G33" s="17"/>
      <c r="H33" s="17"/>
      <c r="I33" s="18"/>
      <c r="J33" s="31"/>
      <c r="K33" s="48"/>
      <c r="L33" s="1"/>
      <c r="M33"/>
      <c r="N33"/>
      <c r="O33"/>
      <c r="P33"/>
      <c r="Q33"/>
      <c r="R33"/>
      <c r="S33"/>
      <c r="T33"/>
      <c r="U33"/>
    </row>
    <row r="34" spans="1:21" ht="15" customHeight="1">
      <c r="A34" s="22"/>
      <c r="B34" s="17"/>
      <c r="C34" s="17"/>
      <c r="D34" s="17"/>
      <c r="E34" s="17"/>
      <c r="F34" s="17"/>
      <c r="G34" s="17"/>
      <c r="H34" s="17"/>
      <c r="I34" s="18"/>
      <c r="J34" s="31"/>
      <c r="K34"/>
      <c r="L34" s="37" t="s">
        <v>462</v>
      </c>
      <c r="M34"/>
      <c r="N34"/>
      <c r="O34"/>
      <c r="P34"/>
      <c r="Q34"/>
      <c r="R34"/>
      <c r="S34"/>
      <c r="T34"/>
      <c r="U34"/>
    </row>
    <row r="35" spans="1:21" ht="15" customHeight="1">
      <c r="A35" s="22"/>
      <c r="B35" s="17"/>
      <c r="C35" s="17"/>
      <c r="D35" s="17"/>
      <c r="E35" s="17"/>
      <c r="F35" s="17"/>
      <c r="G35" s="17"/>
      <c r="H35" s="17"/>
      <c r="I35" s="18"/>
      <c r="J35" s="31"/>
      <c r="K35" s="48"/>
      <c r="L35" s="37" t="s">
        <v>461</v>
      </c>
      <c r="M35"/>
      <c r="N35"/>
      <c r="O35"/>
      <c r="P35"/>
      <c r="Q35"/>
      <c r="R35"/>
      <c r="S35"/>
      <c r="T35"/>
      <c r="U35"/>
    </row>
    <row r="36" spans="1:21" ht="15" customHeight="1" thickBot="1">
      <c r="A36" s="22"/>
      <c r="B36" s="17"/>
      <c r="C36" s="17"/>
      <c r="D36" s="17"/>
      <c r="E36" s="17"/>
      <c r="F36" s="17"/>
      <c r="G36" s="17"/>
      <c r="H36" s="17"/>
      <c r="I36" s="18"/>
      <c r="J36" s="31"/>
      <c r="K36"/>
      <c r="L36"/>
      <c r="M36"/>
      <c r="N36"/>
      <c r="O36"/>
      <c r="P36"/>
      <c r="Q36"/>
      <c r="R36"/>
      <c r="S36"/>
      <c r="T36"/>
      <c r="U36"/>
    </row>
    <row r="37" spans="1:21" ht="15" customHeight="1" thickBot="1">
      <c r="A37" s="24"/>
      <c r="B37" s="32"/>
      <c r="C37" s="32"/>
      <c r="D37" s="32"/>
      <c r="E37" s="32"/>
      <c r="F37" s="32"/>
      <c r="G37" s="32"/>
      <c r="H37" s="32"/>
      <c r="I37" s="33"/>
      <c r="J37" s="31"/>
      <c r="K37" s="48" t="s">
        <v>4</v>
      </c>
      <c r="L37" s="499" t="s">
        <v>477</v>
      </c>
      <c r="M37" s="37"/>
      <c r="N37" s="37"/>
      <c r="O37" s="346">
        <f>O52</f>
        <v>3661474.4159999997</v>
      </c>
      <c r="P37" s="159" t="s">
        <v>478</v>
      </c>
      <c r="Q37"/>
      <c r="R37"/>
      <c r="S37"/>
      <c r="T37"/>
      <c r="U37"/>
    </row>
    <row r="38" spans="1:21" ht="15" customHeight="1">
      <c r="J38" s="31"/>
      <c r="K38"/>
      <c r="L38"/>
      <c r="M38"/>
      <c r="N38"/>
      <c r="O38"/>
      <c r="P38"/>
      <c r="Q38"/>
      <c r="R38"/>
      <c r="S38"/>
      <c r="T38"/>
      <c r="U38"/>
    </row>
    <row r="39" spans="1:21" ht="15" customHeight="1">
      <c r="J39" s="31"/>
      <c r="K39"/>
      <c r="L39" s="1" t="s">
        <v>481</v>
      </c>
      <c r="M39"/>
      <c r="N39"/>
      <c r="O39"/>
      <c r="P39"/>
      <c r="Q39"/>
      <c r="R39"/>
      <c r="S39"/>
      <c r="T39"/>
      <c r="U39"/>
    </row>
    <row r="40" spans="1:21" ht="15" customHeight="1">
      <c r="J40" s="31"/>
      <c r="K40"/>
      <c r="L40" s="500"/>
      <c r="M40" s="130"/>
      <c r="N40" s="130"/>
      <c r="O40" s="130"/>
      <c r="P40" s="130"/>
      <c r="Q40" s="130"/>
      <c r="R40"/>
      <c r="S40"/>
      <c r="T40"/>
      <c r="U40"/>
    </row>
    <row r="41" spans="1:21" ht="15" customHeight="1">
      <c r="J41" s="31"/>
      <c r="K41"/>
      <c r="L41" s="507"/>
      <c r="M41" s="505" t="s">
        <v>373</v>
      </c>
      <c r="N41" s="511" t="s">
        <v>272</v>
      </c>
      <c r="O41" s="506" t="s">
        <v>471</v>
      </c>
      <c r="P41" s="130"/>
      <c r="R41"/>
      <c r="S41"/>
      <c r="T41"/>
      <c r="U41"/>
    </row>
    <row r="42" spans="1:21" ht="15" customHeight="1">
      <c r="J42" s="31"/>
      <c r="K42"/>
      <c r="L42" s="508" t="s">
        <v>89</v>
      </c>
      <c r="M42" s="504" t="s">
        <v>272</v>
      </c>
      <c r="N42" s="514" t="s">
        <v>470</v>
      </c>
      <c r="O42" s="877" t="s">
        <v>272</v>
      </c>
      <c r="P42" s="130"/>
      <c r="R42"/>
      <c r="S42"/>
      <c r="T42"/>
      <c r="U42"/>
    </row>
    <row r="43" spans="1:21" ht="15" customHeight="1">
      <c r="J43" s="31"/>
      <c r="K43"/>
      <c r="L43" s="509">
        <v>2022</v>
      </c>
      <c r="M43" s="480">
        <f>F20</f>
        <v>3670</v>
      </c>
      <c r="N43" s="512" t="s">
        <v>976</v>
      </c>
      <c r="O43" s="873">
        <f>ROUND(M43*(1+D27)^3, 0)</f>
        <v>4371</v>
      </c>
      <c r="P43" s="130"/>
      <c r="R43" s="502"/>
      <c r="S43"/>
      <c r="T43" s="501"/>
      <c r="U43"/>
    </row>
    <row r="44" spans="1:21" ht="15" customHeight="1">
      <c r="J44" s="31"/>
      <c r="K44"/>
      <c r="L44" s="509">
        <v>2023</v>
      </c>
      <c r="M44" s="480">
        <f>F21</f>
        <v>3500</v>
      </c>
      <c r="N44" s="512" t="s">
        <v>977</v>
      </c>
      <c r="O44" s="873">
        <f>ROUND(M44*(1+D27)^2, 0)</f>
        <v>3933</v>
      </c>
      <c r="P44" s="130"/>
      <c r="R44" s="502"/>
      <c r="S44"/>
      <c r="T44" s="501"/>
      <c r="U44"/>
    </row>
    <row r="45" spans="1:21" ht="15" customHeight="1">
      <c r="J45" s="31"/>
      <c r="K45"/>
      <c r="L45" s="510">
        <v>2024</v>
      </c>
      <c r="M45" s="872" t="s">
        <v>472</v>
      </c>
      <c r="N45" s="513" t="s">
        <v>479</v>
      </c>
      <c r="O45" s="874" t="s">
        <v>472</v>
      </c>
      <c r="P45" s="130"/>
      <c r="R45" s="502"/>
      <c r="S45"/>
      <c r="T45" s="501"/>
      <c r="U45"/>
    </row>
    <row r="46" spans="1:21" ht="15" customHeight="1">
      <c r="B46" s="31"/>
      <c r="C46" s="31"/>
      <c r="D46" s="31"/>
      <c r="E46" s="31"/>
      <c r="F46" s="31"/>
      <c r="G46" s="31"/>
      <c r="H46" s="31"/>
      <c r="I46" s="31"/>
      <c r="J46" s="31"/>
      <c r="K46"/>
      <c r="L46" s="510">
        <v>2025</v>
      </c>
      <c r="M46" s="504" t="s">
        <v>472</v>
      </c>
      <c r="N46" s="514" t="s">
        <v>473</v>
      </c>
      <c r="O46" s="875">
        <f>ROUND(AVERAGE(O43:O45),0)</f>
        <v>4152</v>
      </c>
      <c r="P46" s="130"/>
      <c r="R46"/>
      <c r="S46"/>
      <c r="T46"/>
      <c r="U46"/>
    </row>
    <row r="47" spans="1:21" ht="15" customHeight="1">
      <c r="B47" s="31"/>
      <c r="C47" s="31"/>
      <c r="D47" s="31"/>
      <c r="E47" s="31"/>
      <c r="F47" s="31"/>
      <c r="G47" s="31"/>
      <c r="H47" s="31"/>
      <c r="I47" s="31"/>
      <c r="J47" s="31"/>
      <c r="K47"/>
      <c r="L47"/>
      <c r="M47"/>
      <c r="N47"/>
      <c r="O47"/>
      <c r="P47"/>
      <c r="Q47"/>
      <c r="R47"/>
      <c r="S47"/>
      <c r="T47"/>
      <c r="U47"/>
    </row>
    <row r="48" spans="1:21" ht="15" customHeight="1">
      <c r="B48" s="31"/>
      <c r="C48" s="31"/>
      <c r="D48" s="31"/>
      <c r="E48" s="31"/>
      <c r="F48" s="31"/>
      <c r="G48" s="31"/>
      <c r="H48" s="31"/>
      <c r="I48" s="31"/>
      <c r="J48" s="31"/>
      <c r="K48"/>
      <c r="L48" s="1" t="s">
        <v>480</v>
      </c>
      <c r="M48"/>
      <c r="N48"/>
      <c r="O48"/>
      <c r="P48"/>
      <c r="Q48"/>
      <c r="R48"/>
      <c r="S48"/>
      <c r="T48"/>
      <c r="U48"/>
    </row>
    <row r="49" spans="2:33" ht="15" customHeight="1">
      <c r="B49" s="31"/>
      <c r="C49" s="31"/>
      <c r="D49" s="31"/>
      <c r="E49" s="31"/>
      <c r="F49" s="31"/>
      <c r="G49" s="31"/>
      <c r="H49" s="31"/>
      <c r="I49" s="31"/>
      <c r="J49" s="31"/>
      <c r="K49"/>
      <c r="L49"/>
      <c r="M49"/>
      <c r="N49"/>
      <c r="O49"/>
      <c r="P49"/>
      <c r="Q49"/>
      <c r="R49"/>
      <c r="S49"/>
      <c r="T49"/>
      <c r="U49"/>
    </row>
    <row r="50" spans="2:33" ht="15" customHeight="1">
      <c r="B50" s="31"/>
      <c r="C50" s="31"/>
      <c r="D50" s="31"/>
      <c r="E50" s="31"/>
      <c r="F50" s="31"/>
      <c r="G50" s="31"/>
      <c r="H50" s="31"/>
      <c r="I50" s="31"/>
      <c r="J50" s="31"/>
      <c r="K50"/>
      <c r="L50" s="515" t="s">
        <v>482</v>
      </c>
      <c r="M50" s="515"/>
      <c r="N50" s="516" t="s">
        <v>34</v>
      </c>
      <c r="O50" s="517" t="s">
        <v>483</v>
      </c>
      <c r="P50" s="515"/>
      <c r="Q50"/>
      <c r="R50"/>
      <c r="S50"/>
      <c r="T50"/>
      <c r="U50"/>
      <c r="V50"/>
      <c r="W50"/>
      <c r="X50"/>
      <c r="Y50"/>
      <c r="Z50"/>
      <c r="AA50"/>
      <c r="AB50"/>
      <c r="AC50"/>
      <c r="AD50"/>
      <c r="AE50"/>
      <c r="AF50"/>
      <c r="AG50"/>
    </row>
    <row r="51" spans="2:33" ht="15" customHeight="1">
      <c r="B51" s="31"/>
      <c r="C51" s="31"/>
      <c r="D51" s="31"/>
      <c r="E51" s="31"/>
      <c r="F51" s="31"/>
      <c r="G51" s="31"/>
      <c r="H51" s="31"/>
      <c r="I51" s="31"/>
      <c r="J51" s="31"/>
      <c r="L51"/>
      <c r="M51"/>
      <c r="N51" s="516" t="s">
        <v>34</v>
      </c>
      <c r="O51" s="277">
        <f>C23</f>
        <v>70100</v>
      </c>
      <c r="P51" s="48" t="s">
        <v>227</v>
      </c>
      <c r="Q51" s="876">
        <f>E16</f>
        <v>1.2579999999999999E-2</v>
      </c>
      <c r="R51" s="295" t="s">
        <v>227</v>
      </c>
      <c r="S51" s="277">
        <f>O46</f>
        <v>4152</v>
      </c>
      <c r="U51"/>
      <c r="V51"/>
      <c r="W51"/>
      <c r="X51"/>
      <c r="Y51"/>
      <c r="Z51"/>
      <c r="AA51"/>
      <c r="AB51"/>
      <c r="AC51"/>
      <c r="AD51"/>
      <c r="AE51"/>
      <c r="AF51"/>
      <c r="AG51"/>
    </row>
    <row r="52" spans="2:33" ht="15" customHeight="1">
      <c r="B52" s="31"/>
      <c r="C52" s="31"/>
      <c r="D52" s="31"/>
      <c r="E52" s="31"/>
      <c r="F52" s="31"/>
      <c r="G52" s="31"/>
      <c r="H52" s="31"/>
      <c r="I52" s="31"/>
      <c r="J52" s="31"/>
      <c r="L52"/>
      <c r="M52"/>
      <c r="N52" s="516" t="s">
        <v>34</v>
      </c>
      <c r="O52" s="346">
        <f>O51*Q51*S51</f>
        <v>3661474.4159999997</v>
      </c>
      <c r="P52"/>
      <c r="Q52"/>
      <c r="U52"/>
      <c r="V52"/>
      <c r="W52"/>
      <c r="X52"/>
      <c r="Y52"/>
      <c r="Z52"/>
      <c r="AA52"/>
      <c r="AB52"/>
      <c r="AC52"/>
      <c r="AD52"/>
      <c r="AE52"/>
      <c r="AF52"/>
      <c r="AG52"/>
    </row>
    <row r="53" spans="2:33" ht="15" customHeight="1">
      <c r="B53" s="31"/>
      <c r="C53" s="31"/>
      <c r="D53" s="31"/>
      <c r="E53" s="31"/>
      <c r="F53" s="31"/>
      <c r="G53" s="31"/>
      <c r="H53" s="31"/>
      <c r="I53" s="31"/>
      <c r="J53" s="31"/>
      <c r="L53"/>
      <c r="M53"/>
      <c r="N53"/>
      <c r="O53"/>
      <c r="P53"/>
      <c r="Q53"/>
      <c r="U53"/>
      <c r="V53"/>
      <c r="W53"/>
      <c r="X53"/>
      <c r="Y53"/>
      <c r="Z53"/>
      <c r="AA53"/>
      <c r="AB53"/>
      <c r="AC53"/>
      <c r="AD53"/>
      <c r="AE53"/>
      <c r="AF53"/>
      <c r="AG53"/>
    </row>
    <row r="54" spans="2:33" ht="15" customHeight="1">
      <c r="B54" s="31"/>
      <c r="C54" s="31"/>
      <c r="D54" s="31"/>
      <c r="E54" s="31"/>
      <c r="F54" s="31"/>
      <c r="G54" s="31"/>
      <c r="H54" s="31"/>
      <c r="I54" s="31"/>
      <c r="J54" s="31"/>
      <c r="U54"/>
      <c r="V54"/>
      <c r="W54"/>
      <c r="X54"/>
      <c r="Y54"/>
      <c r="Z54"/>
      <c r="AA54"/>
      <c r="AB54"/>
      <c r="AC54"/>
      <c r="AD54"/>
      <c r="AE54"/>
      <c r="AF54"/>
      <c r="AG54"/>
    </row>
    <row r="55" spans="2:33" ht="15" customHeight="1">
      <c r="B55" s="31"/>
      <c r="C55" s="31"/>
      <c r="D55" s="31"/>
      <c r="E55" s="31"/>
      <c r="F55" s="31"/>
      <c r="G55" s="31"/>
      <c r="H55" s="31"/>
      <c r="I55" s="31"/>
      <c r="J55" s="31"/>
      <c r="U55"/>
      <c r="V55"/>
      <c r="W55"/>
      <c r="X55"/>
      <c r="Y55"/>
      <c r="Z55"/>
      <c r="AA55"/>
      <c r="AB55"/>
      <c r="AC55"/>
      <c r="AD55"/>
      <c r="AE55"/>
      <c r="AF55"/>
      <c r="AG55"/>
    </row>
    <row r="56" spans="2:33" ht="15" customHeight="1">
      <c r="B56" s="31"/>
      <c r="C56" s="31"/>
      <c r="D56" s="31"/>
      <c r="E56" s="31"/>
      <c r="F56" s="31"/>
      <c r="G56" s="31"/>
      <c r="H56" s="31"/>
      <c r="I56" s="31"/>
      <c r="J56" s="31"/>
      <c r="U56"/>
      <c r="V56"/>
      <c r="W56"/>
      <c r="X56"/>
      <c r="Y56"/>
      <c r="Z56"/>
      <c r="AA56"/>
      <c r="AB56"/>
      <c r="AC56"/>
      <c r="AD56"/>
      <c r="AE56"/>
      <c r="AF56"/>
      <c r="AG56"/>
    </row>
    <row r="57" spans="2:33" ht="15" customHeight="1">
      <c r="B57" s="31"/>
      <c r="C57" s="31"/>
      <c r="D57" s="31"/>
      <c r="E57" s="31"/>
      <c r="F57" s="31"/>
      <c r="G57" s="31"/>
      <c r="H57" s="31"/>
      <c r="I57" s="31"/>
      <c r="J57" s="31"/>
      <c r="U57"/>
      <c r="V57"/>
      <c r="W57"/>
      <c r="X57"/>
      <c r="Y57"/>
      <c r="Z57"/>
      <c r="AA57"/>
      <c r="AB57"/>
      <c r="AC57"/>
      <c r="AD57"/>
      <c r="AE57"/>
      <c r="AF57"/>
      <c r="AG57"/>
    </row>
    <row r="58" spans="2:33" ht="15" customHeight="1">
      <c r="B58" s="31"/>
      <c r="C58" s="31"/>
      <c r="D58" s="31"/>
      <c r="E58" s="31"/>
      <c r="F58" s="31"/>
      <c r="G58" s="31"/>
      <c r="H58" s="31"/>
      <c r="I58" s="31"/>
      <c r="J58" s="31"/>
      <c r="U58"/>
      <c r="V58"/>
      <c r="W58"/>
      <c r="X58"/>
      <c r="Y58"/>
      <c r="Z58"/>
      <c r="AA58"/>
      <c r="AB58"/>
      <c r="AC58"/>
      <c r="AD58"/>
      <c r="AE58"/>
      <c r="AF58"/>
      <c r="AG58"/>
    </row>
    <row r="59" spans="2:33" ht="15" customHeight="1">
      <c r="B59" s="31"/>
      <c r="C59" s="31"/>
      <c r="D59" s="31"/>
      <c r="E59" s="31"/>
      <c r="F59" s="31"/>
      <c r="G59" s="31"/>
      <c r="H59" s="31"/>
      <c r="I59" s="31"/>
      <c r="J59" s="31"/>
      <c r="U59"/>
      <c r="V59"/>
      <c r="W59"/>
      <c r="X59"/>
      <c r="Y59"/>
      <c r="Z59"/>
      <c r="AA59"/>
      <c r="AB59"/>
      <c r="AC59"/>
      <c r="AD59"/>
      <c r="AE59"/>
      <c r="AF59"/>
      <c r="AG59"/>
    </row>
    <row r="60" spans="2:33" ht="15" customHeight="1">
      <c r="B60" s="31"/>
      <c r="C60" s="31"/>
      <c r="D60" s="31"/>
      <c r="E60" s="31"/>
      <c r="F60" s="31"/>
      <c r="G60" s="31"/>
      <c r="H60" s="31"/>
      <c r="I60" s="31"/>
      <c r="J60" s="31"/>
      <c r="U60"/>
      <c r="V60"/>
      <c r="W60"/>
      <c r="X60"/>
      <c r="Y60"/>
      <c r="Z60"/>
      <c r="AA60"/>
      <c r="AB60"/>
      <c r="AC60"/>
      <c r="AD60"/>
      <c r="AE60"/>
      <c r="AF60"/>
      <c r="AG60"/>
    </row>
    <row r="61" spans="2:33" ht="15" customHeight="1">
      <c r="B61" s="31"/>
      <c r="C61" s="31"/>
      <c r="D61" s="31"/>
      <c r="E61" s="31"/>
      <c r="F61" s="31"/>
      <c r="G61" s="31"/>
      <c r="H61" s="31"/>
      <c r="I61" s="31"/>
      <c r="J61" s="31"/>
      <c r="U61"/>
      <c r="V61"/>
      <c r="W61"/>
      <c r="X61"/>
      <c r="Y61"/>
      <c r="Z61"/>
      <c r="AA61"/>
      <c r="AB61"/>
      <c r="AC61"/>
      <c r="AD61"/>
      <c r="AE61"/>
      <c r="AF61"/>
      <c r="AG61"/>
    </row>
    <row r="62" spans="2:33" ht="15" customHeight="1">
      <c r="B62" s="31"/>
      <c r="C62" s="31"/>
      <c r="D62" s="31"/>
      <c r="E62" s="31"/>
      <c r="F62" s="31"/>
      <c r="G62" s="31"/>
      <c r="H62" s="31"/>
      <c r="I62" s="31"/>
      <c r="J62" s="31"/>
      <c r="U62"/>
      <c r="V62"/>
      <c r="W62"/>
      <c r="X62"/>
      <c r="Y62"/>
      <c r="Z62"/>
      <c r="AA62"/>
      <c r="AB62"/>
      <c r="AC62"/>
      <c r="AD62"/>
      <c r="AE62"/>
      <c r="AF62"/>
      <c r="AG62"/>
    </row>
    <row r="63" spans="2:33" ht="15" customHeight="1">
      <c r="B63" s="31"/>
      <c r="C63" s="31"/>
      <c r="D63" s="31"/>
      <c r="E63" s="31"/>
      <c r="F63" s="31"/>
      <c r="G63" s="31"/>
      <c r="H63" s="31"/>
      <c r="I63" s="31"/>
      <c r="J63" s="31"/>
      <c r="U63"/>
      <c r="V63"/>
      <c r="W63"/>
      <c r="X63"/>
      <c r="Y63"/>
      <c r="Z63"/>
      <c r="AA63"/>
      <c r="AB63"/>
      <c r="AC63"/>
      <c r="AD63"/>
      <c r="AE63"/>
      <c r="AF63"/>
      <c r="AG63"/>
    </row>
    <row r="64" spans="2:33" ht="15" customHeight="1">
      <c r="B64" s="31"/>
      <c r="C64" s="31"/>
      <c r="D64" s="31"/>
      <c r="E64" s="31"/>
      <c r="F64" s="31"/>
      <c r="G64" s="31"/>
      <c r="H64" s="31"/>
      <c r="I64" s="31"/>
      <c r="J64" s="31"/>
      <c r="U64"/>
      <c r="V64"/>
      <c r="W64"/>
      <c r="X64"/>
      <c r="Y64"/>
      <c r="Z64"/>
      <c r="AA64"/>
      <c r="AB64"/>
      <c r="AC64"/>
      <c r="AD64"/>
      <c r="AE64"/>
      <c r="AF64"/>
      <c r="AG64"/>
    </row>
    <row r="65" spans="2:33" ht="15" customHeight="1">
      <c r="B65" s="31"/>
      <c r="C65" s="31"/>
      <c r="D65" s="31"/>
      <c r="E65" s="31"/>
      <c r="F65" s="31"/>
      <c r="G65" s="31"/>
      <c r="H65" s="31"/>
      <c r="I65" s="31"/>
      <c r="J65" s="31"/>
      <c r="U65"/>
      <c r="V65"/>
      <c r="W65"/>
      <c r="X65"/>
      <c r="Y65"/>
      <c r="Z65"/>
      <c r="AA65"/>
      <c r="AB65"/>
      <c r="AC65"/>
      <c r="AD65"/>
      <c r="AE65"/>
      <c r="AF65"/>
      <c r="AG65"/>
    </row>
    <row r="66" spans="2:33" ht="15" customHeight="1">
      <c r="B66" s="31"/>
      <c r="C66" s="31"/>
      <c r="D66" s="31"/>
      <c r="E66" s="31"/>
      <c r="F66" s="31"/>
      <c r="G66" s="31"/>
      <c r="H66" s="31"/>
      <c r="I66" s="31"/>
      <c r="J66" s="31"/>
      <c r="U66"/>
      <c r="V66"/>
      <c r="W66"/>
      <c r="X66"/>
      <c r="Y66"/>
      <c r="Z66"/>
      <c r="AA66"/>
      <c r="AB66"/>
      <c r="AC66"/>
      <c r="AD66"/>
      <c r="AE66"/>
      <c r="AF66"/>
      <c r="AG66"/>
    </row>
    <row r="67" spans="2:33" ht="15" customHeight="1">
      <c r="B67" s="31"/>
      <c r="C67" s="31"/>
      <c r="D67" s="31"/>
      <c r="E67" s="31"/>
      <c r="F67" s="31"/>
      <c r="G67" s="31"/>
      <c r="H67" s="31"/>
      <c r="I67" s="31"/>
      <c r="J67" s="31"/>
      <c r="U67"/>
      <c r="V67"/>
      <c r="W67"/>
      <c r="X67"/>
      <c r="Y67"/>
      <c r="Z67"/>
      <c r="AA67"/>
      <c r="AB67"/>
      <c r="AC67"/>
      <c r="AD67"/>
      <c r="AE67"/>
      <c r="AF67"/>
      <c r="AG67"/>
    </row>
    <row r="68" spans="2:33" ht="15" customHeight="1">
      <c r="B68" s="31"/>
      <c r="C68" s="31"/>
      <c r="D68" s="31"/>
      <c r="E68" s="31"/>
      <c r="F68" s="31"/>
      <c r="G68" s="31"/>
      <c r="H68" s="31"/>
      <c r="I68" s="31"/>
      <c r="J68" s="31"/>
      <c r="U68"/>
      <c r="V68"/>
      <c r="W68"/>
      <c r="X68"/>
      <c r="Y68"/>
      <c r="Z68"/>
      <c r="AA68"/>
      <c r="AB68"/>
      <c r="AC68"/>
      <c r="AD68"/>
      <c r="AE68"/>
      <c r="AF68"/>
      <c r="AG68"/>
    </row>
    <row r="69" spans="2:33" ht="15" customHeight="1">
      <c r="B69" s="31"/>
      <c r="C69" s="31"/>
      <c r="D69" s="31"/>
      <c r="E69" s="31"/>
      <c r="F69" s="31"/>
      <c r="G69" s="31"/>
      <c r="H69" s="31"/>
      <c r="I69" s="31"/>
      <c r="J69" s="31"/>
      <c r="U69"/>
      <c r="V69"/>
      <c r="W69"/>
      <c r="X69"/>
      <c r="Y69"/>
      <c r="Z69"/>
      <c r="AA69"/>
      <c r="AB69"/>
      <c r="AC69"/>
      <c r="AD69"/>
      <c r="AE69"/>
      <c r="AF69"/>
      <c r="AG69"/>
    </row>
    <row r="70" spans="2:33" ht="15" customHeight="1">
      <c r="B70" s="31"/>
      <c r="C70" s="31"/>
      <c r="D70" s="31"/>
      <c r="E70" s="31"/>
      <c r="F70" s="31"/>
      <c r="G70" s="31"/>
      <c r="H70" s="31"/>
      <c r="I70" s="31"/>
      <c r="J70" s="31"/>
      <c r="U70"/>
      <c r="V70"/>
      <c r="W70"/>
      <c r="X70"/>
      <c r="Y70"/>
      <c r="Z70"/>
      <c r="AA70"/>
      <c r="AB70"/>
      <c r="AC70"/>
      <c r="AD70"/>
      <c r="AE70"/>
      <c r="AF70"/>
      <c r="AG70"/>
    </row>
    <row r="71" spans="2:33" ht="15" customHeight="1">
      <c r="B71" s="31"/>
      <c r="C71" s="31"/>
      <c r="D71" s="31"/>
      <c r="E71" s="31"/>
      <c r="F71" s="31"/>
      <c r="G71" s="31"/>
      <c r="H71" s="31"/>
      <c r="I71" s="31"/>
      <c r="J71" s="31"/>
      <c r="U71"/>
      <c r="V71"/>
      <c r="W71"/>
      <c r="X71"/>
      <c r="Y71"/>
      <c r="Z71"/>
      <c r="AA71"/>
      <c r="AB71"/>
      <c r="AC71"/>
      <c r="AD71"/>
      <c r="AE71"/>
      <c r="AF71"/>
      <c r="AG71"/>
    </row>
    <row r="72" spans="2:33" ht="15" customHeight="1">
      <c r="B72" s="31"/>
      <c r="C72" s="31"/>
      <c r="D72" s="31"/>
      <c r="E72" s="31"/>
      <c r="F72" s="31"/>
      <c r="G72" s="31"/>
      <c r="H72" s="31"/>
      <c r="I72" s="31"/>
      <c r="J72" s="31"/>
      <c r="U72"/>
      <c r="V72"/>
      <c r="W72"/>
      <c r="X72"/>
      <c r="Y72"/>
      <c r="Z72"/>
      <c r="AA72"/>
      <c r="AB72"/>
      <c r="AC72"/>
      <c r="AD72"/>
      <c r="AE72"/>
      <c r="AF72"/>
      <c r="AG72"/>
    </row>
    <row r="73" spans="2:33" ht="15" customHeight="1">
      <c r="B73" s="31"/>
      <c r="C73" s="31"/>
      <c r="D73" s="31"/>
      <c r="E73" s="31"/>
      <c r="F73" s="31"/>
      <c r="G73" s="31"/>
      <c r="H73" s="31"/>
      <c r="I73" s="31"/>
      <c r="J73" s="31"/>
      <c r="U73"/>
      <c r="V73"/>
      <c r="W73"/>
      <c r="X73"/>
      <c r="Y73"/>
      <c r="Z73"/>
      <c r="AA73"/>
      <c r="AB73"/>
      <c r="AC73"/>
      <c r="AD73"/>
      <c r="AE73"/>
      <c r="AF73"/>
      <c r="AG73"/>
    </row>
    <row r="74" spans="2:33" ht="15" customHeight="1">
      <c r="B74" s="31"/>
      <c r="C74" s="31"/>
      <c r="D74" s="31"/>
      <c r="E74" s="31"/>
      <c r="F74" s="31"/>
      <c r="G74" s="31"/>
      <c r="H74" s="31"/>
      <c r="I74" s="31"/>
      <c r="J74" s="31"/>
      <c r="U74"/>
      <c r="V74"/>
      <c r="W74"/>
      <c r="X74"/>
      <c r="Y74"/>
      <c r="Z74"/>
      <c r="AA74"/>
      <c r="AB74"/>
      <c r="AC74"/>
      <c r="AD74"/>
      <c r="AE74"/>
      <c r="AF74"/>
      <c r="AG74"/>
    </row>
    <row r="75" spans="2:33" ht="15" customHeight="1">
      <c r="B75" s="31"/>
      <c r="C75" s="31"/>
      <c r="D75" s="31"/>
      <c r="E75" s="31"/>
      <c r="F75" s="31"/>
      <c r="G75" s="31"/>
      <c r="H75" s="31"/>
      <c r="I75" s="31"/>
      <c r="J75" s="31"/>
      <c r="U75"/>
      <c r="V75"/>
      <c r="W75"/>
      <c r="X75"/>
      <c r="Y75"/>
      <c r="Z75"/>
      <c r="AA75"/>
      <c r="AB75"/>
      <c r="AC75"/>
      <c r="AD75"/>
      <c r="AE75"/>
      <c r="AF75"/>
      <c r="AG75"/>
    </row>
    <row r="76" spans="2:33" ht="15" customHeight="1">
      <c r="B76" s="31"/>
      <c r="C76" s="31"/>
      <c r="D76" s="31"/>
      <c r="E76" s="31"/>
      <c r="F76" s="31"/>
      <c r="G76" s="31"/>
      <c r="H76" s="31"/>
      <c r="I76" s="31"/>
      <c r="J76" s="31"/>
    </row>
    <row r="77" spans="2:33" ht="15" customHeight="1">
      <c r="B77" s="31"/>
      <c r="C77" s="31"/>
      <c r="D77" s="31"/>
      <c r="E77" s="31"/>
      <c r="F77" s="31"/>
      <c r="G77" s="31"/>
      <c r="H77" s="31"/>
      <c r="I77" s="31"/>
      <c r="J77" s="31"/>
    </row>
    <row r="78" spans="2:33" ht="15" customHeight="1">
      <c r="B78" s="31"/>
      <c r="C78" s="31"/>
      <c r="D78" s="31"/>
      <c r="E78" s="31"/>
      <c r="F78" s="31"/>
      <c r="G78" s="31"/>
      <c r="H78" s="31"/>
      <c r="I78" s="31"/>
      <c r="J78" s="31"/>
    </row>
    <row r="79" spans="2:33" ht="15" customHeight="1">
      <c r="B79" s="31"/>
      <c r="C79" s="31"/>
      <c r="D79" s="31"/>
      <c r="E79" s="31"/>
      <c r="F79" s="31"/>
      <c r="G79" s="31"/>
      <c r="H79" s="31"/>
      <c r="I79" s="31"/>
      <c r="J79" s="31"/>
    </row>
    <row r="80" spans="2:33"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I100"/>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2" ht="15" customHeight="1">
      <c r="A1" s="7">
        <v>25</v>
      </c>
      <c r="B1" s="27" t="s">
        <v>12</v>
      </c>
      <c r="C1" s="20"/>
      <c r="D1" s="20"/>
      <c r="E1" s="20"/>
      <c r="F1" s="20"/>
      <c r="G1" s="20"/>
      <c r="H1" s="886" t="s">
        <v>24</v>
      </c>
      <c r="I1" s="887"/>
      <c r="K1" s="1" t="s">
        <v>33</v>
      </c>
      <c r="L1" s="52" t="str">
        <f>VLOOKUP(A1,'Point Grid'!$L$8:$T$54,9,FALSE)</f>
        <v>Reserving - Chap 12: Case O/S Methods</v>
      </c>
      <c r="M1"/>
      <c r="N1"/>
      <c r="O1"/>
      <c r="P1"/>
      <c r="Q1"/>
      <c r="R1"/>
      <c r="S1"/>
      <c r="T1"/>
      <c r="U1"/>
    </row>
    <row r="2" spans="1:22" ht="15" customHeight="1">
      <c r="A2" s="22"/>
      <c r="B2" s="19"/>
      <c r="C2" s="19"/>
      <c r="D2" s="19"/>
      <c r="E2" s="19"/>
      <c r="F2" s="19"/>
      <c r="G2" s="19"/>
      <c r="H2" s="19"/>
      <c r="I2" s="23"/>
      <c r="K2" s="1"/>
      <c r="L2"/>
      <c r="M2"/>
      <c r="N2"/>
      <c r="O2"/>
      <c r="P2"/>
      <c r="Q2"/>
      <c r="R2"/>
      <c r="S2"/>
      <c r="T2"/>
      <c r="U2"/>
    </row>
    <row r="3" spans="1:22" ht="15" customHeight="1">
      <c r="A3" s="8" t="s">
        <v>13</v>
      </c>
      <c r="B3" s="17"/>
      <c r="C3" s="17"/>
      <c r="D3" s="17"/>
      <c r="E3" s="17"/>
      <c r="F3" s="17"/>
      <c r="G3" s="17"/>
      <c r="H3" s="17"/>
      <c r="I3" s="18"/>
      <c r="J3" s="31"/>
      <c r="K3" s="48" t="s">
        <v>2</v>
      </c>
      <c r="L3" t="s">
        <v>979</v>
      </c>
      <c r="M3"/>
      <c r="N3"/>
      <c r="O3"/>
      <c r="P3"/>
      <c r="Q3"/>
      <c r="R3"/>
      <c r="S3"/>
      <c r="T3"/>
      <c r="U3"/>
    </row>
    <row r="4" spans="1:22" ht="15" customHeight="1">
      <c r="A4" s="9">
        <f>INDEX('Point Grid'!B:B,MATCH(A1,'Point Grid'!A:A,0))</f>
        <v>1.75</v>
      </c>
      <c r="B4" s="17"/>
      <c r="C4" s="17"/>
      <c r="D4" s="17"/>
      <c r="E4" s="17"/>
      <c r="F4" s="17"/>
      <c r="G4" s="17"/>
      <c r="H4" s="17"/>
      <c r="I4" s="18"/>
      <c r="J4" s="31"/>
      <c r="K4" s="48"/>
      <c r="L4"/>
      <c r="M4"/>
      <c r="N4"/>
      <c r="O4"/>
      <c r="P4"/>
      <c r="Q4"/>
      <c r="R4"/>
      <c r="S4"/>
      <c r="T4"/>
      <c r="U4"/>
    </row>
    <row r="5" spans="1:22" ht="15" customHeight="1">
      <c r="A5" s="16"/>
      <c r="B5" s="17"/>
      <c r="C5" s="17"/>
      <c r="D5" s="17"/>
      <c r="E5" s="17"/>
      <c r="F5" s="17"/>
      <c r="G5" s="17"/>
      <c r="H5" s="17"/>
      <c r="I5" s="18"/>
      <c r="J5" s="31"/>
      <c r="K5" s="48"/>
      <c r="L5" t="s">
        <v>980</v>
      </c>
      <c r="M5"/>
      <c r="N5"/>
      <c r="O5"/>
      <c r="P5"/>
      <c r="Q5"/>
      <c r="R5"/>
      <c r="S5"/>
      <c r="T5"/>
      <c r="U5"/>
    </row>
    <row r="6" spans="1:22" ht="15" customHeight="1">
      <c r="A6" s="25" t="s">
        <v>2</v>
      </c>
      <c r="B6" s="17" t="s">
        <v>500</v>
      </c>
      <c r="C6" s="17"/>
      <c r="D6" s="17"/>
      <c r="E6" s="17"/>
      <c r="F6" s="17"/>
      <c r="G6" s="17"/>
      <c r="H6" s="17"/>
      <c r="I6" s="18"/>
      <c r="J6" s="31"/>
      <c r="K6" s="48"/>
      <c r="L6" t="s">
        <v>981</v>
      </c>
      <c r="M6"/>
      <c r="N6"/>
      <c r="O6"/>
      <c r="P6"/>
      <c r="Q6"/>
      <c r="R6"/>
      <c r="S6"/>
      <c r="T6"/>
      <c r="U6"/>
    </row>
    <row r="7" spans="1:22" ht="15" customHeight="1" thickBot="1">
      <c r="A7" s="9">
        <f>INDEX('Point Grid'!$C$8:$I$54,MATCH($A$1,'Point Grid'!$A$8:$A$54,0),MATCH(A6,'Point Grid'!$C$7:$I$7,0))</f>
        <v>0.25</v>
      </c>
      <c r="B7" s="17" t="s">
        <v>501</v>
      </c>
      <c r="C7" s="17"/>
      <c r="D7" s="17"/>
      <c r="E7" s="17"/>
      <c r="F7" s="17"/>
      <c r="G7" s="17"/>
      <c r="H7" s="17"/>
      <c r="I7" s="18"/>
      <c r="J7" s="31"/>
      <c r="K7" s="48"/>
      <c r="L7"/>
      <c r="M7"/>
      <c r="N7"/>
      <c r="O7"/>
      <c r="P7"/>
      <c r="Q7"/>
      <c r="R7"/>
      <c r="S7"/>
      <c r="T7"/>
      <c r="U7"/>
    </row>
    <row r="8" spans="1:22" ht="15" customHeight="1" thickBot="1">
      <c r="A8" s="5"/>
      <c r="B8" s="17" t="s">
        <v>502</v>
      </c>
      <c r="C8" s="28"/>
      <c r="D8" s="28"/>
      <c r="E8" s="28"/>
      <c r="F8" s="28"/>
      <c r="G8" s="28"/>
      <c r="H8" s="28"/>
      <c r="I8" s="18"/>
      <c r="J8" s="31"/>
      <c r="K8"/>
      <c r="L8"/>
      <c r="M8"/>
      <c r="N8"/>
      <c r="O8"/>
      <c r="P8"/>
      <c r="Q8"/>
      <c r="R8"/>
      <c r="S8"/>
      <c r="T8"/>
      <c r="U8"/>
    </row>
    <row r="9" spans="1:22" ht="15" customHeight="1">
      <c r="A9" s="25"/>
      <c r="B9" s="17" t="s">
        <v>503</v>
      </c>
      <c r="C9" s="17"/>
      <c r="D9" s="17"/>
      <c r="E9" s="17"/>
      <c r="F9" s="17"/>
      <c r="G9" s="17"/>
      <c r="H9" s="17"/>
      <c r="I9" s="18"/>
      <c r="J9" s="31"/>
      <c r="K9" s="48" t="s">
        <v>3</v>
      </c>
      <c r="L9" s="417" t="s">
        <v>107</v>
      </c>
      <c r="M9" s="108" t="s">
        <v>485</v>
      </c>
      <c r="N9" s="108"/>
      <c r="O9" s="108"/>
      <c r="P9" s="108"/>
      <c r="Q9" s="108"/>
      <c r="R9" s="108"/>
      <c r="S9" s="108"/>
      <c r="T9" s="108"/>
      <c r="U9" s="108"/>
      <c r="V9" s="108"/>
    </row>
    <row r="10" spans="1:22" ht="15" customHeight="1">
      <c r="A10" s="25"/>
      <c r="B10" s="17"/>
      <c r="C10" s="17"/>
      <c r="D10" s="17"/>
      <c r="E10" s="17"/>
      <c r="F10" s="17"/>
      <c r="G10" s="17"/>
      <c r="H10" s="17"/>
      <c r="I10" s="18"/>
      <c r="J10" s="31"/>
      <c r="K10"/>
      <c r="L10" s="108"/>
      <c r="M10" s="108"/>
      <c r="N10" s="108"/>
      <c r="O10" s="108"/>
      <c r="P10" s="108"/>
      <c r="Q10" s="108"/>
      <c r="R10" s="108"/>
      <c r="S10" s="108"/>
      <c r="T10" s="108"/>
      <c r="U10" s="108"/>
      <c r="V10" s="108"/>
    </row>
    <row r="11" spans="1:22" ht="15" customHeight="1">
      <c r="A11" s="25"/>
      <c r="B11" s="17" t="s">
        <v>978</v>
      </c>
      <c r="C11" s="17"/>
      <c r="D11" s="17"/>
      <c r="E11" s="17"/>
      <c r="F11" s="17"/>
      <c r="G11" s="17"/>
      <c r="H11" s="17"/>
      <c r="I11" s="18"/>
      <c r="J11" s="31"/>
      <c r="K11"/>
      <c r="L11" s="108"/>
      <c r="M11" s="303" t="s">
        <v>89</v>
      </c>
      <c r="N11" s="518"/>
      <c r="O11" s="519" t="s">
        <v>486</v>
      </c>
      <c r="P11" s="520" t="s">
        <v>413</v>
      </c>
      <c r="Q11" s="521" t="s">
        <v>90</v>
      </c>
      <c r="R11" s="108"/>
      <c r="S11" s="108"/>
      <c r="T11" s="108"/>
      <c r="U11" s="108"/>
      <c r="V11" s="108"/>
    </row>
    <row r="12" spans="1:22" ht="15" customHeight="1">
      <c r="A12" s="25"/>
      <c r="B12" s="17"/>
      <c r="C12" s="17"/>
      <c r="D12" s="17"/>
      <c r="E12" s="17"/>
      <c r="F12" s="17"/>
      <c r="G12" s="17"/>
      <c r="H12" s="17"/>
      <c r="I12" s="18"/>
      <c r="J12" s="31"/>
      <c r="K12"/>
      <c r="L12" s="108"/>
      <c r="M12" s="524">
        <v>2020</v>
      </c>
      <c r="N12" s="525">
        <f>N13+12</f>
        <v>72</v>
      </c>
      <c r="O12" s="526" t="s">
        <v>488</v>
      </c>
      <c r="P12" s="527">
        <f>VLOOKUP(N12,B21:F26,4,FALSE)</f>
        <v>1.0900000000000001</v>
      </c>
      <c r="Q12" s="528">
        <f>VLOOKUP(N12,B21:F26,5,FALSE)</f>
        <v>1.05</v>
      </c>
      <c r="R12" s="529" t="str">
        <f>IF(M12=H13,"  &lt;=====","")</f>
        <v/>
      </c>
      <c r="S12" s="259" t="str">
        <f>IF(M12=H13,"  use these CDFs","")</f>
        <v/>
      </c>
      <c r="T12" s="108"/>
      <c r="U12" s="108"/>
      <c r="V12" s="108"/>
    </row>
    <row r="13" spans="1:22" ht="15" customHeight="1">
      <c r="A13" s="25" t="s">
        <v>3</v>
      </c>
      <c r="B13" s="190" t="s">
        <v>487</v>
      </c>
      <c r="C13" s="190"/>
      <c r="D13" s="190"/>
      <c r="E13" s="544"/>
      <c r="F13" s="544"/>
      <c r="G13" s="545"/>
      <c r="H13" s="473">
        <v>2025</v>
      </c>
      <c r="I13" s="18"/>
      <c r="J13" s="31"/>
      <c r="K13"/>
      <c r="L13" s="108"/>
      <c r="M13" s="524">
        <f>M12+1</f>
        <v>2021</v>
      </c>
      <c r="N13" s="525">
        <f>N14+12</f>
        <v>60</v>
      </c>
      <c r="O13" s="526" t="s">
        <v>488</v>
      </c>
      <c r="P13" s="527">
        <f>VLOOKUP(N13,B21:F26,4,FALSE)</f>
        <v>1.1399999999999999</v>
      </c>
      <c r="Q13" s="528">
        <f>VLOOKUP(N13,B21:F26,5,FALSE)</f>
        <v>1.08</v>
      </c>
      <c r="R13" s="529" t="str">
        <f>IF(M13=H13,"  &lt;=====","")</f>
        <v/>
      </c>
      <c r="S13" s="259" t="str">
        <f>IF(M13=H13,"  use these CDFs","")</f>
        <v/>
      </c>
      <c r="T13" s="108"/>
      <c r="U13" s="108"/>
      <c r="V13" s="108"/>
    </row>
    <row r="14" spans="1:22" ht="15" customHeight="1" thickBot="1">
      <c r="A14" s="9">
        <f>INDEX('Point Grid'!$C$8:$I$54,MATCH($A$1,'Point Grid'!$A$8:$A$54,0),MATCH(A13,'Point Grid'!$C$7:$I$7,0))</f>
        <v>1.5</v>
      </c>
      <c r="B14" s="190"/>
      <c r="C14" s="190"/>
      <c r="D14" s="190"/>
      <c r="E14" s="190"/>
      <c r="F14" s="190"/>
      <c r="G14" s="190"/>
      <c r="H14" s="190"/>
      <c r="I14" s="18"/>
      <c r="J14" s="31"/>
      <c r="K14"/>
      <c r="L14" s="108"/>
      <c r="M14" s="530">
        <f>M13+1</f>
        <v>2022</v>
      </c>
      <c r="N14" s="531">
        <f>N15+12</f>
        <v>48</v>
      </c>
      <c r="O14" s="532" t="s">
        <v>488</v>
      </c>
      <c r="P14" s="533">
        <f>VLOOKUP(N14,B21:F26,4,FALSE)</f>
        <v>1.26</v>
      </c>
      <c r="Q14" s="534">
        <f>VLOOKUP(N14,B21:F26,5,FALSE)</f>
        <v>1.18</v>
      </c>
      <c r="R14" s="529" t="str">
        <f>IF(M14=H13,"  &lt;=====","")</f>
        <v/>
      </c>
      <c r="S14" s="259" t="str">
        <f>IF(M14=H13,"  use these CDFs","")</f>
        <v/>
      </c>
      <c r="T14" s="108"/>
      <c r="U14" s="108"/>
      <c r="V14" s="108"/>
    </row>
    <row r="15" spans="1:22" ht="15" customHeight="1" thickBot="1">
      <c r="A15" s="5"/>
      <c r="B15" s="190"/>
      <c r="C15" s="190"/>
      <c r="D15" s="190"/>
      <c r="E15" s="190"/>
      <c r="F15" s="190"/>
      <c r="G15" s="190"/>
      <c r="H15" s="190"/>
      <c r="I15" s="18"/>
      <c r="J15" s="31"/>
      <c r="K15" s="48"/>
      <c r="L15" s="108"/>
      <c r="M15" s="524">
        <f>M14+1</f>
        <v>2023</v>
      </c>
      <c r="N15" s="525">
        <f>N16+12</f>
        <v>36</v>
      </c>
      <c r="O15" s="526" t="s">
        <v>488</v>
      </c>
      <c r="P15" s="527">
        <f>VLOOKUP(N15,B21:F26,4,FALSE)</f>
        <v>1.48</v>
      </c>
      <c r="Q15" s="528">
        <f>VLOOKUP(N15,B21:F26,5,FALSE)</f>
        <v>1.35</v>
      </c>
      <c r="R15" s="529" t="str">
        <f>IF(M15=H13,"  &lt;=====","")</f>
        <v/>
      </c>
      <c r="S15" s="259" t="str">
        <f>IF(M15=H13,"  use these CDFs","")</f>
        <v/>
      </c>
      <c r="T15" s="108"/>
      <c r="U15" s="108"/>
      <c r="V15" s="108"/>
    </row>
    <row r="16" spans="1:22" ht="15" customHeight="1">
      <c r="A16" s="25"/>
      <c r="B16" s="190" t="s">
        <v>489</v>
      </c>
      <c r="C16" s="190"/>
      <c r="D16" s="190"/>
      <c r="E16" s="190"/>
      <c r="F16" s="190"/>
      <c r="G16" s="190"/>
      <c r="H16" s="190"/>
      <c r="I16" s="18"/>
      <c r="J16" s="31"/>
      <c r="K16"/>
      <c r="L16" s="108"/>
      <c r="M16" s="524">
        <f>M15+1</f>
        <v>2024</v>
      </c>
      <c r="N16" s="525">
        <f>N17+12</f>
        <v>24</v>
      </c>
      <c r="O16" s="526" t="s">
        <v>488</v>
      </c>
      <c r="P16" s="527">
        <f>VLOOKUP(N16,B21:F26,4,FALSE)</f>
        <v>1.81</v>
      </c>
      <c r="Q16" s="528">
        <f>VLOOKUP(N16,B21:F26,5,FALSE)</f>
        <v>1.77</v>
      </c>
      <c r="R16" s="529" t="str">
        <f>IF(M16=H13,"  &lt;=====","")</f>
        <v/>
      </c>
      <c r="S16" s="259" t="str">
        <f>IF(M16=H13,"  use these CDFs","")</f>
        <v/>
      </c>
      <c r="T16" s="108"/>
      <c r="U16" s="108"/>
      <c r="V16" s="108"/>
    </row>
    <row r="17" spans="1:35" ht="15" customHeight="1">
      <c r="A17" s="25"/>
      <c r="B17" s="429"/>
      <c r="C17" s="429"/>
      <c r="D17" s="429"/>
      <c r="E17" s="429"/>
      <c r="F17" s="429"/>
      <c r="G17" s="429"/>
      <c r="H17" s="429"/>
      <c r="I17" s="18"/>
      <c r="J17" s="31"/>
      <c r="K17"/>
      <c r="L17"/>
      <c r="M17" s="530">
        <f>M16+1</f>
        <v>2025</v>
      </c>
      <c r="N17" s="531">
        <v>12</v>
      </c>
      <c r="O17" s="532" t="s">
        <v>488</v>
      </c>
      <c r="P17" s="533">
        <f>VLOOKUP(N17,B21:F26,4,FALSE)</f>
        <v>5</v>
      </c>
      <c r="Q17" s="534">
        <f>VLOOKUP(N17,B21:F26,5,FALSE)</f>
        <v>4</v>
      </c>
      <c r="R17" s="529" t="str">
        <f>IF(M17=H13,"  &lt;=====","")</f>
        <v xml:space="preserve">  &lt;=====</v>
      </c>
      <c r="S17" s="259" t="str">
        <f>IF(M17=H13,"  use these CDFs","")</f>
        <v xml:space="preserve">  use these CDFs</v>
      </c>
      <c r="T17" s="108"/>
      <c r="U17" s="108"/>
      <c r="V17" s="108"/>
    </row>
    <row r="18" spans="1:35" ht="15" customHeight="1">
      <c r="A18" s="25"/>
      <c r="B18" s="546"/>
      <c r="C18" s="547" t="s">
        <v>490</v>
      </c>
      <c r="D18" s="548">
        <v>2025</v>
      </c>
      <c r="E18" s="549">
        <v>4970</v>
      </c>
      <c r="F18" s="550" t="s">
        <v>366</v>
      </c>
      <c r="G18" s="340" t="s">
        <v>491</v>
      </c>
      <c r="H18" s="340"/>
      <c r="I18" s="18"/>
      <c r="J18" s="31"/>
      <c r="K18"/>
      <c r="L18" s="108"/>
      <c r="M18" s="108"/>
      <c r="N18" s="108"/>
      <c r="O18" s="108"/>
      <c r="P18" s="108"/>
      <c r="Q18" s="108"/>
      <c r="R18" s="108"/>
      <c r="S18" s="108"/>
      <c r="T18" s="108"/>
      <c r="U18" s="108"/>
      <c r="V18" s="108"/>
    </row>
    <row r="19" spans="1:35" ht="15" customHeight="1">
      <c r="A19" s="25"/>
      <c r="B19" s="190"/>
      <c r="C19" s="190"/>
      <c r="D19" s="190"/>
      <c r="E19" s="190"/>
      <c r="F19" s="190"/>
      <c r="G19" s="190"/>
      <c r="H19" s="190"/>
      <c r="I19" s="18"/>
      <c r="J19" s="31"/>
      <c r="K19"/>
      <c r="L19" s="246" t="s">
        <v>108</v>
      </c>
      <c r="M19" s="108" t="s">
        <v>493</v>
      </c>
      <c r="N19" s="108"/>
      <c r="O19" s="108"/>
      <c r="P19" s="108"/>
      <c r="Q19" s="108"/>
      <c r="R19" s="108"/>
      <c r="S19" s="108"/>
      <c r="T19" s="108"/>
      <c r="U19" s="523">
        <f>H13</f>
        <v>2025</v>
      </c>
      <c r="V19" s="108"/>
    </row>
    <row r="20" spans="1:35" ht="15" customHeight="1">
      <c r="A20" s="25"/>
      <c r="B20" s="551" t="s">
        <v>492</v>
      </c>
      <c r="C20" s="552"/>
      <c r="D20" s="553"/>
      <c r="E20" s="554" t="s">
        <v>413</v>
      </c>
      <c r="F20" s="554" t="s">
        <v>90</v>
      </c>
      <c r="G20" s="550"/>
      <c r="H20" s="340"/>
      <c r="I20" s="18"/>
      <c r="J20" s="31"/>
      <c r="K20"/>
      <c r="L20" s="108"/>
      <c r="M20" s="108"/>
      <c r="N20" s="108"/>
      <c r="O20" s="108"/>
      <c r="P20" s="108"/>
      <c r="Q20" s="108"/>
      <c r="R20" s="108"/>
      <c r="S20" s="108"/>
      <c r="T20" s="108"/>
      <c r="U20" s="108"/>
      <c r="V20" s="108"/>
    </row>
    <row r="21" spans="1:35" ht="15" customHeight="1">
      <c r="A21" s="25"/>
      <c r="B21" s="421">
        <v>12</v>
      </c>
      <c r="C21" s="555" t="s">
        <v>488</v>
      </c>
      <c r="D21" s="424" t="s">
        <v>494</v>
      </c>
      <c r="E21" s="556">
        <v>5</v>
      </c>
      <c r="F21" s="556">
        <v>4</v>
      </c>
      <c r="G21" s="71"/>
      <c r="H21" s="190"/>
      <c r="I21" s="18"/>
      <c r="J21" s="31"/>
      <c r="K21"/>
      <c r="L21" s="108"/>
      <c r="M21" s="108" t="s">
        <v>495</v>
      </c>
      <c r="N21" s="108"/>
      <c r="O21" s="277" t="s">
        <v>34</v>
      </c>
      <c r="P21" s="535" t="s">
        <v>496</v>
      </c>
      <c r="Q21" s="536" t="s">
        <v>497</v>
      </c>
      <c r="R21" s="536"/>
      <c r="S21" s="537"/>
      <c r="T21" s="538" t="s">
        <v>36</v>
      </c>
      <c r="U21" s="539" t="s">
        <v>498</v>
      </c>
      <c r="V21" s="540"/>
    </row>
    <row r="22" spans="1:35" ht="15" customHeight="1">
      <c r="A22" s="25"/>
      <c r="B22" s="439">
        <v>24</v>
      </c>
      <c r="C22" s="557" t="s">
        <v>488</v>
      </c>
      <c r="D22" s="428" t="s">
        <v>494</v>
      </c>
      <c r="E22" s="558">
        <v>1.81</v>
      </c>
      <c r="F22" s="558">
        <v>1.77</v>
      </c>
      <c r="G22" s="71"/>
      <c r="H22" s="190"/>
      <c r="I22" s="18"/>
      <c r="J22" s="31"/>
      <c r="K22"/>
      <c r="L22" s="108"/>
      <c r="M22" s="108"/>
      <c r="N22" s="108"/>
      <c r="O22" s="277" t="s">
        <v>34</v>
      </c>
      <c r="P22" s="535" t="s">
        <v>496</v>
      </c>
      <c r="Q22" s="536" t="str">
        <f>"[ ( "&amp;VLOOKUP(H13,M12:Q17,5,FALSE)&amp;" -1 ) x " &amp; VLOOKUP(H13,M12:Q17,4,FALSE) &amp; "]"</f>
        <v>[ ( 4 -1 ) x 5]</v>
      </c>
      <c r="R22" s="536"/>
      <c r="S22" s="537"/>
      <c r="T22" s="538" t="s">
        <v>36</v>
      </c>
      <c r="U22" s="539" t="str">
        <f>"( "&amp;VLOOKUP(H13,M12:Q17,4,FALSE)&amp;" - "&amp;VLOOKUP(H13,M12:Q17,5,FALSE)&amp;" )"</f>
        <v>( 5 - 4 )</v>
      </c>
      <c r="V22" s="108"/>
    </row>
    <row r="23" spans="1:35" ht="15" customHeight="1">
      <c r="A23" s="25"/>
      <c r="B23" s="559">
        <v>36</v>
      </c>
      <c r="C23" s="560" t="s">
        <v>488</v>
      </c>
      <c r="D23" s="561" t="s">
        <v>494</v>
      </c>
      <c r="E23" s="562">
        <v>1.48</v>
      </c>
      <c r="F23" s="562">
        <v>1.35</v>
      </c>
      <c r="G23" s="71"/>
      <c r="H23" s="190"/>
      <c r="I23" s="18"/>
      <c r="J23" s="31"/>
      <c r="K23"/>
      <c r="L23" s="108"/>
      <c r="M23" s="108"/>
      <c r="N23" s="108"/>
      <c r="O23" s="277" t="s">
        <v>34</v>
      </c>
      <c r="P23" s="535" t="s">
        <v>496</v>
      </c>
      <c r="Q23" s="541">
        <f>(VLOOKUP(H13,M12:Q17,5,FALSE)-1)*VLOOKUP(H13,M12:Q17,4,FALSE)</f>
        <v>15</v>
      </c>
      <c r="R23" s="536"/>
      <c r="S23" s="537"/>
      <c r="T23" s="538" t="s">
        <v>36</v>
      </c>
      <c r="U23" s="542">
        <f>VLOOKUP(H13,M12:Q17,4,FALSE) -VLOOKUP(H13,M12:Q17,5,FALSE)</f>
        <v>1</v>
      </c>
      <c r="V23" s="108"/>
    </row>
    <row r="24" spans="1:35" ht="15" customHeight="1">
      <c r="A24" s="25"/>
      <c r="B24" s="439">
        <v>48</v>
      </c>
      <c r="C24" s="557" t="s">
        <v>488</v>
      </c>
      <c r="D24" s="428" t="s">
        <v>494</v>
      </c>
      <c r="E24" s="558">
        <v>1.26</v>
      </c>
      <c r="F24" s="558">
        <v>1.18</v>
      </c>
      <c r="G24" s="71"/>
      <c r="H24" s="190"/>
      <c r="I24" s="18"/>
      <c r="J24" s="31"/>
      <c r="K24"/>
      <c r="L24" s="108"/>
      <c r="M24" s="108"/>
      <c r="N24" s="108"/>
      <c r="O24" s="277" t="s">
        <v>34</v>
      </c>
      <c r="P24" s="419">
        <f>ROUND(1+Q23/U23,4)</f>
        <v>16</v>
      </c>
      <c r="Q24" s="108"/>
      <c r="R24" s="108"/>
      <c r="S24" s="108"/>
      <c r="T24" s="108"/>
      <c r="U24" s="108"/>
      <c r="V24" s="108"/>
    </row>
    <row r="25" spans="1:35" ht="15" customHeight="1">
      <c r="A25" s="25"/>
      <c r="B25" s="439">
        <v>60</v>
      </c>
      <c r="C25" s="557" t="s">
        <v>488</v>
      </c>
      <c r="D25" s="428" t="s">
        <v>494</v>
      </c>
      <c r="E25" s="558">
        <v>1.1399999999999999</v>
      </c>
      <c r="F25" s="558">
        <v>1.08</v>
      </c>
      <c r="G25" s="71"/>
      <c r="H25" s="190"/>
      <c r="I25" s="18"/>
      <c r="J25" s="31"/>
      <c r="K25"/>
      <c r="L25" s="108"/>
      <c r="M25" s="108"/>
      <c r="N25" s="108"/>
      <c r="O25" s="108"/>
      <c r="P25" s="108"/>
      <c r="Q25" s="108"/>
      <c r="R25" s="108"/>
      <c r="S25" s="108"/>
      <c r="T25" s="108"/>
      <c r="U25" s="108"/>
      <c r="V25" s="108"/>
    </row>
    <row r="26" spans="1:35" ht="15" customHeight="1">
      <c r="A26" s="25"/>
      <c r="B26" s="559">
        <v>72</v>
      </c>
      <c r="C26" s="560" t="s">
        <v>488</v>
      </c>
      <c r="D26" s="561" t="s">
        <v>494</v>
      </c>
      <c r="E26" s="562">
        <v>1.0900000000000001</v>
      </c>
      <c r="F26" s="562">
        <v>1.05</v>
      </c>
      <c r="G26" s="190"/>
      <c r="H26" s="190"/>
      <c r="I26" s="18"/>
      <c r="J26" s="31"/>
      <c r="K26"/>
      <c r="L26" s="108"/>
      <c r="M26" s="346" t="s">
        <v>412</v>
      </c>
      <c r="N26" s="108"/>
      <c r="O26" s="277" t="s">
        <v>34</v>
      </c>
      <c r="P26" s="108" t="s">
        <v>499</v>
      </c>
      <c r="Q26" s="108"/>
      <c r="R26" s="277" t="s">
        <v>227</v>
      </c>
      <c r="S26" s="108" t="s">
        <v>495</v>
      </c>
      <c r="T26" s="108"/>
      <c r="U26" s="108"/>
      <c r="V26" s="108"/>
    </row>
    <row r="27" spans="1:35" ht="15" customHeight="1">
      <c r="A27" s="25"/>
      <c r="B27" s="17"/>
      <c r="C27" s="28"/>
      <c r="D27" s="28"/>
      <c r="E27" s="28"/>
      <c r="F27" s="28"/>
      <c r="G27" s="28"/>
      <c r="H27" s="28"/>
      <c r="I27" s="18"/>
      <c r="J27" s="31"/>
      <c r="K27"/>
      <c r="L27" s="108"/>
      <c r="M27" s="108"/>
      <c r="N27" s="108"/>
      <c r="O27" s="277" t="s">
        <v>34</v>
      </c>
      <c r="P27" s="277">
        <f>E18</f>
        <v>4970</v>
      </c>
      <c r="Q27" s="108"/>
      <c r="R27" s="277" t="s">
        <v>227</v>
      </c>
      <c r="S27" s="543">
        <f>P24</f>
        <v>16</v>
      </c>
      <c r="T27" s="108"/>
      <c r="U27" s="108"/>
      <c r="V27" s="108"/>
      <c r="W27"/>
      <c r="X27"/>
      <c r="Y27"/>
      <c r="Z27"/>
      <c r="AA27"/>
      <c r="AB27"/>
      <c r="AC27"/>
      <c r="AD27"/>
      <c r="AE27"/>
      <c r="AF27"/>
      <c r="AG27"/>
      <c r="AH27"/>
      <c r="AI27"/>
    </row>
    <row r="28" spans="1:35" ht="15" customHeight="1">
      <c r="A28" s="25"/>
      <c r="B28" s="17"/>
      <c r="C28" s="28"/>
      <c r="D28" s="28"/>
      <c r="E28" s="28"/>
      <c r="F28" s="28"/>
      <c r="G28" s="28"/>
      <c r="H28" s="28"/>
      <c r="I28" s="18"/>
      <c r="J28" s="31"/>
      <c r="K28"/>
      <c r="L28" s="108"/>
      <c r="M28" s="108"/>
      <c r="N28" s="108"/>
      <c r="O28" s="277" t="s">
        <v>34</v>
      </c>
      <c r="P28" s="239">
        <f>P27*S27</f>
        <v>79520</v>
      </c>
      <c r="Q28" s="529"/>
      <c r="R28" s="159"/>
      <c r="S28" s="108"/>
      <c r="T28" s="108"/>
      <c r="U28" s="108"/>
      <c r="V28" s="108"/>
      <c r="W28"/>
      <c r="X28"/>
      <c r="Y28"/>
      <c r="Z28"/>
      <c r="AA28"/>
      <c r="AB28"/>
      <c r="AC28"/>
      <c r="AD28"/>
      <c r="AE28"/>
      <c r="AF28"/>
      <c r="AG28"/>
      <c r="AH28"/>
      <c r="AI28"/>
    </row>
    <row r="29" spans="1:35" ht="15" customHeight="1">
      <c r="A29" s="25"/>
      <c r="B29" s="17"/>
      <c r="C29" s="28"/>
      <c r="D29" s="28"/>
      <c r="E29" s="28"/>
      <c r="F29" s="28"/>
      <c r="G29" s="28"/>
      <c r="H29" s="28"/>
      <c r="I29" s="18"/>
      <c r="J29" s="31"/>
      <c r="K29"/>
      <c r="L29" s="108"/>
      <c r="M29" s="108"/>
      <c r="N29" s="108"/>
      <c r="O29" s="108"/>
      <c r="P29" s="159" t="s">
        <v>110</v>
      </c>
      <c r="Q29" s="108"/>
      <c r="R29" s="108"/>
      <c r="S29" s="108"/>
      <c r="T29" s="108"/>
      <c r="U29" s="108"/>
      <c r="V29" s="108"/>
      <c r="W29"/>
      <c r="X29"/>
      <c r="Y29"/>
      <c r="Z29"/>
      <c r="AA29"/>
      <c r="AB29"/>
      <c r="AC29"/>
      <c r="AD29"/>
      <c r="AE29"/>
      <c r="AF29"/>
      <c r="AG29"/>
      <c r="AH29"/>
      <c r="AI29"/>
    </row>
    <row r="30" spans="1:35" ht="15" customHeight="1">
      <c r="A30" s="25"/>
      <c r="B30" s="17"/>
      <c r="C30" s="28"/>
      <c r="D30" s="28"/>
      <c r="E30" s="28"/>
      <c r="F30" s="28"/>
      <c r="G30" s="28"/>
      <c r="H30" s="28"/>
      <c r="I30" s="18"/>
      <c r="J30" s="31"/>
      <c r="K30"/>
      <c r="L30" s="108"/>
      <c r="M30" s="108"/>
      <c r="N30" s="108"/>
      <c r="O30" s="108"/>
      <c r="P30" s="108"/>
      <c r="Q30" s="108"/>
      <c r="R30" s="108"/>
      <c r="S30" s="108"/>
      <c r="T30" s="108"/>
      <c r="U30" s="108"/>
      <c r="V30" s="108"/>
      <c r="W30"/>
      <c r="X30"/>
      <c r="Y30"/>
      <c r="Z30"/>
      <c r="AA30"/>
      <c r="AB30"/>
      <c r="AC30"/>
      <c r="AD30"/>
      <c r="AE30"/>
      <c r="AF30"/>
      <c r="AG30"/>
      <c r="AH30"/>
      <c r="AI30"/>
    </row>
    <row r="31" spans="1:35" ht="15" customHeight="1">
      <c r="A31" s="25"/>
      <c r="B31" s="17"/>
      <c r="C31" s="28"/>
      <c r="D31" s="28"/>
      <c r="E31" s="28"/>
      <c r="F31" s="28"/>
      <c r="G31" s="28"/>
      <c r="H31" s="28"/>
      <c r="I31" s="18"/>
      <c r="J31" s="31"/>
      <c r="K31"/>
      <c r="T31" s="277"/>
      <c r="U31" s="277"/>
      <c r="V31" s="108"/>
      <c r="W31"/>
      <c r="X31"/>
      <c r="Y31"/>
      <c r="Z31"/>
      <c r="AA31"/>
      <c r="AB31"/>
      <c r="AC31"/>
      <c r="AD31"/>
      <c r="AE31"/>
      <c r="AF31"/>
      <c r="AG31"/>
      <c r="AH31"/>
      <c r="AI31"/>
    </row>
    <row r="32" spans="1:35" ht="15" customHeight="1">
      <c r="A32" s="22"/>
      <c r="B32" s="17"/>
      <c r="C32" s="17"/>
      <c r="D32" s="17"/>
      <c r="E32" s="17"/>
      <c r="F32" s="17"/>
      <c r="G32" s="17"/>
      <c r="H32" s="17"/>
      <c r="I32" s="18"/>
      <c r="J32" s="31"/>
      <c r="K32" s="48"/>
      <c r="T32" s="108"/>
      <c r="U32" s="108"/>
      <c r="V32" s="108"/>
      <c r="W32"/>
      <c r="X32"/>
      <c r="Y32"/>
      <c r="Z32"/>
      <c r="AA32"/>
      <c r="AB32"/>
      <c r="AC32"/>
      <c r="AD32"/>
      <c r="AE32"/>
      <c r="AF32"/>
      <c r="AG32"/>
      <c r="AH32"/>
      <c r="AI32"/>
    </row>
    <row r="33" spans="1:35" ht="15" customHeight="1" thickBot="1">
      <c r="A33" s="24"/>
      <c r="B33" s="32"/>
      <c r="C33" s="32"/>
      <c r="D33" s="32"/>
      <c r="E33" s="32"/>
      <c r="F33" s="32"/>
      <c r="G33" s="32"/>
      <c r="H33" s="32"/>
      <c r="I33" s="33"/>
      <c r="J33" s="31"/>
      <c r="K33"/>
      <c r="T33" s="108"/>
      <c r="U33" s="277"/>
      <c r="V33" s="108"/>
      <c r="W33"/>
      <c r="X33"/>
      <c r="Y33"/>
      <c r="Z33"/>
      <c r="AA33"/>
      <c r="AB33"/>
      <c r="AC33"/>
      <c r="AD33"/>
      <c r="AE33"/>
      <c r="AF33"/>
      <c r="AG33"/>
      <c r="AH33"/>
      <c r="AI33"/>
    </row>
    <row r="34" spans="1:35" ht="15" customHeight="1">
      <c r="J34" s="31"/>
      <c r="K34" s="48"/>
      <c r="T34" s="108"/>
      <c r="U34" s="108"/>
      <c r="V34" s="108"/>
      <c r="W34"/>
      <c r="X34"/>
      <c r="Y34"/>
      <c r="Z34"/>
      <c r="AA34"/>
      <c r="AB34"/>
      <c r="AC34"/>
      <c r="AD34"/>
      <c r="AE34"/>
      <c r="AF34"/>
      <c r="AG34"/>
      <c r="AH34"/>
      <c r="AI34"/>
    </row>
    <row r="35" spans="1:35" ht="15" customHeight="1">
      <c r="J35" s="31"/>
      <c r="K35"/>
      <c r="T35" s="90"/>
      <c r="U35" s="90"/>
      <c r="V35" s="90"/>
      <c r="W35"/>
      <c r="X35"/>
      <c r="Y35"/>
      <c r="Z35"/>
      <c r="AA35"/>
      <c r="AB35"/>
      <c r="AC35"/>
      <c r="AD35"/>
      <c r="AE35"/>
      <c r="AF35"/>
      <c r="AG35"/>
      <c r="AH35"/>
      <c r="AI35"/>
    </row>
    <row r="36" spans="1:35" ht="15" customHeight="1">
      <c r="J36" s="31"/>
      <c r="K36"/>
      <c r="T36"/>
      <c r="U36"/>
      <c r="V36"/>
      <c r="W36"/>
      <c r="X36"/>
      <c r="Y36"/>
      <c r="Z36"/>
      <c r="AA36"/>
      <c r="AB36"/>
      <c r="AC36"/>
      <c r="AD36"/>
      <c r="AE36"/>
      <c r="AF36"/>
      <c r="AG36"/>
      <c r="AH36"/>
      <c r="AI36"/>
    </row>
    <row r="37" spans="1:35" ht="15" customHeight="1">
      <c r="J37" s="31"/>
      <c r="K37"/>
      <c r="T37" s="108"/>
      <c r="U37" s="108"/>
      <c r="V37" s="108"/>
      <c r="W37"/>
      <c r="X37"/>
      <c r="Y37"/>
      <c r="Z37"/>
      <c r="AA37"/>
      <c r="AB37"/>
      <c r="AC37"/>
      <c r="AD37"/>
      <c r="AE37"/>
      <c r="AF37"/>
      <c r="AG37"/>
      <c r="AH37"/>
      <c r="AI37"/>
    </row>
    <row r="38" spans="1:35" ht="15" customHeight="1">
      <c r="J38" s="31"/>
      <c r="K38"/>
      <c r="T38" s="108"/>
      <c r="U38" s="108"/>
      <c r="V38" s="108"/>
      <c r="W38"/>
      <c r="X38"/>
      <c r="Y38"/>
      <c r="Z38"/>
      <c r="AA38"/>
      <c r="AB38"/>
      <c r="AC38"/>
      <c r="AD38"/>
      <c r="AE38"/>
      <c r="AF38"/>
      <c r="AG38"/>
      <c r="AH38"/>
      <c r="AI38"/>
    </row>
    <row r="39" spans="1:35" ht="15" customHeight="1">
      <c r="J39" s="31"/>
      <c r="K39"/>
      <c r="T39" s="108"/>
      <c r="U39" s="108"/>
      <c r="V39" s="108"/>
      <c r="W39"/>
      <c r="X39"/>
      <c r="Y39"/>
      <c r="Z39"/>
      <c r="AA39"/>
      <c r="AB39"/>
      <c r="AC39"/>
      <c r="AD39"/>
      <c r="AE39"/>
      <c r="AF39"/>
      <c r="AG39"/>
      <c r="AH39"/>
      <c r="AI39"/>
    </row>
    <row r="40" spans="1:35" ht="15" customHeight="1">
      <c r="J40" s="31"/>
      <c r="K40"/>
      <c r="T40" s="108"/>
      <c r="U40" s="108"/>
      <c r="V40" s="108"/>
      <c r="W40"/>
      <c r="X40"/>
      <c r="Y40"/>
      <c r="Z40"/>
      <c r="AA40"/>
      <c r="AB40"/>
      <c r="AC40"/>
      <c r="AD40"/>
      <c r="AE40"/>
      <c r="AF40"/>
      <c r="AG40"/>
      <c r="AH40"/>
      <c r="AI40"/>
    </row>
    <row r="41" spans="1:35" ht="15" customHeight="1">
      <c r="J41" s="31"/>
      <c r="K41"/>
      <c r="T41" s="108"/>
      <c r="U41" s="108"/>
      <c r="V41" s="108"/>
      <c r="W41"/>
      <c r="X41"/>
      <c r="Y41"/>
      <c r="Z41"/>
      <c r="AA41"/>
      <c r="AB41"/>
      <c r="AC41"/>
      <c r="AD41"/>
      <c r="AE41"/>
      <c r="AF41"/>
      <c r="AG41"/>
      <c r="AH41"/>
      <c r="AI41"/>
    </row>
    <row r="42" spans="1:35" ht="15" customHeight="1">
      <c r="J42" s="31"/>
      <c r="K42"/>
      <c r="T42" s="108"/>
      <c r="U42" s="108"/>
      <c r="V42" s="108"/>
      <c r="W42"/>
      <c r="X42"/>
      <c r="Y42"/>
      <c r="Z42"/>
      <c r="AA42"/>
      <c r="AB42"/>
      <c r="AC42"/>
      <c r="AD42"/>
      <c r="AE42"/>
      <c r="AF42"/>
      <c r="AG42"/>
      <c r="AH42"/>
      <c r="AI42"/>
    </row>
    <row r="43" spans="1:35" ht="15" customHeight="1">
      <c r="J43" s="31"/>
      <c r="K43"/>
      <c r="T43" s="108"/>
      <c r="U43" s="108"/>
      <c r="V43" s="108"/>
      <c r="W43"/>
      <c r="X43"/>
      <c r="Y43"/>
      <c r="Z43"/>
      <c r="AA43"/>
      <c r="AB43"/>
      <c r="AC43"/>
      <c r="AD43"/>
      <c r="AE43"/>
      <c r="AF43"/>
      <c r="AG43"/>
      <c r="AH43"/>
      <c r="AI43"/>
    </row>
    <row r="44" spans="1:35" ht="15" customHeight="1">
      <c r="J44" s="31"/>
      <c r="K44"/>
      <c r="T44" s="108"/>
      <c r="U44" s="108"/>
      <c r="V44" s="108"/>
      <c r="W44"/>
      <c r="X44"/>
      <c r="Y44"/>
      <c r="Z44"/>
      <c r="AA44"/>
      <c r="AB44"/>
      <c r="AC44"/>
      <c r="AD44"/>
      <c r="AE44"/>
      <c r="AF44"/>
      <c r="AG44"/>
      <c r="AH44"/>
      <c r="AI44"/>
    </row>
    <row r="45" spans="1:35" ht="15" customHeight="1">
      <c r="B45" s="31"/>
      <c r="C45" s="31"/>
      <c r="D45" s="31"/>
      <c r="E45" s="31"/>
      <c r="F45" s="31"/>
      <c r="G45" s="31"/>
      <c r="H45" s="31"/>
      <c r="I45" s="31"/>
      <c r="J45" s="31"/>
      <c r="K45"/>
      <c r="L45" s="108"/>
      <c r="M45" s="108"/>
      <c r="N45" s="108"/>
      <c r="O45" s="108"/>
      <c r="P45" s="108"/>
      <c r="Q45" s="108"/>
      <c r="R45" s="108"/>
      <c r="S45" s="108"/>
      <c r="T45" s="108"/>
      <c r="U45" s="108"/>
      <c r="V45" s="108"/>
      <c r="W45"/>
      <c r="X45"/>
      <c r="Y45"/>
      <c r="Z45"/>
      <c r="AA45"/>
      <c r="AB45"/>
      <c r="AC45"/>
      <c r="AD45"/>
      <c r="AE45"/>
      <c r="AF45"/>
      <c r="AG45"/>
      <c r="AH45"/>
      <c r="AI45"/>
    </row>
    <row r="46" spans="1:35" ht="15" customHeight="1">
      <c r="B46" s="31"/>
      <c r="C46" s="31"/>
      <c r="D46" s="31"/>
      <c r="E46" s="31"/>
      <c r="F46" s="31"/>
      <c r="G46" s="31"/>
      <c r="H46" s="31"/>
      <c r="I46" s="31"/>
      <c r="J46" s="31"/>
      <c r="K46"/>
      <c r="L46" s="108"/>
      <c r="M46" s="108"/>
      <c r="N46" s="108"/>
      <c r="O46" s="108"/>
      <c r="P46" s="108"/>
      <c r="Q46" s="108"/>
      <c r="R46" s="108"/>
      <c r="S46" s="108"/>
      <c r="T46" s="108"/>
      <c r="U46" s="108"/>
      <c r="V46" s="108"/>
      <c r="W46"/>
      <c r="X46"/>
      <c r="Y46"/>
      <c r="Z46"/>
      <c r="AA46"/>
      <c r="AB46"/>
      <c r="AC46"/>
      <c r="AD46"/>
      <c r="AE46"/>
      <c r="AF46"/>
      <c r="AG46"/>
      <c r="AH46"/>
      <c r="AI46"/>
    </row>
    <row r="47" spans="1:35" ht="15" customHeight="1">
      <c r="B47" s="31"/>
      <c r="C47" s="31"/>
      <c r="D47" s="31"/>
      <c r="E47" s="31"/>
      <c r="F47" s="31"/>
      <c r="G47" s="31"/>
      <c r="H47" s="31"/>
      <c r="I47" s="31"/>
      <c r="J47" s="31"/>
      <c r="K47"/>
      <c r="L47" s="108"/>
      <c r="M47" s="108"/>
      <c r="N47" s="108"/>
      <c r="O47" s="108"/>
      <c r="P47" s="108"/>
      <c r="Q47" s="108"/>
      <c r="R47" s="108"/>
      <c r="S47" s="108"/>
      <c r="T47" s="108"/>
      <c r="U47" s="108"/>
      <c r="V47" s="108"/>
      <c r="W47"/>
      <c r="X47"/>
      <c r="Y47"/>
      <c r="Z47"/>
      <c r="AA47"/>
      <c r="AB47"/>
      <c r="AC47"/>
      <c r="AD47"/>
      <c r="AE47"/>
      <c r="AF47"/>
      <c r="AG47"/>
      <c r="AH47"/>
      <c r="AI47"/>
    </row>
    <row r="48" spans="1:35" ht="15" customHeight="1">
      <c r="B48" s="31"/>
      <c r="C48" s="31"/>
      <c r="D48" s="31"/>
      <c r="E48" s="31"/>
      <c r="F48" s="31"/>
      <c r="G48" s="31"/>
      <c r="H48" s="31"/>
      <c r="I48" s="31"/>
      <c r="J48" s="31"/>
      <c r="K48"/>
      <c r="L48" s="108"/>
      <c r="M48" s="108"/>
      <c r="N48" s="108"/>
      <c r="O48" s="108"/>
      <c r="P48" s="108"/>
      <c r="Q48" s="108"/>
      <c r="R48" s="108"/>
      <c r="S48" s="108"/>
      <c r="T48" s="108"/>
      <c r="U48" s="108"/>
      <c r="V48" s="108"/>
      <c r="W48"/>
      <c r="X48"/>
      <c r="Y48"/>
      <c r="Z48"/>
      <c r="AA48"/>
      <c r="AB48"/>
      <c r="AC48"/>
      <c r="AD48"/>
      <c r="AE48"/>
      <c r="AF48"/>
      <c r="AG48"/>
      <c r="AH48"/>
      <c r="AI48"/>
    </row>
    <row r="49" spans="2:35" ht="15" customHeight="1">
      <c r="B49" s="31"/>
      <c r="C49" s="31"/>
      <c r="D49" s="31"/>
      <c r="E49" s="31"/>
      <c r="F49" s="31"/>
      <c r="G49" s="31"/>
      <c r="H49" s="31"/>
      <c r="I49" s="31"/>
      <c r="J49" s="31"/>
      <c r="K49"/>
      <c r="L49"/>
      <c r="M49"/>
      <c r="N49"/>
      <c r="O49"/>
      <c r="P49"/>
      <c r="Q49"/>
      <c r="R49"/>
      <c r="S49"/>
      <c r="T49"/>
      <c r="U49"/>
      <c r="W49"/>
      <c r="X49"/>
      <c r="Y49"/>
      <c r="Z49"/>
      <c r="AA49"/>
      <c r="AB49"/>
      <c r="AC49"/>
      <c r="AD49"/>
      <c r="AE49"/>
      <c r="AF49"/>
      <c r="AG49"/>
      <c r="AH49"/>
      <c r="AI49"/>
    </row>
    <row r="50" spans="2:35" ht="15" customHeight="1">
      <c r="B50" s="31"/>
      <c r="C50" s="31"/>
      <c r="D50" s="31"/>
      <c r="E50" s="31"/>
      <c r="F50" s="31"/>
      <c r="G50" s="31"/>
      <c r="H50" s="31"/>
      <c r="I50" s="31"/>
      <c r="J50" s="31"/>
      <c r="W50"/>
      <c r="X50"/>
      <c r="Y50"/>
      <c r="Z50"/>
      <c r="AA50"/>
      <c r="AB50"/>
      <c r="AC50"/>
      <c r="AD50"/>
      <c r="AE50"/>
      <c r="AF50"/>
      <c r="AG50"/>
      <c r="AH50"/>
      <c r="AI50"/>
    </row>
    <row r="51" spans="2:35" ht="15" customHeight="1">
      <c r="B51" s="31"/>
      <c r="C51" s="31"/>
      <c r="D51" s="31"/>
      <c r="E51" s="31"/>
      <c r="F51" s="31"/>
      <c r="G51" s="31"/>
      <c r="H51" s="31"/>
      <c r="I51" s="31"/>
      <c r="J51" s="31"/>
      <c r="W51"/>
      <c r="X51"/>
      <c r="Y51"/>
      <c r="Z51"/>
      <c r="AA51"/>
      <c r="AB51"/>
      <c r="AC51"/>
      <c r="AD51"/>
      <c r="AE51"/>
      <c r="AF51"/>
      <c r="AG51"/>
      <c r="AH51"/>
      <c r="AI51"/>
    </row>
    <row r="52" spans="2:35" ht="15" customHeight="1">
      <c r="B52" s="31"/>
      <c r="C52" s="31"/>
      <c r="D52" s="31"/>
      <c r="E52" s="31"/>
      <c r="F52" s="31"/>
      <c r="G52" s="31"/>
      <c r="H52" s="31"/>
      <c r="I52" s="31"/>
      <c r="J52" s="31"/>
      <c r="W52"/>
      <c r="X52"/>
      <c r="Y52"/>
      <c r="Z52"/>
      <c r="AA52"/>
      <c r="AB52"/>
      <c r="AC52"/>
      <c r="AD52"/>
      <c r="AE52"/>
      <c r="AF52"/>
      <c r="AG52"/>
      <c r="AH52"/>
      <c r="AI52"/>
    </row>
    <row r="53" spans="2:35" ht="15" customHeight="1">
      <c r="B53" s="31"/>
      <c r="C53" s="31"/>
      <c r="D53" s="31"/>
      <c r="E53" s="31"/>
      <c r="F53" s="31"/>
      <c r="G53" s="31"/>
      <c r="H53" s="31"/>
      <c r="I53" s="31"/>
      <c r="J53" s="31"/>
      <c r="W53"/>
      <c r="X53"/>
      <c r="Y53"/>
      <c r="Z53"/>
      <c r="AA53"/>
      <c r="AB53"/>
      <c r="AC53"/>
      <c r="AD53"/>
      <c r="AE53"/>
      <c r="AF53"/>
      <c r="AG53"/>
      <c r="AH53"/>
      <c r="AI53"/>
    </row>
    <row r="54" spans="2:35" ht="15" customHeight="1">
      <c r="B54" s="31"/>
      <c r="C54" s="31"/>
      <c r="D54" s="31"/>
      <c r="E54" s="31"/>
      <c r="F54" s="31"/>
      <c r="G54" s="31"/>
      <c r="H54" s="31"/>
      <c r="I54" s="31"/>
      <c r="J54" s="31"/>
      <c r="W54"/>
      <c r="X54"/>
      <c r="Y54"/>
      <c r="Z54"/>
      <c r="AA54"/>
      <c r="AB54"/>
      <c r="AC54"/>
      <c r="AD54"/>
      <c r="AE54"/>
      <c r="AF54"/>
      <c r="AG54"/>
      <c r="AH54"/>
      <c r="AI54"/>
    </row>
    <row r="55" spans="2:35" ht="15" customHeight="1">
      <c r="B55" s="31"/>
      <c r="C55" s="31"/>
      <c r="D55" s="31"/>
      <c r="E55" s="31"/>
      <c r="F55" s="31"/>
      <c r="G55" s="31"/>
      <c r="H55" s="31"/>
      <c r="I55" s="31"/>
      <c r="J55" s="31"/>
      <c r="W55"/>
      <c r="X55"/>
      <c r="Y55"/>
      <c r="Z55"/>
      <c r="AA55"/>
      <c r="AB55"/>
      <c r="AC55"/>
      <c r="AD55"/>
      <c r="AE55"/>
      <c r="AF55"/>
      <c r="AG55"/>
      <c r="AH55"/>
      <c r="AI55"/>
    </row>
    <row r="56" spans="2:35" ht="15" customHeight="1">
      <c r="B56" s="31"/>
      <c r="C56" s="31"/>
      <c r="D56" s="31"/>
      <c r="E56" s="31"/>
      <c r="F56" s="31"/>
      <c r="G56" s="31"/>
      <c r="H56" s="31"/>
      <c r="I56" s="31"/>
      <c r="J56" s="31"/>
      <c r="W56"/>
      <c r="X56"/>
      <c r="Y56"/>
      <c r="Z56"/>
      <c r="AA56"/>
      <c r="AB56"/>
      <c r="AC56"/>
      <c r="AD56"/>
      <c r="AE56"/>
      <c r="AF56"/>
      <c r="AG56"/>
      <c r="AH56"/>
      <c r="AI56"/>
    </row>
    <row r="57" spans="2:35" ht="15" customHeight="1">
      <c r="B57" s="31"/>
      <c r="C57" s="31"/>
      <c r="D57" s="31"/>
      <c r="E57" s="31"/>
      <c r="F57" s="31"/>
      <c r="G57" s="31"/>
      <c r="H57" s="31"/>
      <c r="I57" s="31"/>
      <c r="J57" s="31"/>
      <c r="W57"/>
      <c r="X57"/>
      <c r="Y57"/>
      <c r="Z57"/>
      <c r="AA57"/>
      <c r="AB57"/>
      <c r="AC57"/>
      <c r="AD57"/>
      <c r="AE57"/>
      <c r="AF57"/>
      <c r="AG57"/>
      <c r="AH57"/>
      <c r="AI57"/>
    </row>
    <row r="58" spans="2:35" ht="15" customHeight="1">
      <c r="B58" s="31"/>
      <c r="C58" s="31"/>
      <c r="D58" s="31"/>
      <c r="E58" s="31"/>
      <c r="F58" s="31"/>
      <c r="G58" s="31"/>
      <c r="H58" s="31"/>
      <c r="I58" s="31"/>
      <c r="J58" s="31"/>
      <c r="W58"/>
      <c r="X58"/>
      <c r="Y58"/>
      <c r="Z58"/>
      <c r="AA58"/>
      <c r="AB58"/>
      <c r="AC58"/>
      <c r="AD58"/>
      <c r="AE58"/>
      <c r="AF58"/>
      <c r="AG58"/>
      <c r="AH58"/>
      <c r="AI58"/>
    </row>
    <row r="59" spans="2:35" ht="15" customHeight="1">
      <c r="B59" s="31"/>
      <c r="C59" s="31"/>
      <c r="D59" s="31"/>
      <c r="E59" s="31"/>
      <c r="F59" s="31"/>
      <c r="G59" s="31"/>
      <c r="H59" s="31"/>
      <c r="I59" s="31"/>
      <c r="J59" s="31"/>
      <c r="W59"/>
      <c r="X59"/>
      <c r="Y59"/>
      <c r="Z59"/>
      <c r="AA59"/>
      <c r="AB59"/>
      <c r="AC59"/>
      <c r="AD59"/>
      <c r="AE59"/>
      <c r="AF59"/>
      <c r="AG59"/>
      <c r="AH59"/>
      <c r="AI59"/>
    </row>
    <row r="60" spans="2:35" ht="15" customHeight="1">
      <c r="B60" s="31"/>
      <c r="C60" s="31"/>
      <c r="D60" s="31"/>
      <c r="E60" s="31"/>
      <c r="F60" s="31"/>
      <c r="G60" s="31"/>
      <c r="H60" s="31"/>
      <c r="I60" s="31"/>
      <c r="J60" s="31"/>
      <c r="W60"/>
      <c r="X60"/>
      <c r="Y60"/>
      <c r="Z60"/>
      <c r="AA60"/>
      <c r="AB60"/>
      <c r="AC60"/>
      <c r="AD60"/>
      <c r="AE60"/>
      <c r="AF60"/>
      <c r="AG60"/>
      <c r="AH60"/>
      <c r="AI60"/>
    </row>
    <row r="61" spans="2:35" ht="15" customHeight="1">
      <c r="B61" s="31"/>
      <c r="C61" s="31"/>
      <c r="D61" s="31"/>
      <c r="E61" s="31"/>
      <c r="F61" s="31"/>
      <c r="G61" s="31"/>
      <c r="H61" s="31"/>
      <c r="I61" s="31"/>
      <c r="J61" s="31"/>
      <c r="W61"/>
      <c r="X61"/>
      <c r="Y61"/>
      <c r="Z61"/>
      <c r="AA61"/>
      <c r="AB61"/>
      <c r="AC61"/>
      <c r="AD61"/>
      <c r="AE61"/>
      <c r="AF61"/>
      <c r="AG61"/>
      <c r="AH61"/>
      <c r="AI61"/>
    </row>
    <row r="62" spans="2:35" ht="15" customHeight="1">
      <c r="B62" s="31"/>
      <c r="C62" s="31"/>
      <c r="D62" s="31"/>
      <c r="E62" s="31"/>
      <c r="F62" s="31"/>
      <c r="G62" s="31"/>
      <c r="H62" s="31"/>
      <c r="I62" s="31"/>
      <c r="J62" s="31"/>
      <c r="W62"/>
      <c r="X62"/>
      <c r="Y62"/>
      <c r="Z62"/>
      <c r="AA62"/>
      <c r="AB62"/>
      <c r="AC62"/>
      <c r="AD62"/>
      <c r="AE62"/>
      <c r="AF62"/>
      <c r="AG62"/>
      <c r="AH62"/>
      <c r="AI62"/>
    </row>
    <row r="63" spans="2:35" ht="15" customHeight="1">
      <c r="B63" s="31"/>
      <c r="C63" s="31"/>
      <c r="D63" s="31"/>
      <c r="E63" s="31"/>
      <c r="F63" s="31"/>
      <c r="G63" s="31"/>
      <c r="H63" s="31"/>
      <c r="I63" s="31"/>
      <c r="J63" s="31"/>
      <c r="W63"/>
      <c r="X63"/>
      <c r="Y63"/>
      <c r="Z63"/>
      <c r="AA63"/>
      <c r="AB63"/>
      <c r="AC63"/>
      <c r="AD63"/>
      <c r="AE63"/>
      <c r="AF63"/>
      <c r="AG63"/>
      <c r="AH63"/>
      <c r="AI63"/>
    </row>
    <row r="64" spans="2:35" ht="15" customHeight="1">
      <c r="B64" s="31"/>
      <c r="C64" s="31"/>
      <c r="D64" s="31"/>
      <c r="E64" s="31"/>
      <c r="F64" s="31"/>
      <c r="G64" s="31"/>
      <c r="H64" s="31"/>
      <c r="I64" s="31"/>
      <c r="J64" s="31"/>
      <c r="W64"/>
      <c r="X64"/>
      <c r="Y64"/>
      <c r="Z64"/>
      <c r="AA64"/>
      <c r="AB64"/>
      <c r="AC64"/>
      <c r="AD64"/>
      <c r="AE64"/>
      <c r="AF64"/>
      <c r="AG64"/>
      <c r="AH64"/>
      <c r="AI64"/>
    </row>
    <row r="65" spans="2:35" ht="15" customHeight="1">
      <c r="B65" s="31"/>
      <c r="C65" s="31"/>
      <c r="D65" s="31"/>
      <c r="E65" s="31"/>
      <c r="F65" s="31"/>
      <c r="G65" s="31"/>
      <c r="H65" s="31"/>
      <c r="I65" s="31"/>
      <c r="J65" s="31"/>
      <c r="W65"/>
      <c r="X65"/>
      <c r="Y65"/>
      <c r="Z65"/>
      <c r="AA65"/>
      <c r="AB65"/>
      <c r="AC65"/>
      <c r="AD65"/>
      <c r="AE65"/>
      <c r="AF65"/>
      <c r="AG65"/>
      <c r="AH65"/>
      <c r="AI65"/>
    </row>
    <row r="66" spans="2:35" ht="15" customHeight="1">
      <c r="B66" s="31"/>
      <c r="C66" s="31"/>
      <c r="D66" s="31"/>
      <c r="E66" s="31"/>
      <c r="F66" s="31"/>
      <c r="G66" s="31"/>
      <c r="H66" s="31"/>
      <c r="I66" s="31"/>
      <c r="J66" s="31"/>
      <c r="W66"/>
      <c r="X66"/>
      <c r="Y66"/>
      <c r="Z66"/>
      <c r="AA66"/>
      <c r="AB66"/>
      <c r="AC66"/>
      <c r="AD66"/>
      <c r="AE66"/>
      <c r="AF66"/>
      <c r="AG66"/>
      <c r="AH66"/>
      <c r="AI66"/>
    </row>
    <row r="67" spans="2:35" ht="15" customHeight="1">
      <c r="B67" s="31"/>
      <c r="C67" s="31"/>
      <c r="D67" s="31"/>
      <c r="E67" s="31"/>
      <c r="F67" s="31"/>
      <c r="G67" s="31"/>
      <c r="H67" s="31"/>
      <c r="I67" s="31"/>
      <c r="J67" s="31"/>
      <c r="W67"/>
      <c r="X67"/>
      <c r="Y67"/>
      <c r="Z67"/>
      <c r="AA67"/>
      <c r="AB67"/>
      <c r="AC67"/>
      <c r="AD67"/>
      <c r="AE67"/>
      <c r="AF67"/>
      <c r="AG67"/>
      <c r="AH67"/>
      <c r="AI67"/>
    </row>
    <row r="68" spans="2:35" ht="15" customHeight="1">
      <c r="B68" s="31"/>
      <c r="C68" s="31"/>
      <c r="D68" s="31"/>
      <c r="E68" s="31"/>
      <c r="F68" s="31"/>
      <c r="G68" s="31"/>
      <c r="H68" s="31"/>
      <c r="I68" s="31"/>
      <c r="J68" s="31"/>
      <c r="W68"/>
      <c r="X68"/>
      <c r="Y68"/>
      <c r="Z68"/>
      <c r="AA68"/>
      <c r="AB68"/>
      <c r="AC68"/>
      <c r="AD68"/>
      <c r="AE68"/>
      <c r="AF68"/>
      <c r="AG68"/>
      <c r="AH68"/>
      <c r="AI68"/>
    </row>
    <row r="69" spans="2:35" ht="15" customHeight="1">
      <c r="B69" s="31"/>
      <c r="C69" s="31"/>
      <c r="D69" s="31"/>
      <c r="E69" s="31"/>
      <c r="F69" s="31"/>
      <c r="G69" s="31"/>
      <c r="H69" s="31"/>
      <c r="I69" s="31"/>
      <c r="J69" s="31"/>
      <c r="W69"/>
      <c r="X69"/>
      <c r="Y69"/>
      <c r="Z69"/>
      <c r="AA69"/>
      <c r="AB69"/>
      <c r="AC69"/>
      <c r="AD69"/>
      <c r="AE69"/>
      <c r="AF69"/>
      <c r="AG69"/>
      <c r="AH69"/>
      <c r="AI69"/>
    </row>
    <row r="70" spans="2:35" ht="15" customHeight="1">
      <c r="B70" s="31"/>
      <c r="C70" s="31"/>
      <c r="D70" s="31"/>
      <c r="E70" s="31"/>
      <c r="F70" s="31"/>
      <c r="G70" s="31"/>
      <c r="H70" s="31"/>
      <c r="I70" s="31"/>
      <c r="J70" s="31"/>
      <c r="W70"/>
      <c r="X70"/>
      <c r="Y70"/>
      <c r="Z70"/>
      <c r="AA70"/>
      <c r="AB70"/>
      <c r="AC70"/>
      <c r="AD70"/>
      <c r="AE70"/>
      <c r="AF70"/>
      <c r="AG70"/>
      <c r="AH70"/>
      <c r="AI70"/>
    </row>
    <row r="71" spans="2:35" ht="15" customHeight="1">
      <c r="B71" s="31"/>
      <c r="C71" s="31"/>
      <c r="D71" s="31"/>
      <c r="E71" s="31"/>
      <c r="F71" s="31"/>
      <c r="G71" s="31"/>
      <c r="H71" s="31"/>
      <c r="I71" s="31"/>
      <c r="J71" s="31"/>
      <c r="W71"/>
      <c r="X71"/>
      <c r="Y71"/>
      <c r="Z71"/>
      <c r="AA71"/>
      <c r="AB71"/>
      <c r="AC71"/>
      <c r="AD71"/>
      <c r="AE71"/>
      <c r="AF71"/>
      <c r="AG71"/>
      <c r="AH71"/>
      <c r="AI71"/>
    </row>
    <row r="72" spans="2:35" ht="15" customHeight="1">
      <c r="B72" s="31"/>
      <c r="C72" s="31"/>
      <c r="D72" s="31"/>
      <c r="E72" s="31"/>
      <c r="F72" s="31"/>
      <c r="G72" s="31"/>
      <c r="H72" s="31"/>
      <c r="I72" s="31"/>
      <c r="J72" s="31"/>
      <c r="W72"/>
      <c r="X72"/>
      <c r="Y72"/>
      <c r="Z72"/>
      <c r="AA72"/>
      <c r="AB72"/>
      <c r="AC72"/>
      <c r="AD72"/>
      <c r="AE72"/>
      <c r="AF72"/>
      <c r="AG72"/>
      <c r="AH72"/>
      <c r="AI72"/>
    </row>
    <row r="73" spans="2:35" ht="15" customHeight="1">
      <c r="B73" s="31"/>
      <c r="C73" s="31"/>
      <c r="D73" s="31"/>
      <c r="E73" s="31"/>
      <c r="F73" s="31"/>
      <c r="G73" s="31"/>
      <c r="H73" s="31"/>
      <c r="I73" s="31"/>
      <c r="J73" s="31"/>
      <c r="W73"/>
      <c r="X73"/>
      <c r="Y73"/>
      <c r="Z73"/>
      <c r="AA73"/>
      <c r="AB73"/>
      <c r="AC73"/>
      <c r="AD73"/>
      <c r="AE73"/>
      <c r="AF73"/>
      <c r="AG73"/>
      <c r="AH73"/>
      <c r="AI73"/>
    </row>
    <row r="74" spans="2:35" ht="15" customHeight="1">
      <c r="B74" s="31"/>
      <c r="C74" s="31"/>
      <c r="D74" s="31"/>
      <c r="E74" s="31"/>
      <c r="F74" s="31"/>
      <c r="G74" s="31"/>
      <c r="H74" s="31"/>
      <c r="I74" s="31"/>
      <c r="J74" s="31"/>
      <c r="W74"/>
      <c r="X74"/>
      <c r="Y74"/>
      <c r="Z74"/>
      <c r="AA74"/>
      <c r="AB74"/>
      <c r="AC74"/>
      <c r="AD74"/>
      <c r="AE74"/>
      <c r="AF74"/>
      <c r="AG74"/>
      <c r="AH74"/>
      <c r="AI74"/>
    </row>
    <row r="75" spans="2:35" ht="15" customHeight="1">
      <c r="B75" s="31"/>
      <c r="C75" s="31"/>
      <c r="D75" s="31"/>
      <c r="E75" s="31"/>
      <c r="F75" s="31"/>
      <c r="G75" s="31"/>
      <c r="H75" s="31"/>
      <c r="I75" s="31"/>
      <c r="J75" s="31"/>
      <c r="W75"/>
      <c r="X75"/>
      <c r="Y75"/>
      <c r="Z75"/>
      <c r="AA75"/>
      <c r="AB75"/>
      <c r="AC75"/>
      <c r="AD75"/>
      <c r="AE75"/>
      <c r="AF75"/>
      <c r="AG75"/>
      <c r="AH75"/>
      <c r="AI75"/>
    </row>
    <row r="76" spans="2:35" ht="15" customHeight="1">
      <c r="B76" s="31"/>
      <c r="C76" s="31"/>
      <c r="D76" s="31"/>
      <c r="E76" s="31"/>
      <c r="F76" s="31"/>
      <c r="G76" s="31"/>
      <c r="H76" s="31"/>
      <c r="I76" s="31"/>
      <c r="J76" s="31"/>
      <c r="W76"/>
      <c r="X76"/>
      <c r="Y76"/>
      <c r="Z76"/>
      <c r="AA76"/>
      <c r="AB76"/>
      <c r="AC76"/>
      <c r="AD76"/>
      <c r="AE76"/>
      <c r="AF76"/>
      <c r="AG76"/>
      <c r="AH76"/>
      <c r="AI76"/>
    </row>
    <row r="77" spans="2:35" ht="15" customHeight="1">
      <c r="B77" s="31"/>
      <c r="C77" s="31"/>
      <c r="D77" s="31"/>
      <c r="E77" s="31"/>
      <c r="F77" s="31"/>
      <c r="G77" s="31"/>
      <c r="H77" s="31"/>
      <c r="I77" s="31"/>
      <c r="J77" s="31"/>
      <c r="W77"/>
      <c r="X77"/>
      <c r="Y77"/>
      <c r="Z77"/>
      <c r="AA77"/>
      <c r="AB77"/>
      <c r="AC77"/>
      <c r="AD77"/>
      <c r="AE77"/>
      <c r="AF77"/>
      <c r="AG77"/>
      <c r="AH77"/>
      <c r="AI77"/>
    </row>
    <row r="78" spans="2:35" ht="15" customHeight="1">
      <c r="B78" s="31"/>
      <c r="C78" s="31"/>
      <c r="D78" s="31"/>
      <c r="E78" s="31"/>
      <c r="F78" s="31"/>
      <c r="G78" s="31"/>
      <c r="H78" s="31"/>
      <c r="I78" s="31"/>
      <c r="J78" s="31"/>
      <c r="W78"/>
      <c r="X78"/>
      <c r="Y78"/>
      <c r="Z78"/>
      <c r="AA78"/>
      <c r="AB78"/>
      <c r="AC78"/>
      <c r="AD78"/>
      <c r="AE78"/>
      <c r="AF78"/>
      <c r="AG78"/>
      <c r="AH78"/>
      <c r="AI78"/>
    </row>
    <row r="79" spans="2:35" ht="15" customHeight="1">
      <c r="B79" s="31"/>
      <c r="C79" s="31"/>
      <c r="D79" s="31"/>
      <c r="E79" s="31"/>
      <c r="F79" s="31"/>
      <c r="G79" s="31"/>
      <c r="H79" s="31"/>
      <c r="I79" s="31"/>
      <c r="J79" s="31"/>
      <c r="W79"/>
      <c r="X79"/>
      <c r="Y79"/>
      <c r="Z79"/>
      <c r="AA79"/>
      <c r="AB79"/>
      <c r="AC79"/>
      <c r="AD79"/>
      <c r="AE79"/>
      <c r="AF79"/>
      <c r="AG79"/>
      <c r="AH79"/>
      <c r="AI79"/>
    </row>
    <row r="80" spans="2:35" ht="15" customHeight="1">
      <c r="B80" s="31"/>
      <c r="C80" s="31"/>
      <c r="D80" s="31"/>
      <c r="E80" s="31"/>
      <c r="F80" s="31"/>
      <c r="G80" s="31"/>
      <c r="H80" s="31"/>
      <c r="I80" s="31"/>
      <c r="J80" s="31"/>
      <c r="W80"/>
      <c r="X80"/>
      <c r="Y80"/>
      <c r="Z80"/>
      <c r="AA80"/>
      <c r="AB80"/>
      <c r="AC80"/>
      <c r="AD80"/>
      <c r="AE80"/>
      <c r="AF80"/>
      <c r="AG80"/>
      <c r="AH80"/>
      <c r="AI80"/>
    </row>
    <row r="81" spans="2:35" ht="15" customHeight="1">
      <c r="B81" s="31"/>
      <c r="C81" s="31"/>
      <c r="D81" s="31"/>
      <c r="E81" s="31"/>
      <c r="F81" s="31"/>
      <c r="G81" s="31"/>
      <c r="H81" s="31"/>
      <c r="I81" s="31"/>
      <c r="J81" s="31"/>
      <c r="W81"/>
      <c r="X81"/>
      <c r="Y81"/>
      <c r="Z81"/>
      <c r="AA81"/>
      <c r="AB81"/>
      <c r="AC81"/>
      <c r="AD81"/>
      <c r="AE81"/>
      <c r="AF81"/>
      <c r="AG81"/>
      <c r="AH81"/>
      <c r="AI81"/>
    </row>
    <row r="82" spans="2:35" ht="15" customHeight="1">
      <c r="B82" s="31"/>
      <c r="C82" s="31"/>
      <c r="D82" s="31"/>
      <c r="E82" s="31"/>
      <c r="F82" s="31"/>
      <c r="G82" s="31"/>
      <c r="H82" s="31"/>
      <c r="I82" s="31"/>
      <c r="J82" s="31"/>
      <c r="W82"/>
      <c r="X82"/>
      <c r="Y82"/>
      <c r="Z82"/>
      <c r="AA82"/>
      <c r="AB82"/>
      <c r="AC82"/>
      <c r="AD82"/>
      <c r="AE82"/>
      <c r="AF82"/>
      <c r="AG82"/>
      <c r="AH82"/>
      <c r="AI82"/>
    </row>
    <row r="83" spans="2:35" ht="15" customHeight="1">
      <c r="B83" s="31"/>
      <c r="C83" s="31"/>
      <c r="D83" s="31"/>
      <c r="E83" s="31"/>
      <c r="F83" s="31"/>
      <c r="G83" s="31"/>
      <c r="H83" s="31"/>
      <c r="I83" s="31"/>
      <c r="J83" s="31"/>
      <c r="W83"/>
      <c r="X83"/>
      <c r="Y83"/>
      <c r="Z83"/>
      <c r="AA83"/>
      <c r="AB83"/>
      <c r="AC83"/>
      <c r="AD83"/>
      <c r="AE83"/>
      <c r="AF83"/>
      <c r="AG83"/>
      <c r="AH83"/>
      <c r="AI83"/>
    </row>
    <row r="84" spans="2:35" ht="15" customHeight="1">
      <c r="B84" s="31"/>
      <c r="C84" s="31"/>
      <c r="D84" s="31"/>
      <c r="E84" s="31"/>
      <c r="F84" s="31"/>
      <c r="G84" s="31"/>
      <c r="H84" s="31"/>
      <c r="I84" s="31"/>
      <c r="J84" s="31"/>
      <c r="W84"/>
      <c r="X84"/>
      <c r="Y84"/>
      <c r="Z84"/>
      <c r="AA84"/>
      <c r="AB84"/>
      <c r="AC84"/>
      <c r="AD84"/>
      <c r="AE84"/>
      <c r="AF84"/>
      <c r="AG84"/>
      <c r="AH84"/>
      <c r="AI84"/>
    </row>
    <row r="85" spans="2:35" ht="15" customHeight="1">
      <c r="B85" s="31"/>
      <c r="C85" s="31"/>
      <c r="D85" s="31"/>
      <c r="E85" s="31"/>
      <c r="F85" s="31"/>
      <c r="G85" s="31"/>
      <c r="H85" s="31"/>
      <c r="I85" s="31"/>
      <c r="J85" s="31"/>
      <c r="W85"/>
      <c r="X85"/>
      <c r="Y85"/>
      <c r="Z85"/>
      <c r="AA85"/>
      <c r="AB85"/>
      <c r="AC85"/>
      <c r="AD85"/>
      <c r="AE85"/>
      <c r="AF85"/>
      <c r="AG85"/>
      <c r="AH85"/>
      <c r="AI85"/>
    </row>
    <row r="86" spans="2:35" ht="15" customHeight="1">
      <c r="B86" s="31"/>
      <c r="C86" s="31"/>
      <c r="D86" s="31"/>
      <c r="E86" s="31"/>
      <c r="F86" s="31"/>
      <c r="G86" s="31"/>
      <c r="H86" s="31"/>
      <c r="I86" s="31"/>
      <c r="J86" s="31"/>
      <c r="W86"/>
      <c r="X86"/>
      <c r="Y86"/>
      <c r="Z86"/>
      <c r="AA86"/>
      <c r="AB86"/>
      <c r="AC86"/>
      <c r="AD86"/>
      <c r="AE86"/>
      <c r="AF86"/>
      <c r="AG86"/>
      <c r="AH86"/>
      <c r="AI86"/>
    </row>
    <row r="87" spans="2:35" ht="15" customHeight="1">
      <c r="B87" s="31"/>
      <c r="C87" s="31"/>
      <c r="D87" s="31"/>
      <c r="E87" s="31"/>
      <c r="F87" s="31"/>
      <c r="G87" s="31"/>
      <c r="H87" s="31"/>
      <c r="I87" s="31"/>
      <c r="J87" s="31"/>
      <c r="W87"/>
      <c r="X87"/>
      <c r="Y87"/>
      <c r="Z87"/>
      <c r="AA87"/>
      <c r="AB87"/>
      <c r="AC87"/>
      <c r="AD87"/>
      <c r="AE87"/>
      <c r="AF87"/>
      <c r="AG87"/>
      <c r="AH87"/>
      <c r="AI87"/>
    </row>
    <row r="88" spans="2:35" ht="15" customHeight="1">
      <c r="B88" s="31"/>
      <c r="C88" s="31"/>
      <c r="D88" s="31"/>
      <c r="E88" s="31"/>
      <c r="F88" s="31"/>
      <c r="G88" s="31"/>
      <c r="H88" s="31"/>
      <c r="I88" s="31"/>
      <c r="J88" s="31"/>
      <c r="W88"/>
      <c r="X88"/>
      <c r="Y88"/>
      <c r="Z88"/>
      <c r="AA88"/>
      <c r="AB88"/>
      <c r="AC88"/>
      <c r="AD88"/>
      <c r="AE88"/>
      <c r="AF88"/>
      <c r="AG88"/>
      <c r="AH88"/>
      <c r="AI88"/>
    </row>
    <row r="89" spans="2:35" ht="15" customHeight="1">
      <c r="B89" s="31"/>
      <c r="C89" s="31"/>
      <c r="D89" s="31"/>
      <c r="E89" s="31"/>
      <c r="F89" s="31"/>
      <c r="G89" s="31"/>
      <c r="H89" s="31"/>
      <c r="I89" s="31"/>
      <c r="J89" s="31"/>
      <c r="W89"/>
      <c r="X89"/>
      <c r="Y89"/>
      <c r="Z89"/>
      <c r="AA89"/>
      <c r="AB89"/>
      <c r="AC89"/>
      <c r="AD89"/>
      <c r="AE89"/>
      <c r="AF89"/>
      <c r="AG89"/>
      <c r="AH89"/>
      <c r="AI89"/>
    </row>
    <row r="90" spans="2:35" ht="15" customHeight="1">
      <c r="B90" s="31"/>
      <c r="C90" s="31"/>
      <c r="D90" s="31"/>
      <c r="E90" s="31"/>
      <c r="F90" s="31"/>
      <c r="G90" s="31"/>
      <c r="H90" s="31"/>
      <c r="I90" s="31"/>
      <c r="J90" s="31"/>
      <c r="W90"/>
      <c r="X90"/>
      <c r="Y90"/>
      <c r="Z90"/>
      <c r="AA90"/>
      <c r="AB90"/>
      <c r="AC90"/>
      <c r="AD90"/>
      <c r="AE90"/>
      <c r="AF90"/>
      <c r="AG90"/>
      <c r="AH90"/>
      <c r="AI90"/>
    </row>
    <row r="91" spans="2:35" ht="15" customHeight="1">
      <c r="B91" s="31"/>
      <c r="C91" s="31"/>
      <c r="D91" s="31"/>
      <c r="E91" s="31"/>
      <c r="F91" s="31"/>
      <c r="G91" s="31"/>
      <c r="H91" s="31"/>
      <c r="I91" s="31"/>
      <c r="J91" s="31"/>
      <c r="W91"/>
      <c r="X91"/>
      <c r="Y91"/>
      <c r="Z91"/>
      <c r="AA91"/>
      <c r="AB91"/>
      <c r="AC91"/>
      <c r="AD91"/>
      <c r="AE91"/>
      <c r="AF91"/>
      <c r="AG91"/>
      <c r="AH91"/>
      <c r="AI91"/>
    </row>
    <row r="92" spans="2:35" ht="15" customHeight="1">
      <c r="B92" s="31"/>
      <c r="C92" s="31"/>
      <c r="D92" s="31"/>
      <c r="E92" s="31"/>
      <c r="F92" s="31"/>
      <c r="G92" s="31"/>
      <c r="H92" s="31"/>
      <c r="I92" s="31"/>
      <c r="J92" s="31"/>
      <c r="W92"/>
      <c r="X92"/>
      <c r="Y92"/>
      <c r="Z92"/>
      <c r="AA92"/>
      <c r="AB92"/>
      <c r="AC92"/>
      <c r="AD92"/>
      <c r="AE92"/>
      <c r="AF92"/>
      <c r="AG92"/>
      <c r="AH92"/>
      <c r="AI92"/>
    </row>
    <row r="93" spans="2:35" ht="15" customHeight="1">
      <c r="B93" s="31"/>
      <c r="C93" s="31"/>
      <c r="D93" s="31"/>
      <c r="E93" s="31"/>
      <c r="F93" s="31"/>
      <c r="G93" s="31"/>
      <c r="H93" s="31"/>
      <c r="I93" s="31"/>
      <c r="J93" s="31"/>
      <c r="W93"/>
      <c r="X93"/>
      <c r="Y93"/>
      <c r="Z93"/>
      <c r="AA93"/>
      <c r="AB93"/>
      <c r="AC93"/>
      <c r="AD93"/>
      <c r="AE93"/>
      <c r="AF93"/>
      <c r="AG93"/>
      <c r="AH93"/>
      <c r="AI93"/>
    </row>
    <row r="94" spans="2:35" ht="15" customHeight="1">
      <c r="B94" s="31"/>
      <c r="C94" s="31"/>
      <c r="D94" s="31"/>
      <c r="E94" s="31"/>
      <c r="F94" s="31"/>
      <c r="G94" s="31"/>
      <c r="H94" s="31"/>
      <c r="I94" s="31"/>
      <c r="J94" s="31"/>
      <c r="W94"/>
      <c r="X94"/>
      <c r="Y94"/>
      <c r="Z94"/>
      <c r="AA94"/>
      <c r="AB94"/>
      <c r="AC94"/>
      <c r="AD94"/>
      <c r="AE94"/>
      <c r="AF94"/>
      <c r="AG94"/>
      <c r="AH94"/>
      <c r="AI94"/>
    </row>
    <row r="95" spans="2:35" ht="15" customHeight="1">
      <c r="B95" s="31"/>
      <c r="C95" s="31"/>
      <c r="D95" s="31"/>
      <c r="E95" s="31"/>
      <c r="F95" s="31"/>
      <c r="G95" s="31"/>
      <c r="H95" s="31"/>
      <c r="I95" s="31"/>
      <c r="J95" s="31"/>
      <c r="W95"/>
      <c r="X95"/>
      <c r="Y95"/>
      <c r="Z95"/>
      <c r="AA95"/>
      <c r="AB95"/>
      <c r="AC95"/>
      <c r="AD95"/>
      <c r="AE95"/>
      <c r="AF95"/>
      <c r="AG95"/>
      <c r="AH95"/>
      <c r="AI95"/>
    </row>
    <row r="96" spans="2:35" ht="15" customHeight="1">
      <c r="B96" s="31"/>
      <c r="C96" s="31"/>
      <c r="D96" s="31"/>
      <c r="E96" s="31"/>
      <c r="F96" s="31"/>
      <c r="G96" s="31"/>
      <c r="H96" s="31"/>
      <c r="I96" s="31"/>
      <c r="J96" s="31"/>
      <c r="W96"/>
      <c r="X96"/>
      <c r="Y96"/>
      <c r="Z96"/>
      <c r="AA96"/>
      <c r="AB96"/>
      <c r="AC96"/>
      <c r="AD96"/>
      <c r="AE96"/>
      <c r="AF96"/>
      <c r="AG96"/>
      <c r="AH96"/>
      <c r="AI96"/>
    </row>
    <row r="97" spans="2:35" ht="15" customHeight="1">
      <c r="B97" s="31"/>
      <c r="C97" s="31"/>
      <c r="D97" s="31"/>
      <c r="E97" s="31"/>
      <c r="F97" s="31"/>
      <c r="G97" s="31"/>
      <c r="H97" s="31"/>
      <c r="I97" s="31"/>
      <c r="J97" s="31"/>
      <c r="W97"/>
      <c r="X97"/>
      <c r="Y97"/>
      <c r="Z97"/>
      <c r="AA97"/>
      <c r="AB97"/>
      <c r="AC97"/>
      <c r="AD97"/>
      <c r="AE97"/>
      <c r="AF97"/>
      <c r="AG97"/>
      <c r="AH97"/>
      <c r="AI97"/>
    </row>
    <row r="98" spans="2:35" ht="15" customHeight="1">
      <c r="B98" s="31"/>
      <c r="C98" s="31"/>
      <c r="D98" s="31"/>
      <c r="E98" s="31"/>
      <c r="F98" s="31"/>
      <c r="G98" s="31"/>
      <c r="H98" s="31"/>
      <c r="I98" s="31"/>
      <c r="J98" s="31"/>
      <c r="W98"/>
      <c r="X98"/>
      <c r="Y98"/>
      <c r="Z98"/>
      <c r="AA98"/>
      <c r="AB98"/>
      <c r="AC98"/>
      <c r="AD98"/>
      <c r="AE98"/>
      <c r="AF98"/>
      <c r="AG98"/>
      <c r="AH98"/>
      <c r="AI98"/>
    </row>
    <row r="99" spans="2:35" ht="15" customHeight="1">
      <c r="B99" s="31"/>
      <c r="C99" s="31"/>
      <c r="D99" s="31"/>
      <c r="E99" s="31"/>
      <c r="F99" s="31"/>
      <c r="G99" s="31"/>
      <c r="H99" s="31"/>
      <c r="I99" s="31"/>
      <c r="J99" s="31"/>
      <c r="W99"/>
      <c r="X99"/>
      <c r="Y99"/>
      <c r="Z99"/>
      <c r="AA99"/>
      <c r="AB99"/>
      <c r="AC99"/>
      <c r="AD99"/>
      <c r="AE99"/>
      <c r="AF99"/>
      <c r="AG99"/>
      <c r="AH99"/>
      <c r="AI99"/>
    </row>
    <row r="100" spans="2:35" ht="15" customHeight="1">
      <c r="B100" s="31"/>
      <c r="C100" s="31"/>
      <c r="D100" s="31"/>
      <c r="E100" s="31"/>
      <c r="F100" s="31"/>
      <c r="G100" s="31"/>
      <c r="H100" s="31"/>
      <c r="I100" s="31"/>
      <c r="J100" s="31"/>
      <c r="W100"/>
      <c r="X100"/>
      <c r="Y100"/>
      <c r="Z100"/>
      <c r="AA100"/>
      <c r="AB100"/>
      <c r="AC100"/>
      <c r="AD100"/>
      <c r="AE100"/>
      <c r="AF100"/>
      <c r="AG100"/>
      <c r="AH100"/>
      <c r="AI100"/>
    </row>
  </sheetData>
  <mergeCells count="1">
    <mergeCell ref="H1:I1"/>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101"/>
  <sheetViews>
    <sheetView workbookViewId="0"/>
  </sheetViews>
  <sheetFormatPr defaultColWidth="9.140625" defaultRowHeight="15"/>
  <cols>
    <col min="1" max="1" width="9.140625" style="21"/>
    <col min="2" max="6" width="10.7109375" style="21" customWidth="1"/>
    <col min="7" max="7" width="8.7109375" style="21" customWidth="1"/>
    <col min="8" max="13" width="10.7109375" style="21" customWidth="1"/>
    <col min="14" max="14" width="12.7109375" style="21" customWidth="1"/>
    <col min="15" max="15" width="11.140625" style="21" customWidth="1"/>
    <col min="16" max="16384" width="9.140625" style="21"/>
  </cols>
  <sheetData>
    <row r="1" spans="1:30" ht="15" customHeight="1">
      <c r="A1" s="7">
        <v>26</v>
      </c>
      <c r="B1" s="27" t="s">
        <v>12</v>
      </c>
      <c r="C1" s="20"/>
      <c r="D1" s="20"/>
      <c r="E1" s="20"/>
      <c r="F1" s="20"/>
      <c r="G1" s="20"/>
      <c r="H1" s="20"/>
      <c r="I1" s="20"/>
      <c r="J1" s="20"/>
      <c r="K1" s="17"/>
      <c r="L1" s="17"/>
      <c r="M1" s="17"/>
      <c r="N1" s="886" t="s">
        <v>24</v>
      </c>
      <c r="O1" s="887"/>
      <c r="Q1" s="1" t="s">
        <v>33</v>
      </c>
      <c r="R1" s="52" t="str">
        <f>VLOOKUP(A1,'Point Grid'!$L$8:$T$54,9,FALSE)</f>
        <v>Reserving - Chap 13: Berquist-Sherman Methods</v>
      </c>
      <c r="S1"/>
      <c r="T1"/>
      <c r="U1"/>
      <c r="V1"/>
      <c r="W1"/>
      <c r="X1"/>
      <c r="Y1"/>
      <c r="Z1"/>
      <c r="AA1"/>
    </row>
    <row r="2" spans="1:30" ht="15" customHeight="1">
      <c r="A2" s="22"/>
      <c r="B2" s="19"/>
      <c r="C2" s="19"/>
      <c r="D2" s="19"/>
      <c r="E2" s="19"/>
      <c r="F2" s="19"/>
      <c r="G2" s="19"/>
      <c r="H2" s="19"/>
      <c r="I2" s="19"/>
      <c r="J2" s="19"/>
      <c r="K2" s="19"/>
      <c r="L2" s="19"/>
      <c r="M2" s="19"/>
      <c r="N2" s="19"/>
      <c r="O2" s="23"/>
      <c r="Q2" s="1"/>
      <c r="R2"/>
      <c r="S2"/>
      <c r="T2"/>
      <c r="U2"/>
      <c r="V2"/>
      <c r="W2"/>
      <c r="X2"/>
      <c r="Y2"/>
      <c r="Z2"/>
      <c r="AA2"/>
    </row>
    <row r="3" spans="1:30" ht="15" customHeight="1">
      <c r="A3" s="8" t="s">
        <v>13</v>
      </c>
      <c r="B3" s="17"/>
      <c r="C3" s="17"/>
      <c r="D3" s="17"/>
      <c r="E3" s="17"/>
      <c r="F3" s="17"/>
      <c r="G3" s="17"/>
      <c r="H3" s="17"/>
      <c r="I3" s="17"/>
      <c r="J3" s="17"/>
      <c r="K3" s="17"/>
      <c r="L3" s="17"/>
      <c r="M3" s="17"/>
      <c r="N3" s="17"/>
      <c r="O3" s="18"/>
      <c r="P3" s="31"/>
      <c r="Q3" s="48" t="s">
        <v>2</v>
      </c>
      <c r="R3" t="s">
        <v>997</v>
      </c>
      <c r="S3" t="s">
        <v>1000</v>
      </c>
      <c r="T3"/>
      <c r="U3"/>
      <c r="V3"/>
      <c r="W3"/>
      <c r="X3"/>
      <c r="Y3"/>
      <c r="Z3"/>
      <c r="AA3"/>
    </row>
    <row r="4" spans="1:30" ht="15" customHeight="1">
      <c r="A4" s="9">
        <f>INDEX('Point Grid'!B:B,MATCH(A1,'Point Grid'!A:A,0))</f>
        <v>3</v>
      </c>
      <c r="B4" s="17"/>
      <c r="C4" s="17"/>
      <c r="D4" s="17"/>
      <c r="E4" s="17"/>
      <c r="F4" s="17"/>
      <c r="G4" s="17"/>
      <c r="H4" s="17"/>
      <c r="I4" s="17"/>
      <c r="J4" s="17"/>
      <c r="K4" s="17"/>
      <c r="L4" s="17"/>
      <c r="M4" s="17"/>
      <c r="N4" s="17"/>
      <c r="O4" s="18"/>
      <c r="P4" s="31"/>
      <c r="Q4" s="48"/>
      <c r="R4" t="s">
        <v>998</v>
      </c>
      <c r="S4" t="s">
        <v>1001</v>
      </c>
      <c r="T4"/>
      <c r="U4"/>
      <c r="V4"/>
      <c r="W4"/>
      <c r="X4"/>
      <c r="Y4"/>
      <c r="Z4"/>
      <c r="AA4"/>
    </row>
    <row r="5" spans="1:30" ht="15" customHeight="1">
      <c r="A5" s="16"/>
      <c r="B5" s="17"/>
      <c r="C5" s="17"/>
      <c r="D5" s="17"/>
      <c r="E5" s="17"/>
      <c r="F5" s="17"/>
      <c r="G5" s="17"/>
      <c r="H5" s="17"/>
      <c r="I5" s="17"/>
      <c r="J5" s="17"/>
      <c r="K5" s="17"/>
      <c r="L5" s="17"/>
      <c r="M5" s="17"/>
      <c r="N5" s="17"/>
      <c r="O5" s="18"/>
      <c r="P5" s="31"/>
      <c r="Q5" s="48"/>
      <c r="R5" t="s">
        <v>999</v>
      </c>
      <c r="S5"/>
      <c r="T5"/>
      <c r="U5"/>
      <c r="V5"/>
      <c r="W5"/>
      <c r="X5"/>
      <c r="Y5"/>
      <c r="Z5"/>
      <c r="AA5"/>
    </row>
    <row r="6" spans="1:30" ht="15" customHeight="1">
      <c r="A6" s="25" t="s">
        <v>2</v>
      </c>
      <c r="B6" s="17" t="s">
        <v>982</v>
      </c>
      <c r="C6" s="17"/>
      <c r="D6" s="17"/>
      <c r="E6" s="17"/>
      <c r="F6" s="17"/>
      <c r="G6" s="17"/>
      <c r="H6" s="17"/>
      <c r="I6" s="17"/>
      <c r="J6" s="17"/>
      <c r="K6" s="17"/>
      <c r="L6" s="17"/>
      <c r="M6" s="17"/>
      <c r="N6" s="17"/>
      <c r="O6" s="18"/>
      <c r="P6" s="31"/>
      <c r="Q6" s="48"/>
      <c r="R6" s="1"/>
      <c r="S6"/>
      <c r="T6"/>
      <c r="U6"/>
      <c r="V6"/>
      <c r="W6"/>
      <c r="X6"/>
      <c r="Y6"/>
      <c r="Z6"/>
      <c r="AA6"/>
    </row>
    <row r="7" spans="1:30" ht="15" customHeight="1" thickBot="1">
      <c r="A7" s="9">
        <f>INDEX('Point Grid'!$C$8:$I$54,MATCH($A$1,'Point Grid'!$A$8:$A$54,0),MATCH(A6,'Point Grid'!$C$7:$I$7,0))</f>
        <v>1.25</v>
      </c>
      <c r="B7" s="17" t="s">
        <v>983</v>
      </c>
      <c r="C7" s="17"/>
      <c r="D7" s="17"/>
      <c r="E7" s="17"/>
      <c r="F7" s="17"/>
      <c r="G7" s="17"/>
      <c r="H7" s="17"/>
      <c r="I7" s="17"/>
      <c r="J7" s="17"/>
      <c r="K7" s="17"/>
      <c r="L7" s="17"/>
      <c r="M7" s="17"/>
      <c r="N7" s="17"/>
      <c r="O7" s="18"/>
      <c r="P7" s="31"/>
      <c r="Q7" s="48" t="s">
        <v>3</v>
      </c>
      <c r="R7" t="s">
        <v>544</v>
      </c>
      <c r="S7"/>
      <c r="T7"/>
      <c r="U7"/>
      <c r="V7"/>
      <c r="W7"/>
      <c r="X7"/>
      <c r="Y7"/>
      <c r="Z7"/>
      <c r="AA7"/>
    </row>
    <row r="8" spans="1:30" ht="15" customHeight="1" thickBot="1">
      <c r="A8" s="5"/>
      <c r="B8" s="17"/>
      <c r="C8" s="28"/>
      <c r="D8" s="28"/>
      <c r="E8" s="28"/>
      <c r="F8" s="28"/>
      <c r="G8" s="28"/>
      <c r="H8" s="28"/>
      <c r="I8" s="28"/>
      <c r="J8" s="28"/>
      <c r="K8" s="28"/>
      <c r="L8" s="28"/>
      <c r="M8" s="28"/>
      <c r="N8" s="28"/>
      <c r="O8" s="18"/>
      <c r="P8" s="31"/>
      <c r="Q8"/>
      <c r="R8" t="s">
        <v>545</v>
      </c>
      <c r="S8"/>
      <c r="T8"/>
      <c r="U8"/>
      <c r="V8"/>
      <c r="W8"/>
      <c r="X8"/>
      <c r="Y8"/>
      <c r="Z8"/>
      <c r="AA8"/>
    </row>
    <row r="9" spans="1:30" ht="15" customHeight="1">
      <c r="A9" s="25"/>
      <c r="B9" s="882"/>
      <c r="C9" s="879" t="s">
        <v>996</v>
      </c>
      <c r="D9" s="880"/>
      <c r="E9" s="880"/>
      <c r="F9" s="880"/>
      <c r="G9" s="880"/>
      <c r="H9" s="881"/>
      <c r="I9" s="17"/>
      <c r="J9" s="882"/>
      <c r="K9" s="879" t="s">
        <v>149</v>
      </c>
      <c r="L9" s="880"/>
      <c r="M9" s="880"/>
      <c r="N9" s="881"/>
      <c r="O9" s="18"/>
      <c r="P9" s="31"/>
      <c r="Q9" s="48"/>
      <c r="R9" s="37"/>
      <c r="S9" s="108"/>
      <c r="T9" s="108"/>
      <c r="U9" s="108"/>
      <c r="V9" s="108"/>
      <c r="W9" s="108"/>
      <c r="X9" s="108"/>
      <c r="Y9" s="108"/>
      <c r="Z9" s="108"/>
      <c r="AA9" s="108"/>
      <c r="AB9" s="108"/>
    </row>
    <row r="10" spans="1:30" ht="15" customHeight="1">
      <c r="A10" s="25"/>
      <c r="B10" s="883" t="s">
        <v>204</v>
      </c>
      <c r="C10" s="17" t="s">
        <v>984</v>
      </c>
      <c r="D10" s="17"/>
      <c r="E10" s="17"/>
      <c r="F10" s="17"/>
      <c r="G10" s="17"/>
      <c r="H10" s="86"/>
      <c r="I10" s="17"/>
      <c r="J10" s="883">
        <v>1</v>
      </c>
      <c r="K10" s="17" t="s">
        <v>991</v>
      </c>
      <c r="L10" s="17"/>
      <c r="M10" s="17"/>
      <c r="N10" s="86"/>
      <c r="O10" s="18"/>
      <c r="P10" s="31"/>
      <c r="Q10"/>
      <c r="R10" s="417" t="s">
        <v>504</v>
      </c>
      <c r="S10" s="563" t="s">
        <v>505</v>
      </c>
      <c r="T10" s="564"/>
      <c r="U10" s="564"/>
      <c r="V10" s="564"/>
      <c r="W10" s="564"/>
      <c r="X10" s="564"/>
      <c r="Y10" s="565"/>
      <c r="Z10" s="565"/>
      <c r="AA10" s="565"/>
      <c r="AB10" s="565"/>
      <c r="AC10" s="565"/>
      <c r="AD10" s="566"/>
    </row>
    <row r="11" spans="1:30" ht="15" customHeight="1">
      <c r="A11" s="25"/>
      <c r="B11" s="883" t="s">
        <v>205</v>
      </c>
      <c r="C11" s="17" t="s">
        <v>987</v>
      </c>
      <c r="D11" s="17"/>
      <c r="E11" s="17"/>
      <c r="F11" s="17"/>
      <c r="G11" s="17"/>
      <c r="H11" s="86"/>
      <c r="I11" s="17"/>
      <c r="J11" s="883">
        <v>2</v>
      </c>
      <c r="K11" s="17" t="s">
        <v>992</v>
      </c>
      <c r="L11" s="17"/>
      <c r="M11" s="17"/>
      <c r="N11" s="86"/>
      <c r="O11" s="18"/>
      <c r="P11" s="31"/>
      <c r="Q11"/>
      <c r="R11" s="566"/>
      <c r="S11" s="108"/>
      <c r="T11" s="108"/>
      <c r="U11" s="108"/>
      <c r="V11" s="108"/>
      <c r="W11" s="108"/>
      <c r="X11" s="108"/>
      <c r="Y11" s="108"/>
      <c r="Z11" s="108"/>
      <c r="AA11" s="108"/>
      <c r="AB11" s="108"/>
      <c r="AC11" s="108"/>
      <c r="AD11" s="108"/>
    </row>
    <row r="12" spans="1:30" ht="15" customHeight="1">
      <c r="A12" s="25"/>
      <c r="B12" s="883" t="s">
        <v>206</v>
      </c>
      <c r="C12" s="17" t="s">
        <v>988</v>
      </c>
      <c r="D12" s="17"/>
      <c r="E12" s="17"/>
      <c r="F12" s="17"/>
      <c r="G12" s="17"/>
      <c r="H12" s="86"/>
      <c r="I12" s="17"/>
      <c r="J12" s="883">
        <v>3</v>
      </c>
      <c r="K12" s="17" t="s">
        <v>993</v>
      </c>
      <c r="L12" s="17"/>
      <c r="M12" s="17"/>
      <c r="N12" s="86"/>
      <c r="O12" s="18"/>
      <c r="P12" s="31"/>
      <c r="Q12"/>
      <c r="R12" s="108"/>
      <c r="S12" s="567"/>
      <c r="T12" s="568" t="s">
        <v>506</v>
      </c>
      <c r="U12" s="568"/>
      <c r="V12" s="568"/>
      <c r="W12" s="569"/>
      <c r="X12" s="108"/>
      <c r="Y12" s="567"/>
      <c r="Z12" s="568" t="s">
        <v>507</v>
      </c>
      <c r="AA12" s="568"/>
      <c r="AB12" s="568"/>
      <c r="AC12" s="569"/>
      <c r="AD12" s="108"/>
    </row>
    <row r="13" spans="1:30" ht="15" customHeight="1">
      <c r="A13" s="25"/>
      <c r="B13" s="883" t="s">
        <v>985</v>
      </c>
      <c r="C13" s="17" t="s">
        <v>989</v>
      </c>
      <c r="D13" s="17"/>
      <c r="E13" s="17"/>
      <c r="F13" s="17"/>
      <c r="G13" s="17"/>
      <c r="H13" s="86"/>
      <c r="I13" s="17"/>
      <c r="J13" s="883">
        <v>4</v>
      </c>
      <c r="K13" s="17" t="s">
        <v>994</v>
      </c>
      <c r="L13" s="17"/>
      <c r="M13" s="17"/>
      <c r="N13" s="86"/>
      <c r="O13" s="18"/>
      <c r="P13" s="31"/>
      <c r="Q13" s="48"/>
      <c r="R13" s="108"/>
      <c r="S13" s="570" t="s">
        <v>89</v>
      </c>
      <c r="T13" s="571">
        <v>12</v>
      </c>
      <c r="U13" s="571">
        <v>24</v>
      </c>
      <c r="V13" s="571">
        <v>36</v>
      </c>
      <c r="W13" s="572">
        <v>48</v>
      </c>
      <c r="X13" s="108"/>
      <c r="Y13" s="570" t="s">
        <v>89</v>
      </c>
      <c r="Z13" s="571">
        <v>12</v>
      </c>
      <c r="AA13" s="571">
        <v>24</v>
      </c>
      <c r="AB13" s="571">
        <v>36</v>
      </c>
      <c r="AC13" s="572">
        <v>48</v>
      </c>
      <c r="AD13" s="108"/>
    </row>
    <row r="14" spans="1:30" ht="15" customHeight="1">
      <c r="A14" s="25"/>
      <c r="B14" s="644" t="s">
        <v>986</v>
      </c>
      <c r="C14" s="878" t="s">
        <v>990</v>
      </c>
      <c r="D14" s="878"/>
      <c r="E14" s="878"/>
      <c r="F14" s="878"/>
      <c r="G14" s="878"/>
      <c r="H14" s="85"/>
      <c r="I14" s="17"/>
      <c r="J14" s="644">
        <v>5</v>
      </c>
      <c r="K14" s="878" t="s">
        <v>995</v>
      </c>
      <c r="L14" s="878"/>
      <c r="M14" s="878"/>
      <c r="N14" s="85"/>
      <c r="O14" s="18"/>
      <c r="P14" s="31"/>
      <c r="Q14"/>
      <c r="R14" s="108"/>
      <c r="S14" s="508">
        <f>B21</f>
        <v>2022</v>
      </c>
      <c r="T14" s="574">
        <f>IFERROR(ROUND(C21/C28,1),0)</f>
        <v>7.3</v>
      </c>
      <c r="U14" s="574">
        <f>IFERROR(ROUND(D21/D28,1),0)</f>
        <v>11.7</v>
      </c>
      <c r="V14" s="574">
        <f>IFERROR(ROUND(E21/E28,1),0)</f>
        <v>13.9</v>
      </c>
      <c r="W14" s="575">
        <f>IFERROR(ROUND(F21/F28,1),0)</f>
        <v>14.9</v>
      </c>
      <c r="X14" s="108"/>
      <c r="Y14" s="508">
        <f>B21</f>
        <v>2022</v>
      </c>
      <c r="Z14" s="574">
        <f>IFERROR(ROUND((I21-C21)/(I28-C28),1),0)</f>
        <v>16</v>
      </c>
      <c r="AA14" s="574">
        <f>IFERROR(ROUND((J21-D21)/(J28-D28),1),0)</f>
        <v>44.7</v>
      </c>
      <c r="AB14" s="574">
        <f>IFERROR(ROUND((K21-E21)/(K28-E28),1),0)</f>
        <v>31.6</v>
      </c>
      <c r="AC14" s="576">
        <f>IFERROR(ROUND((L21-F21)/(L28-F28),1),0)</f>
        <v>43.6</v>
      </c>
      <c r="AD14" s="108"/>
    </row>
    <row r="15" spans="1:30" ht="15" customHeight="1">
      <c r="A15" s="25"/>
      <c r="B15" s="35"/>
      <c r="C15" s="17"/>
      <c r="D15" s="17"/>
      <c r="E15" s="17"/>
      <c r="F15" s="17"/>
      <c r="G15" s="17"/>
      <c r="H15" s="17"/>
      <c r="I15" s="17"/>
      <c r="J15" s="17"/>
      <c r="K15" s="17"/>
      <c r="L15" s="17"/>
      <c r="M15" s="17"/>
      <c r="N15" s="17"/>
      <c r="O15" s="18"/>
      <c r="P15" s="31"/>
      <c r="Q15"/>
      <c r="R15" s="108"/>
      <c r="S15" s="508">
        <f>S14+1</f>
        <v>2023</v>
      </c>
      <c r="T15" s="577">
        <f>IFERROR(ROUND(C22/C29,1),0)</f>
        <v>7.3</v>
      </c>
      <c r="U15" s="574">
        <f>IFERROR(ROUND(D22/D29,1),0)</f>
        <v>11.7</v>
      </c>
      <c r="V15" s="574">
        <f>IFERROR(ROUND(E22/E29,1),0)</f>
        <v>14.7</v>
      </c>
      <c r="W15" s="575"/>
      <c r="X15" s="108"/>
      <c r="Y15" s="508">
        <f>Y14+1</f>
        <v>2023</v>
      </c>
      <c r="Z15" s="578">
        <f>IFERROR(ROUND((I22-C22)/(I29-C29),1),0)</f>
        <v>32.200000000000003</v>
      </c>
      <c r="AA15" s="574">
        <f>IFERROR(ROUND((J22-D22)/(J29-D29),1),0)</f>
        <v>48</v>
      </c>
      <c r="AB15" s="579">
        <f>IFERROR(ROUND((K22-E22)/(K29-E29),1),0)</f>
        <v>21.3</v>
      </c>
      <c r="AC15" s="575"/>
      <c r="AD15" s="108"/>
    </row>
    <row r="16" spans="1:30" ht="15" customHeight="1">
      <c r="A16" s="25"/>
      <c r="B16" s="17"/>
      <c r="C16" s="28"/>
      <c r="D16" s="28"/>
      <c r="E16" s="28"/>
      <c r="F16" s="28"/>
      <c r="G16" s="28"/>
      <c r="H16" s="28"/>
      <c r="I16" s="28"/>
      <c r="J16" s="28"/>
      <c r="K16" s="28"/>
      <c r="L16" s="28"/>
      <c r="M16" s="28"/>
      <c r="N16" s="28"/>
      <c r="O16" s="18"/>
      <c r="P16" s="31"/>
      <c r="Q16" s="48"/>
      <c r="R16" s="108"/>
      <c r="S16" s="508">
        <f>S15+1</f>
        <v>2024</v>
      </c>
      <c r="T16" s="574">
        <f>IFERROR(ROUND(C23/C30,1),0)</f>
        <v>7.9</v>
      </c>
      <c r="U16" s="574">
        <f>IFERROR(ROUND(D23/D30,1),0)</f>
        <v>13.8</v>
      </c>
      <c r="V16" s="574"/>
      <c r="W16" s="575"/>
      <c r="X16" s="108"/>
      <c r="Y16" s="508">
        <f>Y15+1</f>
        <v>2024</v>
      </c>
      <c r="Z16" s="574">
        <f>IFERROR(ROUND((I23-C23)/(I30-C30),1),0)</f>
        <v>21.3</v>
      </c>
      <c r="AA16" s="579">
        <f>IFERROR(ROUND((J23-D23)/(J30-D30),1),0)</f>
        <v>32.799999999999997</v>
      </c>
      <c r="AB16" s="574"/>
      <c r="AC16" s="575"/>
      <c r="AD16" s="108"/>
    </row>
    <row r="17" spans="1:30" ht="15" customHeight="1">
      <c r="A17" s="25" t="s">
        <v>3</v>
      </c>
      <c r="B17" s="190" t="s">
        <v>508</v>
      </c>
      <c r="C17" s="190"/>
      <c r="D17" s="190"/>
      <c r="E17" s="190"/>
      <c r="F17" s="190"/>
      <c r="G17" s="472" t="s">
        <v>412</v>
      </c>
      <c r="H17" s="281" t="s">
        <v>394</v>
      </c>
      <c r="I17" s="473">
        <v>2025</v>
      </c>
      <c r="J17" s="119"/>
      <c r="K17" s="17"/>
      <c r="L17" s="17"/>
      <c r="M17" s="17"/>
      <c r="N17" s="17"/>
      <c r="O17" s="18"/>
      <c r="P17" s="31"/>
      <c r="Q17"/>
      <c r="R17" s="108"/>
      <c r="S17" s="580">
        <f>S16+1</f>
        <v>2025</v>
      </c>
      <c r="T17" s="581">
        <f>IFERROR(ROUND(C24/C31,1),0)</f>
        <v>7.9</v>
      </c>
      <c r="U17" s="581"/>
      <c r="V17" s="581"/>
      <c r="W17" s="582"/>
      <c r="X17" s="108"/>
      <c r="Y17" s="580">
        <f>Y16+1</f>
        <v>2025</v>
      </c>
      <c r="Z17" s="583">
        <f>IFERROR(ROUND((I24-C24)/(I31-C31),1),0)</f>
        <v>21.1</v>
      </c>
      <c r="AA17" s="581"/>
      <c r="AB17" s="581"/>
      <c r="AC17" s="582"/>
      <c r="AD17" s="108"/>
    </row>
    <row r="18" spans="1:30" ht="15" customHeight="1" thickBot="1">
      <c r="A18" s="9">
        <f>INDEX('Point Grid'!$C$8:$I$54,MATCH($A$1,'Point Grid'!$A$8:$A$54,0),MATCH(A17,'Point Grid'!$C$7:$I$7,0))</f>
        <v>1.75</v>
      </c>
      <c r="B18" s="17"/>
      <c r="C18" s="17"/>
      <c r="D18" s="17"/>
      <c r="E18" s="17"/>
      <c r="F18" s="17"/>
      <c r="G18" s="17"/>
      <c r="H18" s="17"/>
      <c r="I18" s="17"/>
      <c r="J18" s="17"/>
      <c r="K18" s="17"/>
      <c r="L18" s="17"/>
      <c r="M18" s="17"/>
      <c r="N18" s="17"/>
      <c r="O18" s="18"/>
      <c r="P18" s="31"/>
      <c r="Q18"/>
      <c r="R18" s="108"/>
      <c r="S18" s="108"/>
      <c r="T18" s="277"/>
      <c r="U18" s="277"/>
      <c r="V18" s="277"/>
      <c r="W18" s="108"/>
      <c r="X18" s="108"/>
      <c r="Y18" s="108"/>
      <c r="Z18" s="108"/>
      <c r="AA18" s="108"/>
      <c r="AB18" s="108"/>
      <c r="AC18" s="108"/>
      <c r="AD18" s="108"/>
    </row>
    <row r="19" spans="1:30" ht="15" customHeight="1" thickBot="1">
      <c r="A19" s="5"/>
      <c r="B19" s="620"/>
      <c r="C19" s="621" t="s">
        <v>509</v>
      </c>
      <c r="D19" s="621"/>
      <c r="E19" s="621"/>
      <c r="F19" s="622"/>
      <c r="G19" s="190"/>
      <c r="H19" s="620"/>
      <c r="I19" s="621" t="s">
        <v>510</v>
      </c>
      <c r="J19" s="621"/>
      <c r="K19" s="621"/>
      <c r="L19" s="622"/>
      <c r="M19" s="17"/>
      <c r="N19" s="17"/>
      <c r="O19" s="18"/>
      <c r="P19" s="31"/>
      <c r="Q19"/>
      <c r="R19"/>
      <c r="S19" s="48" t="s">
        <v>511</v>
      </c>
      <c r="T19" s="584">
        <f>T15</f>
        <v>7.3</v>
      </c>
      <c r="U19" s="48" t="s">
        <v>34</v>
      </c>
      <c r="V19" s="108" t="str">
        <f>C22&amp;" / "&amp;C29</f>
        <v>14032 / 1911</v>
      </c>
      <c r="W19"/>
      <c r="X19"/>
      <c r="Y19" s="48" t="s">
        <v>511</v>
      </c>
      <c r="Z19" s="585">
        <f>Z15</f>
        <v>32.200000000000003</v>
      </c>
      <c r="AA19" s="48" t="s">
        <v>34</v>
      </c>
      <c r="AB19" t="str">
        <f>"("&amp;I22&amp;" - "&amp;C22&amp;") / ("&amp;I29&amp;" - "&amp;C29&amp;")"</f>
        <v>(28056 - 14032) / (2347 - 1911)</v>
      </c>
      <c r="AC19"/>
      <c r="AD19"/>
    </row>
    <row r="20" spans="1:30" ht="15" customHeight="1">
      <c r="A20" s="22"/>
      <c r="B20" s="623" t="s">
        <v>89</v>
      </c>
      <c r="C20" s="624">
        <v>12</v>
      </c>
      <c r="D20" s="624">
        <v>24</v>
      </c>
      <c r="E20" s="624">
        <v>36</v>
      </c>
      <c r="F20" s="438">
        <v>48</v>
      </c>
      <c r="G20" s="429"/>
      <c r="H20" s="623" t="s">
        <v>89</v>
      </c>
      <c r="I20" s="624">
        <v>12</v>
      </c>
      <c r="J20" s="624">
        <v>24</v>
      </c>
      <c r="K20" s="624">
        <v>36</v>
      </c>
      <c r="L20" s="438">
        <v>48</v>
      </c>
      <c r="M20" s="17"/>
      <c r="N20" s="17"/>
      <c r="O20" s="18"/>
      <c r="P20" s="31"/>
      <c r="Q20"/>
      <c r="R20"/>
      <c r="S20"/>
      <c r="T20" s="323" t="s">
        <v>512</v>
      </c>
      <c r="U20" s="323" t="s">
        <v>34</v>
      </c>
      <c r="V20" s="323" t="s">
        <v>513</v>
      </c>
      <c r="W20"/>
      <c r="X20"/>
      <c r="Y20"/>
      <c r="Z20" s="586" t="s">
        <v>514</v>
      </c>
      <c r="AA20" s="586" t="s">
        <v>34</v>
      </c>
      <c r="AB20" s="329" t="s">
        <v>515</v>
      </c>
      <c r="AC20"/>
      <c r="AD20" s="108"/>
    </row>
    <row r="21" spans="1:30" ht="15" customHeight="1">
      <c r="A21" s="22"/>
      <c r="B21" s="625">
        <v>2022</v>
      </c>
      <c r="C21" s="465">
        <v>12096</v>
      </c>
      <c r="D21" s="465">
        <v>28052</v>
      </c>
      <c r="E21" s="465">
        <v>38200</v>
      </c>
      <c r="F21" s="468">
        <v>37786</v>
      </c>
      <c r="G21" s="71"/>
      <c r="H21" s="625">
        <v>2022</v>
      </c>
      <c r="I21" s="465">
        <v>24950</v>
      </c>
      <c r="J21" s="465">
        <v>36011</v>
      </c>
      <c r="K21" s="465">
        <v>36555</v>
      </c>
      <c r="L21" s="468">
        <v>35563</v>
      </c>
      <c r="M21" s="17"/>
      <c r="N21" s="17"/>
      <c r="O21" s="18"/>
      <c r="P21" s="31"/>
      <c r="Q21"/>
      <c r="R21"/>
      <c r="S21"/>
      <c r="T21"/>
      <c r="U21"/>
      <c r="V21"/>
      <c r="W21"/>
      <c r="X21"/>
      <c r="Y21"/>
      <c r="Z21"/>
      <c r="AA21"/>
      <c r="AB21"/>
      <c r="AC21"/>
      <c r="AD21" s="108"/>
    </row>
    <row r="22" spans="1:30" ht="15" customHeight="1">
      <c r="A22" s="22"/>
      <c r="B22" s="625">
        <f>B21+1</f>
        <v>2023</v>
      </c>
      <c r="C22" s="465">
        <v>14032</v>
      </c>
      <c r="D22" s="465">
        <v>30346</v>
      </c>
      <c r="E22" s="465">
        <v>37546</v>
      </c>
      <c r="F22" s="468"/>
      <c r="G22" s="190"/>
      <c r="H22" s="625">
        <v>2023</v>
      </c>
      <c r="I22" s="465">
        <v>28056</v>
      </c>
      <c r="J22" s="465">
        <v>37786</v>
      </c>
      <c r="K22" s="465">
        <v>45000</v>
      </c>
      <c r="L22" s="468"/>
      <c r="M22" s="17"/>
      <c r="N22" s="17"/>
      <c r="O22" s="18"/>
      <c r="P22" s="31"/>
      <c r="Q22"/>
      <c r="R22" s="417" t="s">
        <v>516</v>
      </c>
      <c r="S22" t="s">
        <v>517</v>
      </c>
      <c r="T22" s="587"/>
      <c r="U22" s="587"/>
      <c r="V22" s="587"/>
      <c r="W22" s="587"/>
      <c r="X22"/>
      <c r="Y22"/>
      <c r="Z22" s="587"/>
      <c r="AA22" s="587"/>
      <c r="AB22" s="587"/>
      <c r="AC22"/>
      <c r="AD22" s="108"/>
    </row>
    <row r="23" spans="1:30" ht="15" customHeight="1">
      <c r="A23" s="22"/>
      <c r="B23" s="625">
        <f>B22+1</f>
        <v>2024</v>
      </c>
      <c r="C23" s="465">
        <v>13560</v>
      </c>
      <c r="D23" s="465">
        <v>30535</v>
      </c>
      <c r="E23" s="465"/>
      <c r="F23" s="468"/>
      <c r="G23" s="190"/>
      <c r="H23" s="625">
        <v>2024</v>
      </c>
      <c r="I23" s="465">
        <v>26195</v>
      </c>
      <c r="J23" s="465">
        <v>40824</v>
      </c>
      <c r="K23" s="465"/>
      <c r="L23" s="468"/>
      <c r="M23" s="17"/>
      <c r="N23" s="17"/>
      <c r="O23" s="18"/>
      <c r="P23" s="31"/>
      <c r="Q23"/>
      <c r="R23" s="108"/>
      <c r="S23" s="108"/>
      <c r="T23" s="587"/>
      <c r="U23" s="587"/>
      <c r="V23" s="587"/>
      <c r="W23" s="587"/>
      <c r="X23" s="108"/>
      <c r="Y23" s="108"/>
      <c r="Z23" s="587"/>
      <c r="AA23" s="587"/>
      <c r="AB23" s="587"/>
      <c r="AC23" s="108"/>
      <c r="AD23" s="108"/>
    </row>
    <row r="24" spans="1:30" ht="15" customHeight="1">
      <c r="A24" s="22"/>
      <c r="B24" s="626">
        <f>B23+1</f>
        <v>2025</v>
      </c>
      <c r="C24" s="461">
        <v>14186</v>
      </c>
      <c r="D24" s="461"/>
      <c r="E24" s="461"/>
      <c r="F24" s="462"/>
      <c r="G24" s="190"/>
      <c r="H24" s="626">
        <v>2025</v>
      </c>
      <c r="I24" s="461">
        <v>31421</v>
      </c>
      <c r="J24" s="461"/>
      <c r="K24" s="461"/>
      <c r="L24" s="462"/>
      <c r="M24" s="17"/>
      <c r="N24" s="17"/>
      <c r="O24" s="18"/>
      <c r="P24" s="31"/>
      <c r="Q24"/>
      <c r="R24" s="108"/>
      <c r="S24" s="567"/>
      <c r="T24" s="568" t="s">
        <v>520</v>
      </c>
      <c r="U24" s="568"/>
      <c r="V24" s="568"/>
      <c r="W24" s="569"/>
      <c r="X24" s="108"/>
      <c r="Y24" s="567"/>
      <c r="Z24" s="568" t="s">
        <v>521</v>
      </c>
      <c r="AA24" s="568"/>
      <c r="AB24" s="568"/>
      <c r="AC24" s="569"/>
      <c r="AD24" s="108"/>
    </row>
    <row r="25" spans="1:30" ht="15" customHeight="1">
      <c r="A25" s="22"/>
      <c r="B25" s="190"/>
      <c r="C25" s="190"/>
      <c r="D25" s="190"/>
      <c r="E25" s="190"/>
      <c r="F25" s="190"/>
      <c r="G25" s="190"/>
      <c r="H25" s="190"/>
      <c r="I25" s="190"/>
      <c r="J25" s="190"/>
      <c r="K25" s="190"/>
      <c r="L25" s="190"/>
      <c r="M25" s="17"/>
      <c r="N25" s="17"/>
      <c r="O25" s="18"/>
      <c r="P25" s="31"/>
      <c r="Q25"/>
      <c r="R25" s="108"/>
      <c r="S25" s="570" t="s">
        <v>89</v>
      </c>
      <c r="T25" s="571">
        <v>12</v>
      </c>
      <c r="U25" s="571">
        <v>24</v>
      </c>
      <c r="V25" s="571">
        <v>36</v>
      </c>
      <c r="W25" s="572">
        <v>48</v>
      </c>
      <c r="X25" s="108"/>
      <c r="Y25" s="570" t="s">
        <v>89</v>
      </c>
      <c r="Z25" s="571">
        <v>12</v>
      </c>
      <c r="AA25" s="571">
        <v>24</v>
      </c>
      <c r="AB25" s="571">
        <v>36</v>
      </c>
      <c r="AC25" s="572">
        <v>48</v>
      </c>
      <c r="AD25" s="108"/>
    </row>
    <row r="26" spans="1:30" ht="15" customHeight="1">
      <c r="A26" s="22"/>
      <c r="B26" s="620"/>
      <c r="C26" s="627" t="s">
        <v>518</v>
      </c>
      <c r="D26" s="621"/>
      <c r="E26" s="621"/>
      <c r="F26" s="622"/>
      <c r="G26" s="190"/>
      <c r="H26" s="620"/>
      <c r="I26" s="627" t="s">
        <v>519</v>
      </c>
      <c r="J26" s="621"/>
      <c r="K26" s="621"/>
      <c r="L26" s="622"/>
      <c r="M26" s="17"/>
      <c r="N26" s="17"/>
      <c r="O26" s="18"/>
      <c r="P26" s="31"/>
      <c r="Q26"/>
      <c r="R26" s="108"/>
      <c r="S26" s="508">
        <f>B21</f>
        <v>2022</v>
      </c>
      <c r="T26" s="588"/>
      <c r="U26" s="588"/>
      <c r="V26" s="588"/>
      <c r="W26" s="589"/>
      <c r="X26" s="108"/>
      <c r="Y26" s="508">
        <f>B21</f>
        <v>2022</v>
      </c>
      <c r="Z26" s="588"/>
      <c r="AA26" s="588"/>
      <c r="AB26" s="588"/>
      <c r="AC26" s="589"/>
      <c r="AD26" s="108"/>
    </row>
    <row r="27" spans="1:30" ht="15" customHeight="1">
      <c r="A27" s="22"/>
      <c r="B27" s="623" t="s">
        <v>89</v>
      </c>
      <c r="C27" s="624">
        <v>12</v>
      </c>
      <c r="D27" s="624">
        <v>24</v>
      </c>
      <c r="E27" s="624">
        <v>36</v>
      </c>
      <c r="F27" s="438">
        <v>48</v>
      </c>
      <c r="G27" s="190"/>
      <c r="H27" s="623" t="s">
        <v>89</v>
      </c>
      <c r="I27" s="624">
        <v>12</v>
      </c>
      <c r="J27" s="624">
        <v>24</v>
      </c>
      <c r="K27" s="624">
        <v>36</v>
      </c>
      <c r="L27" s="438">
        <v>48</v>
      </c>
      <c r="M27" s="17"/>
      <c r="N27" s="17"/>
      <c r="O27" s="18"/>
      <c r="P27" s="31"/>
      <c r="Q27"/>
      <c r="R27" s="108"/>
      <c r="S27" s="508">
        <f>S26+1</f>
        <v>2023</v>
      </c>
      <c r="T27" s="588">
        <f>IFERROR(ROUND(T15/T14-1,3),"")</f>
        <v>0</v>
      </c>
      <c r="U27" s="588">
        <f>IFERROR(ROUND(U15/U14-1,3),"")</f>
        <v>0</v>
      </c>
      <c r="V27" s="588">
        <f>IFERROR(ROUND(V15/V14-1,3),"")</f>
        <v>5.8000000000000003E-2</v>
      </c>
      <c r="W27" s="589"/>
      <c r="X27" s="108"/>
      <c r="Y27" s="508">
        <f>Y26+1</f>
        <v>2023</v>
      </c>
      <c r="Z27" s="588">
        <f>IFERROR(ROUND(Z15/Z14-1,3),"")</f>
        <v>1.0129999999999999</v>
      </c>
      <c r="AA27" s="588">
        <f>IFERROR(ROUND(AA15/AA14-1,3),"")</f>
        <v>7.3999999999999996E-2</v>
      </c>
      <c r="AB27" s="590">
        <f>IFERROR(ROUND(AB15/AB14-1,3),"")</f>
        <v>-0.32600000000000001</v>
      </c>
      <c r="AC27" s="589"/>
      <c r="AD27" s="108"/>
    </row>
    <row r="28" spans="1:30" ht="15" customHeight="1">
      <c r="A28" s="22"/>
      <c r="B28" s="625">
        <f>B21</f>
        <v>2022</v>
      </c>
      <c r="C28" s="465">
        <v>1651</v>
      </c>
      <c r="D28" s="465">
        <v>2405</v>
      </c>
      <c r="E28" s="465">
        <v>2746</v>
      </c>
      <c r="F28" s="468">
        <v>2535</v>
      </c>
      <c r="G28" s="190"/>
      <c r="H28" s="625">
        <v>2022</v>
      </c>
      <c r="I28" s="465">
        <v>2455</v>
      </c>
      <c r="J28" s="465">
        <v>2583</v>
      </c>
      <c r="K28" s="465">
        <v>2694</v>
      </c>
      <c r="L28" s="468">
        <v>2484</v>
      </c>
      <c r="M28" s="17"/>
      <c r="N28" s="17"/>
      <c r="O28" s="18"/>
      <c r="P28" s="31"/>
      <c r="Q28"/>
      <c r="R28" s="108"/>
      <c r="S28" s="508">
        <f>S27+1</f>
        <v>2024</v>
      </c>
      <c r="T28" s="588">
        <f>IFERROR(ROUND(T16/T15-1,3),"")</f>
        <v>8.2000000000000003E-2</v>
      </c>
      <c r="U28" s="588">
        <f>IFERROR(ROUND(U16/U15-1,3),"")</f>
        <v>0.17899999999999999</v>
      </c>
      <c r="V28" s="588"/>
      <c r="W28" s="589" t="str">
        <f>IFERROR(ROUND(W16/W15-1,3),"")</f>
        <v/>
      </c>
      <c r="X28" s="108"/>
      <c r="Y28" s="508">
        <f>Y27+1</f>
        <v>2024</v>
      </c>
      <c r="Z28" s="588">
        <f>IFERROR(ROUND(Z16/Z15-1,3),"")</f>
        <v>-0.33900000000000002</v>
      </c>
      <c r="AA28" s="591">
        <f>IFERROR(ROUND(AA16/AA15-1,3),"")</f>
        <v>-0.317</v>
      </c>
      <c r="AB28" s="588"/>
      <c r="AC28" s="589" t="str">
        <f>IFERROR(ROUND(AC16/AC15-1,3),"")</f>
        <v/>
      </c>
      <c r="AD28" s="108"/>
    </row>
    <row r="29" spans="1:30" ht="15" customHeight="1">
      <c r="A29" s="22"/>
      <c r="B29" s="625">
        <f>B28+1</f>
        <v>2023</v>
      </c>
      <c r="C29" s="465">
        <v>1911</v>
      </c>
      <c r="D29" s="465">
        <v>2595</v>
      </c>
      <c r="E29" s="465">
        <v>2550</v>
      </c>
      <c r="F29" s="468"/>
      <c r="G29" s="190"/>
      <c r="H29" s="625">
        <v>2023</v>
      </c>
      <c r="I29" s="465">
        <v>2347</v>
      </c>
      <c r="J29" s="465">
        <v>2750</v>
      </c>
      <c r="K29" s="465">
        <v>2900</v>
      </c>
      <c r="L29" s="468"/>
      <c r="M29" s="17"/>
      <c r="N29" s="17"/>
      <c r="O29" s="18"/>
      <c r="P29" s="31"/>
      <c r="Q29"/>
      <c r="R29" s="108"/>
      <c r="S29" s="580">
        <f>S28+1</f>
        <v>2025</v>
      </c>
      <c r="T29" s="592">
        <f>IFERROR(ROUND(T17/T16-1,3),"")</f>
        <v>0</v>
      </c>
      <c r="U29" s="592"/>
      <c r="V29" s="592" t="str">
        <f>IFERROR(ROUND(V17/V16-1,3),"")</f>
        <v/>
      </c>
      <c r="W29" s="593" t="str">
        <f>IFERROR(ROUND(W17/W16-1,3),"")</f>
        <v/>
      </c>
      <c r="X29" s="108"/>
      <c r="Y29" s="580">
        <f>Y28+1</f>
        <v>2025</v>
      </c>
      <c r="Z29" s="594">
        <f>IFERROR(ROUND(Z17/Z16-1,3),"")</f>
        <v>-8.9999999999999993E-3</v>
      </c>
      <c r="AA29" s="592"/>
      <c r="AB29" s="592" t="str">
        <f>IFERROR(ROUND(AB17/AB16-1,3),"")</f>
        <v/>
      </c>
      <c r="AC29" s="593" t="str">
        <f>IFERROR(ROUND(AC17/AC16-1,3),"")</f>
        <v/>
      </c>
      <c r="AD29" s="108"/>
    </row>
    <row r="30" spans="1:30" ht="15" customHeight="1">
      <c r="A30" s="22"/>
      <c r="B30" s="625">
        <f>B29+1</f>
        <v>2024</v>
      </c>
      <c r="C30" s="465">
        <v>1720</v>
      </c>
      <c r="D30" s="465">
        <v>2208</v>
      </c>
      <c r="E30" s="465"/>
      <c r="F30" s="468"/>
      <c r="G30" s="190"/>
      <c r="H30" s="625">
        <v>2024</v>
      </c>
      <c r="I30" s="465">
        <v>2313</v>
      </c>
      <c r="J30" s="465">
        <v>2522</v>
      </c>
      <c r="K30" s="465"/>
      <c r="L30" s="468"/>
      <c r="M30" s="17"/>
      <c r="N30" s="17"/>
      <c r="O30" s="18"/>
      <c r="P30" s="31"/>
      <c r="Q30"/>
      <c r="R30" s="108"/>
      <c r="S30" s="108"/>
      <c r="T30" s="108"/>
      <c r="U30" s="108"/>
      <c r="V30" s="108"/>
      <c r="W30" s="108"/>
      <c r="X30" s="108"/>
      <c r="Y30" s="108"/>
      <c r="Z30" s="108"/>
      <c r="AA30" s="108"/>
      <c r="AB30" s="108"/>
      <c r="AC30" s="108"/>
      <c r="AD30" s="108"/>
    </row>
    <row r="31" spans="1:30" ht="15" customHeight="1">
      <c r="A31" s="22"/>
      <c r="B31" s="626">
        <f>B30+1</f>
        <v>2025</v>
      </c>
      <c r="C31" s="461">
        <v>1788</v>
      </c>
      <c r="D31" s="461"/>
      <c r="E31" s="461"/>
      <c r="F31" s="462"/>
      <c r="G31" s="190"/>
      <c r="H31" s="626">
        <v>2025</v>
      </c>
      <c r="I31" s="461">
        <v>2605</v>
      </c>
      <c r="J31" s="461"/>
      <c r="K31" s="461"/>
      <c r="L31" s="462"/>
      <c r="M31" s="17"/>
      <c r="N31" s="17"/>
      <c r="O31" s="18"/>
      <c r="P31" s="31"/>
      <c r="Q31"/>
      <c r="R31" s="108"/>
      <c r="S31" s="259" t="s">
        <v>522</v>
      </c>
      <c r="T31" s="108"/>
      <c r="U31" s="277"/>
      <c r="V31" s="277" t="s">
        <v>523</v>
      </c>
      <c r="W31" s="108"/>
      <c r="X31" s="108"/>
      <c r="Y31" s="108"/>
      <c r="Z31" s="259"/>
      <c r="AA31" s="108"/>
      <c r="AB31" s="108"/>
      <c r="AC31" s="108"/>
      <c r="AD31" s="108"/>
    </row>
    <row r="32" spans="1:30" ht="15" customHeight="1">
      <c r="A32" s="22"/>
      <c r="B32" s="17"/>
      <c r="C32" s="17"/>
      <c r="D32" s="17"/>
      <c r="E32" s="17"/>
      <c r="F32" s="17"/>
      <c r="G32" s="17"/>
      <c r="H32" s="17"/>
      <c r="I32" s="17"/>
      <c r="J32" s="17"/>
      <c r="K32" s="17"/>
      <c r="L32" s="17"/>
      <c r="M32" s="17"/>
      <c r="N32" s="17"/>
      <c r="O32" s="18"/>
      <c r="P32" s="31"/>
      <c r="Q32"/>
      <c r="R32" s="108"/>
      <c r="S32" s="259" t="s">
        <v>525</v>
      </c>
      <c r="T32" s="108"/>
      <c r="U32" s="108"/>
      <c r="V32" s="595">
        <f>F33</f>
        <v>0.06</v>
      </c>
      <c r="W32" s="108"/>
      <c r="X32" s="108"/>
      <c r="Y32" s="108"/>
      <c r="Z32" s="159"/>
      <c r="AA32" s="108"/>
      <c r="AB32" s="108"/>
      <c r="AC32" s="108"/>
      <c r="AD32" s="108"/>
    </row>
    <row r="33" spans="1:30" ht="15" customHeight="1">
      <c r="A33" s="22"/>
      <c r="B33" s="629" t="s">
        <v>524</v>
      </c>
      <c r="C33" s="630"/>
      <c r="D33" s="630"/>
      <c r="E33" s="631"/>
      <c r="F33" s="632">
        <v>0.06</v>
      </c>
      <c r="G33" s="17"/>
      <c r="H33" s="17"/>
      <c r="I33" s="17"/>
      <c r="J33" s="17"/>
      <c r="K33" s="17"/>
      <c r="L33" s="17"/>
      <c r="M33" s="17"/>
      <c r="N33" s="17"/>
      <c r="O33" s="18"/>
      <c r="P33" s="31"/>
      <c r="Q33" s="48"/>
      <c r="R33" s="108"/>
      <c r="S33" s="108"/>
      <c r="T33" s="108"/>
      <c r="U33" s="108"/>
      <c r="V33" s="108"/>
      <c r="W33" s="108"/>
      <c r="X33" s="108"/>
      <c r="Y33" s="108"/>
      <c r="Z33" s="108"/>
      <c r="AA33" s="108"/>
      <c r="AB33" s="108"/>
      <c r="AC33" s="108"/>
      <c r="AD33" s="108"/>
    </row>
    <row r="34" spans="1:30" ht="15" customHeight="1">
      <c r="A34" s="22"/>
      <c r="B34" s="17"/>
      <c r="C34" s="17"/>
      <c r="D34" s="17"/>
      <c r="E34" s="17"/>
      <c r="F34" s="17"/>
      <c r="G34" s="17"/>
      <c r="H34" s="17"/>
      <c r="I34" s="17"/>
      <c r="J34" s="17"/>
      <c r="K34" s="17"/>
      <c r="L34" s="17"/>
      <c r="M34" s="17"/>
      <c r="N34" s="17"/>
      <c r="O34" s="18"/>
      <c r="P34" s="31"/>
      <c r="Q34"/>
      <c r="R34" s="596" t="s">
        <v>301</v>
      </c>
      <c r="S34" s="597" t="s">
        <v>526</v>
      </c>
      <c r="T34" s="326"/>
      <c r="U34" s="326"/>
      <c r="V34" s="326"/>
      <c r="W34" s="326"/>
      <c r="X34" s="326"/>
      <c r="Y34" s="326"/>
      <c r="Z34" s="326"/>
      <c r="AA34" s="326"/>
      <c r="AB34" s="326"/>
      <c r="AC34" s="326"/>
      <c r="AD34" s="108"/>
    </row>
    <row r="35" spans="1:30" ht="15" customHeight="1">
      <c r="A35" s="22"/>
      <c r="B35" s="628" t="s">
        <v>540</v>
      </c>
      <c r="C35" s="641" t="s">
        <v>543</v>
      </c>
      <c r="D35" s="17"/>
      <c r="E35" s="17"/>
      <c r="F35" s="17"/>
      <c r="G35" s="17"/>
      <c r="H35" s="17"/>
      <c r="I35" s="17"/>
      <c r="J35" s="17"/>
      <c r="K35" s="17"/>
      <c r="L35" s="17"/>
      <c r="M35" s="17"/>
      <c r="N35" s="17"/>
      <c r="O35" s="18"/>
      <c r="P35" s="31"/>
      <c r="Q35" s="48"/>
      <c r="R35" s="108"/>
      <c r="S35" s="108"/>
      <c r="T35" s="108"/>
      <c r="U35" s="108"/>
      <c r="V35" s="108"/>
      <c r="W35" s="108"/>
      <c r="X35" s="108"/>
      <c r="Y35" s="108"/>
      <c r="Z35" s="108"/>
      <c r="AA35" s="108"/>
      <c r="AB35" s="108"/>
      <c r="AC35" s="108"/>
      <c r="AD35" s="108"/>
    </row>
    <row r="36" spans="1:30" ht="15" customHeight="1">
      <c r="A36" s="22"/>
      <c r="B36" s="17"/>
      <c r="C36" s="17"/>
      <c r="D36" s="17"/>
      <c r="E36" s="17"/>
      <c r="F36" s="17"/>
      <c r="G36" s="17"/>
      <c r="H36" s="17"/>
      <c r="I36" s="17"/>
      <c r="J36" s="17"/>
      <c r="K36" s="17"/>
      <c r="L36" s="17"/>
      <c r="M36" s="17"/>
      <c r="N36" s="17"/>
      <c r="O36" s="18"/>
      <c r="P36" s="31"/>
      <c r="Q36"/>
      <c r="R36" s="108"/>
      <c r="S36" s="567"/>
      <c r="T36" s="568" t="s">
        <v>527</v>
      </c>
      <c r="U36" s="568"/>
      <c r="V36" s="568"/>
      <c r="W36" s="569"/>
      <c r="X36" s="108"/>
      <c r="Y36" s="159"/>
      <c r="Z36" s="108"/>
      <c r="AA36" s="108"/>
      <c r="AB36" s="108"/>
      <c r="AC36" s="108"/>
      <c r="AD36" s="108"/>
    </row>
    <row r="37" spans="1:30" ht="15" customHeight="1">
      <c r="A37" s="22"/>
      <c r="B37" s="620"/>
      <c r="C37" s="621" t="s">
        <v>542</v>
      </c>
      <c r="D37" s="621"/>
      <c r="E37" s="621"/>
      <c r="F37" s="622"/>
      <c r="G37" s="17"/>
      <c r="H37" s="620"/>
      <c r="I37" s="621" t="s">
        <v>541</v>
      </c>
      <c r="J37" s="621"/>
      <c r="K37" s="621"/>
      <c r="L37" s="622"/>
      <c r="M37" s="17"/>
      <c r="N37" s="17"/>
      <c r="O37" s="18"/>
      <c r="P37" s="31"/>
      <c r="Q37"/>
      <c r="R37" s="108"/>
      <c r="S37" s="570" t="s">
        <v>89</v>
      </c>
      <c r="T37" s="571">
        <v>12</v>
      </c>
      <c r="U37" s="571">
        <v>24</v>
      </c>
      <c r="V37" s="571">
        <v>36</v>
      </c>
      <c r="W37" s="572">
        <v>48</v>
      </c>
      <c r="X37" s="159"/>
      <c r="Y37" s="159" t="s">
        <v>528</v>
      </c>
      <c r="Z37" s="108"/>
      <c r="AA37" s="108"/>
      <c r="AB37" s="108"/>
      <c r="AC37" s="108"/>
      <c r="AD37" s="108"/>
    </row>
    <row r="38" spans="1:30" ht="15" customHeight="1">
      <c r="A38" s="22"/>
      <c r="B38" s="623" t="s">
        <v>89</v>
      </c>
      <c r="C38" s="624">
        <v>12</v>
      </c>
      <c r="D38" s="624">
        <v>24</v>
      </c>
      <c r="E38" s="624">
        <v>36</v>
      </c>
      <c r="F38" s="438">
        <v>48</v>
      </c>
      <c r="G38" s="17"/>
      <c r="H38" s="623" t="s">
        <v>89</v>
      </c>
      <c r="I38" s="624">
        <v>12</v>
      </c>
      <c r="J38" s="624">
        <v>24</v>
      </c>
      <c r="K38" s="624">
        <v>36</v>
      </c>
      <c r="L38" s="438">
        <v>48</v>
      </c>
      <c r="M38" s="17"/>
      <c r="N38" s="17"/>
      <c r="O38" s="18"/>
      <c r="P38" s="31"/>
      <c r="Q38"/>
      <c r="R38" s="108"/>
      <c r="S38" s="508">
        <f>B21</f>
        <v>2022</v>
      </c>
      <c r="T38" s="574">
        <f>ROUND(Z17/(1+V32)^(S41-S38),1)</f>
        <v>17.7</v>
      </c>
      <c r="U38" s="574">
        <f>ROUND(AA16/(1+V32)^(S40-S38),1)</f>
        <v>29.2</v>
      </c>
      <c r="V38" s="574">
        <f>ROUND(AB15/(1+V32)^(S39-S38),1)</f>
        <v>20.100000000000001</v>
      </c>
      <c r="W38" s="576">
        <f>ROUND(AC14/(1+V32)^(S38-S38),1)</f>
        <v>43.6</v>
      </c>
      <c r="X38" s="108"/>
      <c r="Y38" s="108"/>
      <c r="Z38" s="108"/>
      <c r="AA38" s="108"/>
      <c r="AB38" s="108"/>
      <c r="AC38" s="108"/>
      <c r="AD38" s="108"/>
    </row>
    <row r="39" spans="1:30" ht="15" customHeight="1">
      <c r="A39" s="22"/>
      <c r="B39" s="625">
        <v>2022</v>
      </c>
      <c r="C39" s="633">
        <v>16</v>
      </c>
      <c r="D39" s="633">
        <v>44.7</v>
      </c>
      <c r="E39" s="633">
        <v>31.6</v>
      </c>
      <c r="F39" s="634">
        <v>43.6</v>
      </c>
      <c r="G39" s="17"/>
      <c r="H39" s="625">
        <v>2022</v>
      </c>
      <c r="I39" s="633">
        <v>17.7</v>
      </c>
      <c r="J39" s="633">
        <v>29.2</v>
      </c>
      <c r="K39" s="633">
        <v>20.100000000000001</v>
      </c>
      <c r="L39" s="634">
        <v>43.6</v>
      </c>
      <c r="M39" s="17"/>
      <c r="N39" s="17"/>
      <c r="O39" s="18"/>
      <c r="P39" s="31"/>
      <c r="Q39"/>
      <c r="R39" s="108"/>
      <c r="S39" s="508">
        <f>S38+1</f>
        <v>2023</v>
      </c>
      <c r="T39" s="578">
        <f>ROUND(Z17/(1+V32)^(S41-S39),1)</f>
        <v>18.8</v>
      </c>
      <c r="U39" s="574">
        <f>ROUND(AA16/(1+V32)^(S40-S39),1)</f>
        <v>30.9</v>
      </c>
      <c r="V39" s="579">
        <f>ROUND(AB15/(1+V32)^(S39-S39),1)</f>
        <v>21.3</v>
      </c>
      <c r="W39" s="575"/>
      <c r="X39" s="277" t="s">
        <v>511</v>
      </c>
      <c r="Y39" s="585">
        <f>T39</f>
        <v>18.8</v>
      </c>
      <c r="Z39" s="277" t="s">
        <v>34</v>
      </c>
      <c r="AA39" s="598">
        <f>Z17</f>
        <v>21.1</v>
      </c>
      <c r="AB39" s="347" t="s">
        <v>36</v>
      </c>
      <c r="AC39" s="418" t="str">
        <f>1+V32&amp;"^2"</f>
        <v>1.06^2</v>
      </c>
      <c r="AD39" s="108"/>
    </row>
    <row r="40" spans="1:30" ht="15" customHeight="1">
      <c r="A40" s="22"/>
      <c r="B40" s="625">
        <v>2023</v>
      </c>
      <c r="C40" s="635">
        <v>32.200000000000003</v>
      </c>
      <c r="D40" s="633">
        <v>48</v>
      </c>
      <c r="E40" s="636">
        <v>21.3</v>
      </c>
      <c r="F40" s="637"/>
      <c r="G40" s="17"/>
      <c r="H40" s="625">
        <v>2023</v>
      </c>
      <c r="I40" s="635">
        <v>18.8</v>
      </c>
      <c r="J40" s="633">
        <v>30.9</v>
      </c>
      <c r="K40" s="636">
        <v>21.3</v>
      </c>
      <c r="L40" s="637"/>
      <c r="M40" s="17"/>
      <c r="N40" s="17"/>
      <c r="O40" s="18"/>
      <c r="P40" s="31"/>
      <c r="Q40"/>
      <c r="R40" s="108"/>
      <c r="S40" s="508">
        <f>S39+1</f>
        <v>2024</v>
      </c>
      <c r="T40" s="574">
        <f>ROUND(Z17/(1+V32)^(S41-S40),1)</f>
        <v>19.899999999999999</v>
      </c>
      <c r="U40" s="579">
        <f>ROUND(AA16/(1+V32)^(S40-S40),1)</f>
        <v>32.799999999999997</v>
      </c>
      <c r="V40" s="574"/>
      <c r="W40" s="575"/>
      <c r="X40" s="108"/>
      <c r="Y40" s="108"/>
      <c r="Z40" s="108"/>
      <c r="AA40" s="108"/>
      <c r="AB40" s="108"/>
      <c r="AC40" s="108"/>
      <c r="AD40" s="108"/>
    </row>
    <row r="41" spans="1:30" ht="15" customHeight="1">
      <c r="A41" s="22"/>
      <c r="B41" s="625">
        <v>2024</v>
      </c>
      <c r="C41" s="633">
        <v>21.3</v>
      </c>
      <c r="D41" s="636">
        <v>32.799999999999997</v>
      </c>
      <c r="E41" s="633"/>
      <c r="F41" s="637"/>
      <c r="G41" s="17"/>
      <c r="H41" s="625">
        <v>2024</v>
      </c>
      <c r="I41" s="633">
        <v>19.899999999999999</v>
      </c>
      <c r="J41" s="636">
        <v>32.799999999999997</v>
      </c>
      <c r="K41" s="633"/>
      <c r="L41" s="637"/>
      <c r="M41" s="17"/>
      <c r="N41" s="17"/>
      <c r="O41" s="18"/>
      <c r="P41" s="31"/>
      <c r="Q41"/>
      <c r="R41" s="108"/>
      <c r="S41" s="580">
        <f>S40+1</f>
        <v>2025</v>
      </c>
      <c r="T41" s="583">
        <f>ROUND(Z17/(1+V32)^(S41-S41),1)</f>
        <v>21.1</v>
      </c>
      <c r="U41" s="581"/>
      <c r="V41" s="581"/>
      <c r="W41" s="582"/>
      <c r="X41" s="159"/>
      <c r="Y41" s="159"/>
      <c r="Z41" s="108"/>
      <c r="AA41" s="108"/>
      <c r="AB41" s="108"/>
      <c r="AC41" s="108"/>
      <c r="AD41" s="108"/>
    </row>
    <row r="42" spans="1:30" ht="15" customHeight="1">
      <c r="A42" s="22"/>
      <c r="B42" s="626">
        <v>2025</v>
      </c>
      <c r="C42" s="638">
        <v>21.1</v>
      </c>
      <c r="D42" s="639"/>
      <c r="E42" s="639"/>
      <c r="F42" s="640"/>
      <c r="G42" s="17"/>
      <c r="H42" s="626">
        <v>2025</v>
      </c>
      <c r="I42" s="638">
        <v>21.1</v>
      </c>
      <c r="J42" s="639"/>
      <c r="K42" s="639"/>
      <c r="L42" s="640"/>
      <c r="M42" s="17"/>
      <c r="N42" s="17"/>
      <c r="O42" s="18"/>
      <c r="P42" s="31"/>
      <c r="Q42"/>
      <c r="R42" s="108"/>
      <c r="S42" s="108"/>
      <c r="T42" s="108"/>
      <c r="U42" s="108"/>
      <c r="V42" s="108"/>
      <c r="W42" s="108"/>
      <c r="X42" s="108"/>
      <c r="Y42" s="108"/>
      <c r="Z42" s="108"/>
      <c r="AA42" s="108"/>
      <c r="AB42" s="108"/>
      <c r="AC42" s="108"/>
      <c r="AD42" s="108"/>
    </row>
    <row r="43" spans="1:30" ht="15" customHeight="1">
      <c r="A43" s="22"/>
      <c r="B43" s="17"/>
      <c r="C43" s="17"/>
      <c r="D43" s="17"/>
      <c r="E43" s="17"/>
      <c r="F43" s="17"/>
      <c r="G43" s="17"/>
      <c r="H43" s="17"/>
      <c r="I43" s="17"/>
      <c r="J43" s="17"/>
      <c r="K43" s="17"/>
      <c r="L43" s="17"/>
      <c r="M43" s="17"/>
      <c r="N43" s="17"/>
      <c r="O43" s="18"/>
      <c r="P43" s="31"/>
      <c r="Q43"/>
      <c r="R43" s="596" t="s">
        <v>403</v>
      </c>
      <c r="S43" s="108" t="s">
        <v>529</v>
      </c>
      <c r="T43" s="108"/>
      <c r="U43" s="108"/>
      <c r="V43" s="108"/>
      <c r="W43" s="108"/>
      <c r="X43" s="277"/>
      <c r="Y43" s="108"/>
      <c r="Z43" s="108"/>
      <c r="AA43" s="108"/>
      <c r="AB43" s="108"/>
      <c r="AC43" s="108"/>
      <c r="AD43" s="108"/>
    </row>
    <row r="44" spans="1:30" ht="15" customHeight="1" thickBot="1">
      <c r="A44" s="24"/>
      <c r="B44" s="32"/>
      <c r="C44" s="32"/>
      <c r="D44" s="32"/>
      <c r="E44" s="32"/>
      <c r="F44" s="32"/>
      <c r="G44" s="32"/>
      <c r="H44" s="32"/>
      <c r="I44" s="32"/>
      <c r="J44" s="32"/>
      <c r="K44" s="32"/>
      <c r="L44" s="32"/>
      <c r="M44" s="32"/>
      <c r="N44" s="32"/>
      <c r="O44" s="33"/>
      <c r="P44" s="31"/>
      <c r="Q44"/>
      <c r="R44" s="108"/>
      <c r="S44" s="108"/>
      <c r="T44" s="108"/>
      <c r="U44" s="108"/>
      <c r="V44" s="108"/>
      <c r="W44" s="108"/>
      <c r="X44" s="108"/>
      <c r="Y44" s="108"/>
      <c r="Z44" s="108"/>
      <c r="AA44" s="108"/>
      <c r="AB44" s="108"/>
      <c r="AC44" s="108"/>
      <c r="AD44" s="108"/>
    </row>
    <row r="45" spans="1:30" ht="15" customHeight="1">
      <c r="B45" s="31"/>
      <c r="C45" s="31"/>
      <c r="D45" s="31"/>
      <c r="E45" s="31"/>
      <c r="F45" s="31"/>
      <c r="G45" s="31"/>
      <c r="H45" s="31"/>
      <c r="I45" s="31"/>
      <c r="J45" s="31"/>
      <c r="K45" s="31"/>
      <c r="L45" s="31"/>
      <c r="M45" s="31"/>
      <c r="N45" s="31"/>
      <c r="O45" s="31"/>
      <c r="P45" s="31"/>
      <c r="Q45"/>
      <c r="R45" s="108"/>
      <c r="S45" s="567"/>
      <c r="T45" s="568" t="s">
        <v>530</v>
      </c>
      <c r="U45" s="568"/>
      <c r="V45" s="568"/>
      <c r="W45" s="569"/>
      <c r="X45" s="108"/>
      <c r="Y45" s="108"/>
      <c r="Z45" s="108"/>
      <c r="AA45" s="108"/>
      <c r="AB45" s="108"/>
      <c r="AC45" s="108"/>
      <c r="AD45" s="108"/>
    </row>
    <row r="46" spans="1:30" ht="15" customHeight="1">
      <c r="B46" s="31"/>
      <c r="C46" s="31"/>
      <c r="D46" s="31"/>
      <c r="E46" s="31"/>
      <c r="F46" s="31"/>
      <c r="G46" s="31"/>
      <c r="H46" s="31"/>
      <c r="I46" s="31"/>
      <c r="J46" s="31"/>
      <c r="K46" s="31"/>
      <c r="L46" s="31"/>
      <c r="M46" s="31"/>
      <c r="N46" s="31"/>
      <c r="O46" s="31"/>
      <c r="P46" s="31"/>
      <c r="Q46"/>
      <c r="R46" s="108"/>
      <c r="S46" s="570" t="s">
        <v>89</v>
      </c>
      <c r="T46" s="571">
        <v>12</v>
      </c>
      <c r="U46" s="571">
        <v>24</v>
      </c>
      <c r="V46" s="571">
        <v>36</v>
      </c>
      <c r="W46" s="572">
        <v>48</v>
      </c>
      <c r="X46" s="108"/>
      <c r="Y46" s="108"/>
      <c r="Z46" s="108"/>
      <c r="AA46" s="108"/>
      <c r="AB46" s="108"/>
      <c r="AC46" s="108"/>
      <c r="AD46" s="108"/>
    </row>
    <row r="47" spans="1:30" ht="15" customHeight="1">
      <c r="B47" s="31"/>
      <c r="C47" s="31"/>
      <c r="D47" s="31"/>
      <c r="E47" s="31"/>
      <c r="F47" s="31"/>
      <c r="G47" s="31"/>
      <c r="H47" s="31"/>
      <c r="I47" s="31"/>
      <c r="J47" s="31"/>
      <c r="K47" s="31"/>
      <c r="L47" s="31"/>
      <c r="M47" s="31"/>
      <c r="N47" s="31"/>
      <c r="O47" s="31"/>
      <c r="P47" s="31"/>
      <c r="Q47"/>
      <c r="R47" s="108"/>
      <c r="S47" s="508">
        <f>B21</f>
        <v>2022</v>
      </c>
      <c r="T47" s="599">
        <f>T38*(I28-C28)+C21</f>
        <v>26326.799999999999</v>
      </c>
      <c r="U47" s="599">
        <f>U38*(J28-D28)+D21</f>
        <v>33249.599999999999</v>
      </c>
      <c r="V47" s="599">
        <f>V38*(K28-E28)+E21</f>
        <v>37154.800000000003</v>
      </c>
      <c r="W47" s="600">
        <f>L21</f>
        <v>35563</v>
      </c>
      <c r="X47" s="108"/>
      <c r="Y47" s="108"/>
      <c r="Z47" s="108"/>
      <c r="AA47" s="108"/>
      <c r="AB47" s="108"/>
      <c r="AC47" s="108"/>
      <c r="AD47" s="108"/>
    </row>
    <row r="48" spans="1:30" ht="15" customHeight="1">
      <c r="B48" s="31"/>
      <c r="C48" s="31"/>
      <c r="D48" s="31"/>
      <c r="E48" s="31"/>
      <c r="F48" s="31"/>
      <c r="G48" s="31"/>
      <c r="H48" s="31"/>
      <c r="I48" s="31"/>
      <c r="J48" s="31"/>
      <c r="K48" s="31"/>
      <c r="L48" s="31"/>
      <c r="M48" s="31"/>
      <c r="N48" s="31"/>
      <c r="O48" s="31"/>
      <c r="P48" s="31"/>
      <c r="Q48"/>
      <c r="R48" s="108"/>
      <c r="S48" s="508">
        <f>S47+1</f>
        <v>2023</v>
      </c>
      <c r="T48" s="601">
        <f>T39*(I29-C29)+C22</f>
        <v>22228.800000000003</v>
      </c>
      <c r="U48" s="599">
        <f>U39*(J29-D29)+D22</f>
        <v>35135.5</v>
      </c>
      <c r="V48" s="602">
        <f>K22</f>
        <v>45000</v>
      </c>
      <c r="W48" s="603"/>
      <c r="X48" s="277" t="s">
        <v>511</v>
      </c>
      <c r="Y48" s="604">
        <f>T48</f>
        <v>22228.800000000003</v>
      </c>
      <c r="Z48" s="277" t="s">
        <v>34</v>
      </c>
      <c r="AA48" s="108" t="str">
        <f>T39&amp;"  x  "&amp;"("&amp;I29&amp;" - "&amp;C29&amp;")  +  "&amp;C22</f>
        <v>18.8  x  (2347 - 1911)  +  14032</v>
      </c>
      <c r="AB48" s="108"/>
      <c r="AC48" s="108"/>
      <c r="AD48" s="108"/>
    </row>
    <row r="49" spans="2:30" ht="15" customHeight="1">
      <c r="B49" s="31"/>
      <c r="C49" s="31"/>
      <c r="D49" s="31"/>
      <c r="E49" s="31"/>
      <c r="F49" s="31"/>
      <c r="G49" s="31"/>
      <c r="H49" s="31"/>
      <c r="I49" s="31"/>
      <c r="J49" s="31"/>
      <c r="K49" s="31"/>
      <c r="L49" s="31"/>
      <c r="M49" s="31"/>
      <c r="N49" s="31"/>
      <c r="O49" s="31"/>
      <c r="P49" s="31"/>
      <c r="Q49"/>
      <c r="R49" s="108"/>
      <c r="S49" s="508">
        <f>S48+1</f>
        <v>2024</v>
      </c>
      <c r="T49" s="599">
        <f>T40*(I30-C30)+C23</f>
        <v>25360.699999999997</v>
      </c>
      <c r="U49" s="602">
        <f>J23</f>
        <v>40824</v>
      </c>
      <c r="V49" s="599"/>
      <c r="W49" s="603"/>
      <c r="X49" s="108"/>
      <c r="Y49" s="108"/>
      <c r="Z49" s="108"/>
      <c r="AA49" s="108"/>
      <c r="AB49" s="108"/>
      <c r="AC49" s="108"/>
      <c r="AD49" s="108"/>
    </row>
    <row r="50" spans="2:30" ht="15" customHeight="1">
      <c r="B50" s="31"/>
      <c r="C50" s="31"/>
      <c r="D50" s="31"/>
      <c r="E50" s="31"/>
      <c r="F50" s="31"/>
      <c r="G50" s="31"/>
      <c r="H50" s="31"/>
      <c r="I50" s="31"/>
      <c r="J50" s="31"/>
      <c r="K50" s="31"/>
      <c r="L50" s="31"/>
      <c r="M50" s="31"/>
      <c r="N50" s="31"/>
      <c r="O50" s="31"/>
      <c r="P50" s="31"/>
      <c r="Q50"/>
      <c r="R50" s="108"/>
      <c r="S50" s="580">
        <f>S49+1</f>
        <v>2025</v>
      </c>
      <c r="T50" s="605">
        <f>I24</f>
        <v>31421</v>
      </c>
      <c r="U50" s="606"/>
      <c r="V50" s="606"/>
      <c r="W50" s="607"/>
      <c r="X50" s="108"/>
      <c r="Y50" s="108"/>
      <c r="Z50" s="108"/>
      <c r="AA50" s="108"/>
      <c r="AB50" s="108"/>
      <c r="AC50" s="108"/>
      <c r="AD50" s="108"/>
    </row>
    <row r="51" spans="2:30" ht="15" customHeight="1">
      <c r="B51" s="31"/>
      <c r="C51" s="31"/>
      <c r="D51" s="31"/>
      <c r="E51" s="31"/>
      <c r="F51" s="31"/>
      <c r="G51" s="31"/>
      <c r="H51" s="31"/>
      <c r="I51" s="31"/>
      <c r="J51" s="31"/>
      <c r="K51" s="31"/>
      <c r="L51" s="31"/>
      <c r="M51" s="31"/>
      <c r="N51" s="31"/>
      <c r="O51" s="31"/>
      <c r="P51" s="31"/>
      <c r="R51" s="108"/>
      <c r="S51" s="108"/>
      <c r="T51" s="108"/>
      <c r="U51" s="108"/>
      <c r="V51" s="108"/>
      <c r="W51" s="108"/>
      <c r="X51" s="108"/>
      <c r="Y51" s="108"/>
      <c r="Z51" s="108"/>
      <c r="AA51" s="108"/>
      <c r="AB51" s="108"/>
      <c r="AC51" s="108"/>
      <c r="AD51" s="108"/>
    </row>
    <row r="52" spans="2:30" ht="15" customHeight="1">
      <c r="B52" s="31"/>
      <c r="C52" s="31"/>
      <c r="D52" s="31"/>
      <c r="E52" s="31"/>
      <c r="F52" s="31"/>
      <c r="G52" s="31"/>
      <c r="H52" s="31"/>
      <c r="I52" s="31"/>
      <c r="J52" s="31"/>
      <c r="K52" s="31"/>
      <c r="L52" s="31"/>
      <c r="M52" s="31"/>
      <c r="N52" s="31"/>
      <c r="O52" s="31"/>
      <c r="P52" s="31"/>
      <c r="R52" s="239" t="s">
        <v>531</v>
      </c>
      <c r="S52" s="608" t="s">
        <v>532</v>
      </c>
      <c r="T52" s="608"/>
      <c r="U52" s="608"/>
      <c r="V52" s="608"/>
      <c r="W52" s="608"/>
      <c r="X52" s="608"/>
      <c r="Y52" s="608"/>
      <c r="Z52" s="608"/>
      <c r="AA52" s="608"/>
      <c r="AB52" s="608"/>
      <c r="AC52" s="608"/>
      <c r="AD52" s="108"/>
    </row>
    <row r="53" spans="2:30" ht="15" customHeight="1">
      <c r="B53" s="31"/>
      <c r="C53" s="31"/>
      <c r="D53" s="31"/>
      <c r="E53" s="31"/>
      <c r="F53" s="31"/>
      <c r="G53" s="31"/>
      <c r="H53" s="31"/>
      <c r="I53" s="31"/>
      <c r="J53" s="31"/>
      <c r="K53" s="31"/>
      <c r="L53" s="31"/>
      <c r="M53" s="31"/>
      <c r="N53" s="31"/>
      <c r="O53" s="31"/>
      <c r="P53" s="31"/>
      <c r="R53" s="108"/>
      <c r="S53" s="108"/>
      <c r="T53" s="108"/>
      <c r="U53" s="108"/>
      <c r="V53" s="108"/>
      <c r="W53" s="108"/>
      <c r="X53" s="108"/>
      <c r="Y53" s="108"/>
      <c r="Z53" s="108"/>
      <c r="AA53" s="108"/>
      <c r="AB53" s="108"/>
      <c r="AC53" s="108"/>
      <c r="AD53" s="108"/>
    </row>
    <row r="54" spans="2:30" ht="15" customHeight="1">
      <c r="B54" s="31"/>
      <c r="C54" s="31"/>
      <c r="D54" s="31"/>
      <c r="E54" s="31"/>
      <c r="F54" s="31"/>
      <c r="G54" s="31"/>
      <c r="H54" s="31"/>
      <c r="I54" s="31"/>
      <c r="J54" s="31"/>
      <c r="K54" s="31"/>
      <c r="L54" s="31"/>
      <c r="M54" s="31"/>
      <c r="N54" s="31"/>
      <c r="O54" s="31"/>
      <c r="P54" s="31"/>
      <c r="R54" s="356" t="s">
        <v>533</v>
      </c>
      <c r="S54" s="122" t="s">
        <v>89</v>
      </c>
      <c r="T54" s="609" t="str">
        <f>C20&amp;"-"&amp;D20</f>
        <v>12-24</v>
      </c>
      <c r="U54" s="358" t="str">
        <f>D20&amp;"-"&amp;E20</f>
        <v>24-36</v>
      </c>
      <c r="V54" s="359" t="str">
        <f>E20&amp;"-"&amp;F20</f>
        <v>36-48</v>
      </c>
      <c r="W54" s="360" t="s">
        <v>357</v>
      </c>
      <c r="X54" s="37"/>
      <c r="Y54" s="361" t="s">
        <v>534</v>
      </c>
      <c r="Z54" s="160"/>
      <c r="AA54" s="160"/>
      <c r="AB54" s="160"/>
      <c r="AC54" s="161"/>
      <c r="AD54" s="108"/>
    </row>
    <row r="55" spans="2:30" ht="15" customHeight="1">
      <c r="B55" s="31"/>
      <c r="C55" s="31"/>
      <c r="D55" s="31"/>
      <c r="E55" s="31"/>
      <c r="F55" s="31"/>
      <c r="G55" s="31"/>
      <c r="H55" s="31"/>
      <c r="I55" s="31"/>
      <c r="J55" s="31"/>
      <c r="K55" s="31"/>
      <c r="L55" s="31"/>
      <c r="M55" s="31"/>
      <c r="N55" s="31"/>
      <c r="O55" s="31"/>
      <c r="P55" s="31"/>
      <c r="R55" s="37"/>
      <c r="S55" s="181">
        <f>B21</f>
        <v>2022</v>
      </c>
      <c r="T55" s="610">
        <f>IFERROR(ROUND(U47/T47,3),"")</f>
        <v>1.2629999999999999</v>
      </c>
      <c r="U55" s="611">
        <f>IFERROR(ROUND(V47/U47,3),"")</f>
        <v>1.117</v>
      </c>
      <c r="V55" s="612">
        <f>IFERROR(ROUND(W47/V47,3),"")</f>
        <v>0.95699999999999996</v>
      </c>
      <c r="W55" s="37"/>
      <c r="X55" s="37"/>
      <c r="Y55" s="365" t="s">
        <v>535</v>
      </c>
      <c r="Z55" s="130"/>
      <c r="AA55" s="130"/>
      <c r="AB55" s="130"/>
      <c r="AC55" s="131"/>
      <c r="AD55" s="108"/>
    </row>
    <row r="56" spans="2:30" ht="15" customHeight="1">
      <c r="B56" s="31"/>
      <c r="C56" s="31"/>
      <c r="D56" s="31"/>
      <c r="E56" s="31"/>
      <c r="F56" s="31"/>
      <c r="G56" s="31"/>
      <c r="H56" s="31"/>
      <c r="I56" s="31"/>
      <c r="J56" s="31"/>
      <c r="K56" s="31"/>
      <c r="L56" s="31"/>
      <c r="M56" s="31"/>
      <c r="N56" s="31"/>
      <c r="O56" s="31"/>
      <c r="P56" s="31"/>
      <c r="R56" s="121"/>
      <c r="S56" s="181">
        <f>S55+1</f>
        <v>2023</v>
      </c>
      <c r="T56" s="613">
        <f>IFERROR(ROUND(U48/T48,3),"")</f>
        <v>1.581</v>
      </c>
      <c r="U56" s="614">
        <f>IFERROR(ROUND(V48/U48,3),"")</f>
        <v>1.2809999999999999</v>
      </c>
      <c r="V56" s="615"/>
      <c r="W56" s="121"/>
      <c r="X56" s="121"/>
      <c r="Y56" s="369" t="s">
        <v>536</v>
      </c>
      <c r="Z56" s="133"/>
      <c r="AA56" s="133"/>
      <c r="AB56" s="133"/>
      <c r="AC56" s="134"/>
      <c r="AD56" s="108"/>
    </row>
    <row r="57" spans="2:30" ht="15" customHeight="1">
      <c r="B57" s="31"/>
      <c r="C57" s="31"/>
      <c r="D57" s="31"/>
      <c r="E57" s="31"/>
      <c r="F57" s="31"/>
      <c r="G57" s="31"/>
      <c r="H57" s="31"/>
      <c r="I57" s="31"/>
      <c r="J57" s="31"/>
      <c r="K57" s="31"/>
      <c r="L57" s="31"/>
      <c r="M57" s="31"/>
      <c r="N57" s="31"/>
      <c r="O57" s="31"/>
      <c r="P57" s="31"/>
      <c r="R57" s="121"/>
      <c r="S57" s="181">
        <f>S56+1</f>
        <v>2024</v>
      </c>
      <c r="T57" s="613">
        <f>IFERROR(ROUND(U49/T49,3),"")</f>
        <v>1.61</v>
      </c>
      <c r="U57" s="616"/>
      <c r="V57" s="615" t="str">
        <f>IFERROR(ROUND(W49/V49,3),"")</f>
        <v/>
      </c>
      <c r="W57" s="121"/>
      <c r="X57" s="121"/>
      <c r="Y57" s="121"/>
      <c r="Z57" s="121"/>
      <c r="AA57" s="121"/>
      <c r="AB57" s="121"/>
      <c r="AC57" s="121"/>
      <c r="AD57" s="108"/>
    </row>
    <row r="58" spans="2:30" ht="15" customHeight="1">
      <c r="B58" s="31"/>
      <c r="C58" s="31"/>
      <c r="D58" s="31"/>
      <c r="E58" s="31"/>
      <c r="F58" s="31"/>
      <c r="G58" s="31"/>
      <c r="H58" s="31"/>
      <c r="I58" s="31"/>
      <c r="J58" s="31"/>
      <c r="K58" s="31"/>
      <c r="L58" s="31"/>
      <c r="M58" s="31"/>
      <c r="N58" s="31"/>
      <c r="O58" s="31"/>
      <c r="P58" s="31"/>
      <c r="R58" s="121"/>
      <c r="S58" s="183">
        <f>S57+1</f>
        <v>2025</v>
      </c>
      <c r="T58" s="617"/>
      <c r="U58" s="618" t="str">
        <f>IFERROR(ROUND(V50/U50,3),"")</f>
        <v/>
      </c>
      <c r="V58" s="619" t="str">
        <f>IFERROR(ROUND(W50/V50,3),"")</f>
        <v/>
      </c>
      <c r="W58" s="121"/>
      <c r="X58" s="121"/>
      <c r="Y58" s="121"/>
      <c r="Z58" s="121"/>
      <c r="AA58" s="121"/>
      <c r="AB58" s="121"/>
      <c r="AC58" s="121"/>
      <c r="AD58" s="108"/>
    </row>
    <row r="59" spans="2:30" ht="15" customHeight="1">
      <c r="B59" s="31"/>
      <c r="C59" s="31"/>
      <c r="D59" s="31"/>
      <c r="E59" s="31"/>
      <c r="F59" s="31"/>
      <c r="G59" s="31"/>
      <c r="H59" s="31"/>
      <c r="I59" s="31"/>
      <c r="J59" s="31"/>
      <c r="K59" s="31"/>
      <c r="L59" s="31"/>
      <c r="M59" s="31"/>
      <c r="N59" s="31"/>
      <c r="O59" s="31"/>
      <c r="P59" s="31"/>
      <c r="R59" s="356"/>
      <c r="S59" s="374" t="s">
        <v>362</v>
      </c>
      <c r="T59" s="375">
        <f>AVERAGE(T55:T57)</f>
        <v>1.4846666666666666</v>
      </c>
      <c r="U59" s="376">
        <f>AVERAGE(U55:U57)</f>
        <v>1.1989999999999998</v>
      </c>
      <c r="V59" s="377">
        <f>AVERAGE(V55:V57)</f>
        <v>0.95699999999999996</v>
      </c>
      <c r="W59" s="378">
        <v>1</v>
      </c>
      <c r="X59" s="155"/>
      <c r="Y59" s="153"/>
      <c r="Z59" s="155"/>
      <c r="AA59" s="153"/>
      <c r="AB59" s="121"/>
      <c r="AC59" s="121"/>
      <c r="AD59" s="108"/>
    </row>
    <row r="60" spans="2:30" ht="15" customHeight="1">
      <c r="B60" s="31"/>
      <c r="C60" s="31"/>
      <c r="D60" s="31"/>
      <c r="E60" s="31"/>
      <c r="F60" s="31"/>
      <c r="G60" s="31"/>
      <c r="H60" s="31"/>
      <c r="I60" s="31"/>
      <c r="J60" s="31"/>
      <c r="K60" s="31"/>
      <c r="L60" s="31"/>
      <c r="M60" s="31"/>
      <c r="N60" s="31"/>
      <c r="O60" s="31"/>
      <c r="P60" s="31"/>
      <c r="R60" s="121"/>
      <c r="S60" s="37"/>
      <c r="T60" s="37"/>
      <c r="U60" s="37"/>
      <c r="V60" s="37"/>
      <c r="W60" s="37"/>
      <c r="X60" s="121"/>
      <c r="Y60" s="121"/>
      <c r="Z60" s="121"/>
      <c r="AA60" s="121"/>
      <c r="AB60" s="121"/>
      <c r="AC60" s="121"/>
      <c r="AD60" s="108"/>
    </row>
    <row r="61" spans="2:30" ht="15" customHeight="1">
      <c r="B61" s="31"/>
      <c r="C61" s="31"/>
      <c r="D61" s="31"/>
      <c r="E61" s="31"/>
      <c r="F61" s="31"/>
      <c r="G61" s="31"/>
      <c r="H61" s="31"/>
      <c r="I61" s="31"/>
      <c r="J61" s="31"/>
      <c r="K61" s="31"/>
      <c r="L61" s="31"/>
      <c r="M61" s="31"/>
      <c r="N61" s="31"/>
      <c r="O61" s="31"/>
      <c r="P61" s="31"/>
      <c r="R61" s="345" t="s">
        <v>537</v>
      </c>
      <c r="S61" s="379"/>
      <c r="T61" s="380" t="str">
        <f>C20&amp;"-ult"</f>
        <v>12-ult</v>
      </c>
      <c r="U61" s="381" t="str">
        <f>D20&amp;"-ult"</f>
        <v>24-ult</v>
      </c>
      <c r="V61" s="381" t="str">
        <f>E20&amp;"-ult"</f>
        <v>36-ult</v>
      </c>
      <c r="W61" s="382" t="str">
        <f>F20&amp;"-ult"</f>
        <v>48-ult</v>
      </c>
      <c r="X61" s="121"/>
      <c r="Y61" s="121"/>
      <c r="Z61" s="121"/>
      <c r="AA61" s="259"/>
      <c r="AB61" s="259"/>
      <c r="AC61" s="121"/>
      <c r="AD61" s="108"/>
    </row>
    <row r="62" spans="2:30" ht="15" customHeight="1">
      <c r="B62" s="31"/>
      <c r="C62" s="31"/>
      <c r="D62" s="31"/>
      <c r="E62" s="31"/>
      <c r="F62" s="31"/>
      <c r="G62" s="31"/>
      <c r="H62" s="31"/>
      <c r="I62" s="31"/>
      <c r="J62" s="31"/>
      <c r="K62" s="31"/>
      <c r="L62" s="31"/>
      <c r="M62" s="31"/>
      <c r="N62" s="31"/>
      <c r="O62" s="31"/>
      <c r="P62" s="31"/>
      <c r="R62" s="121"/>
      <c r="S62" s="383" t="s">
        <v>365</v>
      </c>
      <c r="T62" s="384">
        <f>U62*T59</f>
        <v>1.7035703739999997</v>
      </c>
      <c r="U62" s="384">
        <f>V62*U59</f>
        <v>1.1474429999999998</v>
      </c>
      <c r="V62" s="384">
        <f>W62*V59</f>
        <v>0.95699999999999996</v>
      </c>
      <c r="W62" s="385">
        <f>W59</f>
        <v>1</v>
      </c>
      <c r="X62" s="386" t="s">
        <v>366</v>
      </c>
      <c r="Y62" s="387" t="s">
        <v>367</v>
      </c>
      <c r="Z62" s="241"/>
      <c r="AA62" s="186"/>
      <c r="AB62" s="121"/>
      <c r="AC62" s="121"/>
      <c r="AD62" s="108"/>
    </row>
    <row r="63" spans="2:30" ht="15" customHeight="1">
      <c r="B63" s="31"/>
      <c r="C63" s="31"/>
      <c r="D63" s="31"/>
      <c r="E63" s="31"/>
      <c r="F63" s="31"/>
      <c r="G63" s="31"/>
      <c r="H63" s="31"/>
      <c r="I63" s="31"/>
      <c r="J63" s="31"/>
      <c r="K63" s="31"/>
      <c r="L63" s="31"/>
      <c r="M63" s="31"/>
      <c r="N63" s="31"/>
      <c r="O63" s="31"/>
      <c r="P63" s="31"/>
      <c r="R63" s="121"/>
      <c r="S63" s="37"/>
      <c r="T63" s="37"/>
      <c r="U63" s="37"/>
      <c r="V63" s="37"/>
      <c r="W63" s="37"/>
      <c r="X63" s="121"/>
      <c r="Y63" s="388" t="s">
        <v>368</v>
      </c>
      <c r="Z63" s="121"/>
      <c r="AA63" s="121"/>
      <c r="AB63" s="121"/>
      <c r="AC63" s="121"/>
      <c r="AD63" s="108"/>
    </row>
    <row r="64" spans="2:30" ht="15" customHeight="1">
      <c r="B64" s="31"/>
      <c r="C64" s="31"/>
      <c r="D64" s="31"/>
      <c r="E64" s="31"/>
      <c r="F64" s="31"/>
      <c r="G64" s="31"/>
      <c r="H64" s="31"/>
      <c r="I64" s="31"/>
      <c r="J64" s="31"/>
      <c r="K64" s="31"/>
      <c r="L64" s="31"/>
      <c r="M64" s="31"/>
      <c r="N64" s="31"/>
      <c r="O64" s="31"/>
      <c r="P64" s="31"/>
      <c r="R64" s="356" t="s">
        <v>538</v>
      </c>
      <c r="S64" s="379"/>
      <c r="T64" s="389" t="str">
        <f>"'"&amp;RIGHT(B24,2)&amp;"@"&amp;C20</f>
        <v>'25@12</v>
      </c>
      <c r="U64" s="390" t="str">
        <f>"'"&amp;RIGHT(B23,2)&amp;"@"&amp;D20</f>
        <v>'24@24</v>
      </c>
      <c r="V64" s="390" t="str">
        <f>"'"&amp;RIGHT(B22,2)&amp;"@"&amp;E20</f>
        <v>'23@36</v>
      </c>
      <c r="W64" s="391" t="str">
        <f>"'"&amp;RIGHT(B21,2)&amp;"@"&amp;F20</f>
        <v>'22@48</v>
      </c>
      <c r="X64" s="121"/>
      <c r="Y64" s="121"/>
      <c r="Z64" s="121"/>
      <c r="AA64" s="121"/>
      <c r="AB64" s="121"/>
      <c r="AC64" s="121"/>
      <c r="AD64" s="108"/>
    </row>
    <row r="65" spans="2:30" ht="15" customHeight="1">
      <c r="B65" s="31"/>
      <c r="C65" s="31"/>
      <c r="D65" s="31"/>
      <c r="E65" s="31"/>
      <c r="F65" s="31"/>
      <c r="G65" s="31"/>
      <c r="H65" s="31"/>
      <c r="I65" s="31"/>
      <c r="J65" s="31"/>
      <c r="K65" s="31"/>
      <c r="L65" s="31"/>
      <c r="M65" s="31"/>
      <c r="N65" s="31"/>
      <c r="O65" s="31"/>
      <c r="P65" s="31"/>
      <c r="R65" s="121"/>
      <c r="S65" s="392" t="s">
        <v>371</v>
      </c>
      <c r="T65" s="393">
        <f>T50</f>
        <v>31421</v>
      </c>
      <c r="U65" s="393">
        <f>U49</f>
        <v>40824</v>
      </c>
      <c r="V65" s="393">
        <f>V48</f>
        <v>45000</v>
      </c>
      <c r="W65" s="394">
        <f>W47</f>
        <v>35563</v>
      </c>
      <c r="X65" s="121"/>
      <c r="Y65" s="121"/>
      <c r="Z65" s="121"/>
      <c r="AA65" s="121"/>
      <c r="AB65" s="121"/>
      <c r="AC65" s="121"/>
      <c r="AD65" s="108"/>
    </row>
    <row r="66" spans="2:30" ht="15" customHeight="1">
      <c r="B66" s="31"/>
      <c r="C66" s="31"/>
      <c r="D66" s="31"/>
      <c r="E66" s="31"/>
      <c r="F66" s="31"/>
      <c r="G66" s="31"/>
      <c r="H66" s="31"/>
      <c r="I66" s="31"/>
      <c r="J66" s="31"/>
      <c r="K66" s="31"/>
      <c r="L66" s="31"/>
      <c r="M66" s="31"/>
      <c r="N66" s="31"/>
      <c r="O66" s="31"/>
      <c r="P66" s="31"/>
      <c r="R66" s="121"/>
      <c r="S66" s="395" t="s">
        <v>373</v>
      </c>
      <c r="T66" s="396">
        <f>T65*T62</f>
        <v>53527.884721453993</v>
      </c>
      <c r="U66" s="397">
        <f>U65*U62</f>
        <v>46843.213031999992</v>
      </c>
      <c r="V66" s="123">
        <f>V65*V62</f>
        <v>43065</v>
      </c>
      <c r="W66" s="124">
        <f>W65*W62</f>
        <v>35563</v>
      </c>
      <c r="X66" s="386" t="s">
        <v>366</v>
      </c>
      <c r="Y66" s="387" t="s">
        <v>374</v>
      </c>
      <c r="Z66" s="241"/>
      <c r="AA66" s="186"/>
      <c r="AB66" s="121"/>
      <c r="AC66" s="121"/>
      <c r="AD66" s="108"/>
    </row>
    <row r="67" spans="2:30" ht="15" customHeight="1">
      <c r="B67" s="31"/>
      <c r="C67" s="31"/>
      <c r="D67" s="31"/>
      <c r="E67" s="31"/>
      <c r="F67" s="31"/>
      <c r="G67" s="31"/>
      <c r="H67" s="31"/>
      <c r="I67" s="31"/>
      <c r="J67" s="31"/>
      <c r="K67" s="31"/>
      <c r="L67" s="31"/>
      <c r="M67" s="31"/>
      <c r="N67" s="31"/>
      <c r="O67" s="31"/>
      <c r="P67" s="31"/>
      <c r="R67" s="121"/>
      <c r="S67"/>
      <c r="T67"/>
      <c r="U67"/>
      <c r="V67"/>
      <c r="W67"/>
      <c r="X67"/>
      <c r="Y67"/>
      <c r="Z67"/>
      <c r="AA67"/>
      <c r="AB67" s="121"/>
      <c r="AC67" s="121"/>
      <c r="AD67" s="108"/>
    </row>
    <row r="68" spans="2:30" ht="15" customHeight="1">
      <c r="B68" s="31"/>
      <c r="C68" s="31"/>
      <c r="D68" s="31"/>
      <c r="E68" s="31"/>
      <c r="F68" s="31"/>
      <c r="G68" s="31"/>
      <c r="H68" s="31"/>
      <c r="I68" s="31"/>
      <c r="J68" s="31"/>
      <c r="K68" s="31"/>
      <c r="L68" s="31"/>
      <c r="M68" s="31"/>
      <c r="N68" s="31"/>
      <c r="O68" s="31"/>
      <c r="P68" s="31"/>
      <c r="R68" s="156" t="s">
        <v>531</v>
      </c>
      <c r="S68" s="420" t="str">
        <f>G17</f>
        <v>unpaid</v>
      </c>
      <c r="T68" s="420" t="str">
        <f>H17</f>
        <v>for AY</v>
      </c>
      <c r="U68" s="420">
        <f>I17</f>
        <v>2025</v>
      </c>
      <c r="V68" s="48" t="s">
        <v>34</v>
      </c>
      <c r="W68" s="239">
        <f>INDEX(T66:W66,1,2026-U68)-IF(S68="ultimate",0,INDEX(C21:F24,U68-2021,2026-U68))</f>
        <v>39341.884721453993</v>
      </c>
      <c r="X68" s="159" t="s">
        <v>539</v>
      </c>
      <c r="Y68"/>
      <c r="Z68"/>
      <c r="AA68"/>
      <c r="AB68" s="121"/>
      <c r="AC68" s="121"/>
      <c r="AD68" s="108"/>
    </row>
    <row r="69" spans="2:30" ht="15" customHeight="1">
      <c r="B69" s="31"/>
      <c r="C69" s="31"/>
      <c r="D69" s="31"/>
      <c r="E69" s="31"/>
      <c r="F69" s="31"/>
      <c r="G69" s="31"/>
      <c r="H69" s="31"/>
      <c r="I69" s="31"/>
      <c r="J69" s="31"/>
      <c r="K69" s="31"/>
      <c r="L69" s="31"/>
      <c r="M69" s="31"/>
      <c r="N69" s="31"/>
      <c r="O69" s="31"/>
      <c r="P69" s="31"/>
    </row>
    <row r="70" spans="2:30" ht="15" customHeight="1">
      <c r="B70" s="31"/>
      <c r="C70" s="31"/>
      <c r="D70" s="31"/>
      <c r="E70" s="31"/>
      <c r="F70" s="31"/>
      <c r="G70" s="31"/>
      <c r="H70" s="31"/>
      <c r="I70" s="31"/>
      <c r="J70" s="31"/>
      <c r="K70" s="31"/>
      <c r="L70" s="31"/>
      <c r="M70" s="31"/>
      <c r="N70" s="31"/>
      <c r="O70" s="31"/>
      <c r="P70" s="31"/>
    </row>
    <row r="71" spans="2:30" ht="15" customHeight="1">
      <c r="B71" s="31"/>
      <c r="C71" s="31"/>
      <c r="D71" s="31"/>
      <c r="E71" s="31"/>
      <c r="F71" s="31"/>
      <c r="G71" s="31"/>
      <c r="H71" s="31"/>
      <c r="I71" s="31"/>
      <c r="J71" s="31"/>
      <c r="K71" s="31"/>
      <c r="L71" s="31"/>
      <c r="M71" s="31"/>
      <c r="N71" s="31"/>
      <c r="O71" s="31"/>
      <c r="P71" s="31"/>
    </row>
    <row r="72" spans="2:30" ht="15" customHeight="1">
      <c r="B72" s="31"/>
      <c r="C72" s="31"/>
      <c r="D72" s="31"/>
      <c r="E72" s="31"/>
      <c r="F72" s="31"/>
      <c r="G72" s="31"/>
      <c r="H72" s="31"/>
      <c r="I72" s="31"/>
      <c r="J72" s="31"/>
      <c r="K72" s="31"/>
      <c r="L72" s="31"/>
      <c r="M72" s="31"/>
      <c r="N72" s="31"/>
      <c r="O72" s="31"/>
      <c r="P72" s="31"/>
    </row>
    <row r="73" spans="2:30" ht="15" customHeight="1">
      <c r="B73" s="31"/>
      <c r="C73" s="31"/>
      <c r="D73" s="31"/>
      <c r="E73" s="31"/>
      <c r="F73" s="31"/>
      <c r="G73" s="31"/>
      <c r="H73" s="31"/>
      <c r="I73" s="31"/>
      <c r="J73" s="31"/>
      <c r="K73" s="31"/>
      <c r="L73" s="31"/>
      <c r="M73" s="31"/>
      <c r="N73" s="31"/>
      <c r="O73" s="31"/>
      <c r="P73" s="31"/>
    </row>
    <row r="74" spans="2:30" ht="15" customHeight="1">
      <c r="B74" s="31"/>
      <c r="C74" s="31"/>
      <c r="D74" s="31"/>
      <c r="E74" s="31"/>
      <c r="F74" s="31"/>
      <c r="G74" s="31"/>
      <c r="H74" s="31"/>
      <c r="I74" s="31"/>
      <c r="J74" s="31"/>
      <c r="K74" s="31"/>
      <c r="L74" s="31"/>
      <c r="M74" s="31"/>
      <c r="N74" s="31"/>
      <c r="O74" s="31"/>
      <c r="P74" s="31"/>
    </row>
    <row r="75" spans="2:30" ht="15" customHeight="1">
      <c r="B75" s="31"/>
      <c r="C75" s="31"/>
      <c r="D75" s="31"/>
      <c r="E75" s="31"/>
      <c r="F75" s="31"/>
      <c r="G75" s="31"/>
      <c r="H75" s="31"/>
      <c r="I75" s="31"/>
      <c r="J75" s="31"/>
      <c r="K75" s="31"/>
      <c r="L75" s="31"/>
      <c r="M75" s="31"/>
      <c r="N75" s="31"/>
      <c r="O75" s="31"/>
      <c r="P75" s="31"/>
    </row>
    <row r="76" spans="2:30" ht="15" customHeight="1">
      <c r="B76" s="31"/>
      <c r="C76" s="31"/>
      <c r="D76" s="31"/>
      <c r="E76" s="31"/>
      <c r="F76" s="31"/>
      <c r="G76" s="31"/>
      <c r="H76" s="31"/>
      <c r="I76" s="31"/>
      <c r="J76" s="31"/>
      <c r="K76" s="31"/>
      <c r="L76" s="31"/>
      <c r="M76" s="31"/>
      <c r="N76" s="31"/>
      <c r="O76" s="31"/>
      <c r="P76" s="31"/>
    </row>
    <row r="77" spans="2:30" ht="15" customHeight="1">
      <c r="B77" s="31"/>
      <c r="C77" s="31"/>
      <c r="D77" s="31"/>
      <c r="E77" s="31"/>
      <c r="F77" s="31"/>
      <c r="G77" s="31"/>
      <c r="H77" s="31"/>
      <c r="I77" s="31"/>
      <c r="J77" s="31"/>
      <c r="K77" s="31"/>
      <c r="L77" s="31"/>
      <c r="M77" s="31"/>
      <c r="N77" s="31"/>
      <c r="O77" s="31"/>
      <c r="P77" s="31"/>
    </row>
    <row r="78" spans="2:30" ht="15" customHeight="1">
      <c r="B78" s="31"/>
      <c r="C78" s="31"/>
      <c r="D78" s="31"/>
      <c r="E78" s="31"/>
      <c r="F78" s="31"/>
      <c r="G78" s="31"/>
      <c r="H78" s="31"/>
      <c r="I78" s="31"/>
      <c r="J78" s="31"/>
      <c r="K78" s="31"/>
      <c r="L78" s="31"/>
      <c r="M78" s="31"/>
      <c r="N78" s="31"/>
      <c r="O78" s="31"/>
      <c r="P78" s="31"/>
    </row>
    <row r="79" spans="2:30" ht="15" customHeight="1">
      <c r="B79" s="31"/>
      <c r="C79" s="31"/>
      <c r="D79" s="31"/>
      <c r="E79" s="31"/>
      <c r="F79" s="31"/>
      <c r="G79" s="31"/>
      <c r="H79" s="31"/>
      <c r="I79" s="31"/>
      <c r="J79" s="31"/>
      <c r="K79" s="31"/>
      <c r="L79" s="31"/>
      <c r="M79" s="31"/>
      <c r="N79" s="31"/>
      <c r="O79" s="31"/>
      <c r="P79" s="31"/>
    </row>
    <row r="80" spans="2:30" ht="15" customHeight="1">
      <c r="B80" s="31"/>
      <c r="C80" s="31"/>
      <c r="D80" s="31"/>
      <c r="E80" s="31"/>
      <c r="F80" s="31"/>
      <c r="G80" s="31"/>
      <c r="H80" s="31"/>
      <c r="I80" s="31"/>
      <c r="J80" s="31"/>
      <c r="K80" s="31"/>
      <c r="L80" s="31"/>
      <c r="M80" s="31"/>
      <c r="N80" s="31"/>
      <c r="O80" s="31"/>
      <c r="P80" s="31"/>
    </row>
    <row r="81" spans="2:16" ht="15" customHeight="1">
      <c r="B81" s="31"/>
      <c r="C81" s="31"/>
      <c r="D81" s="31"/>
      <c r="E81" s="31"/>
      <c r="F81" s="31"/>
      <c r="G81" s="31"/>
      <c r="H81" s="31"/>
      <c r="I81" s="31"/>
      <c r="J81" s="31"/>
      <c r="K81" s="31"/>
      <c r="L81" s="31"/>
      <c r="M81" s="31"/>
      <c r="N81" s="31"/>
      <c r="O81" s="31"/>
      <c r="P81" s="31"/>
    </row>
    <row r="82" spans="2:16" ht="15" customHeight="1">
      <c r="B82" s="31"/>
      <c r="C82" s="31"/>
      <c r="D82" s="31"/>
      <c r="E82" s="31"/>
      <c r="F82" s="31"/>
      <c r="G82" s="31"/>
      <c r="H82" s="31"/>
      <c r="I82" s="31"/>
      <c r="J82" s="31"/>
      <c r="K82" s="31"/>
      <c r="L82" s="31"/>
      <c r="M82" s="31"/>
      <c r="N82" s="31"/>
      <c r="O82" s="31"/>
      <c r="P82" s="31"/>
    </row>
    <row r="83" spans="2:16" ht="15" customHeight="1">
      <c r="B83" s="31"/>
      <c r="C83" s="31"/>
      <c r="D83" s="31"/>
      <c r="E83" s="31"/>
      <c r="F83" s="31"/>
      <c r="G83" s="31"/>
      <c r="H83" s="31"/>
      <c r="I83" s="31"/>
      <c r="J83" s="31"/>
      <c r="K83" s="31"/>
      <c r="L83" s="31"/>
      <c r="M83" s="31"/>
      <c r="N83" s="31"/>
      <c r="O83" s="31"/>
      <c r="P83" s="31"/>
    </row>
    <row r="84" spans="2:16" ht="15" customHeight="1">
      <c r="B84" s="31"/>
      <c r="C84" s="31"/>
      <c r="D84" s="31"/>
      <c r="E84" s="31"/>
      <c r="F84" s="31"/>
      <c r="G84" s="31"/>
      <c r="H84" s="31"/>
      <c r="I84" s="31"/>
      <c r="J84" s="31"/>
      <c r="K84" s="31"/>
      <c r="L84" s="31"/>
      <c r="M84" s="31"/>
      <c r="N84" s="31"/>
      <c r="O84" s="31"/>
      <c r="P84" s="31"/>
    </row>
    <row r="85" spans="2:16" ht="15" customHeight="1">
      <c r="B85" s="31"/>
      <c r="C85" s="31"/>
      <c r="D85" s="31"/>
      <c r="E85" s="31"/>
      <c r="F85" s="31"/>
      <c r="G85" s="31"/>
      <c r="H85" s="31"/>
      <c r="I85" s="31"/>
      <c r="J85" s="31"/>
      <c r="K85" s="31"/>
      <c r="L85" s="31"/>
      <c r="M85" s="31"/>
      <c r="N85" s="31"/>
      <c r="O85" s="31"/>
      <c r="P85" s="31"/>
    </row>
    <row r="86" spans="2:16" ht="15" customHeight="1">
      <c r="B86" s="31"/>
      <c r="C86" s="31"/>
      <c r="D86" s="31"/>
      <c r="E86" s="31"/>
      <c r="F86" s="31"/>
      <c r="G86" s="31"/>
      <c r="H86" s="31"/>
      <c r="I86" s="31"/>
      <c r="J86" s="31"/>
      <c r="K86" s="31"/>
      <c r="L86" s="31"/>
      <c r="M86" s="31"/>
      <c r="N86" s="31"/>
      <c r="O86" s="31"/>
      <c r="P86" s="31"/>
    </row>
    <row r="87" spans="2:16" ht="15" customHeight="1">
      <c r="B87" s="31"/>
      <c r="C87" s="31"/>
      <c r="D87" s="31"/>
      <c r="E87" s="31"/>
      <c r="F87" s="31"/>
      <c r="G87" s="31"/>
      <c r="H87" s="31"/>
      <c r="I87" s="31"/>
      <c r="J87" s="31"/>
      <c r="K87" s="31"/>
      <c r="L87" s="31"/>
      <c r="M87" s="31"/>
      <c r="N87" s="31"/>
      <c r="O87" s="31"/>
      <c r="P87" s="31"/>
    </row>
    <row r="88" spans="2:16" ht="15" customHeight="1">
      <c r="B88" s="31"/>
      <c r="C88" s="31"/>
      <c r="D88" s="31"/>
      <c r="E88" s="31"/>
      <c r="F88" s="31"/>
      <c r="G88" s="31"/>
      <c r="H88" s="31"/>
      <c r="I88" s="31"/>
      <c r="J88" s="31"/>
      <c r="K88" s="31"/>
      <c r="L88" s="31"/>
      <c r="M88" s="31"/>
      <c r="N88" s="31"/>
      <c r="O88" s="31"/>
      <c r="P88" s="31"/>
    </row>
    <row r="89" spans="2:16" ht="15" customHeight="1">
      <c r="B89" s="31"/>
      <c r="C89" s="31"/>
      <c r="D89" s="31"/>
      <c r="E89" s="31"/>
      <c r="F89" s="31"/>
      <c r="G89" s="31"/>
      <c r="H89" s="31"/>
      <c r="I89" s="31"/>
      <c r="J89" s="31"/>
      <c r="K89" s="31"/>
      <c r="L89" s="31"/>
      <c r="M89" s="31"/>
      <c r="N89" s="31"/>
      <c r="O89" s="31"/>
      <c r="P89" s="31"/>
    </row>
    <row r="90" spans="2:16" ht="15" customHeight="1">
      <c r="B90" s="31"/>
      <c r="C90" s="31"/>
      <c r="D90" s="31"/>
      <c r="E90" s="31"/>
      <c r="F90" s="31"/>
      <c r="G90" s="31"/>
      <c r="H90" s="31"/>
      <c r="I90" s="31"/>
      <c r="J90" s="31"/>
      <c r="K90" s="31"/>
      <c r="L90" s="31"/>
      <c r="M90" s="31"/>
      <c r="N90" s="31"/>
      <c r="O90" s="31"/>
      <c r="P90" s="31"/>
    </row>
    <row r="91" spans="2:16" ht="15" customHeight="1">
      <c r="B91" s="31"/>
      <c r="C91" s="31"/>
      <c r="D91" s="31"/>
      <c r="E91" s="31"/>
      <c r="F91" s="31"/>
      <c r="G91" s="31"/>
      <c r="H91" s="31"/>
      <c r="I91" s="31"/>
      <c r="J91" s="31"/>
      <c r="K91" s="31"/>
      <c r="L91" s="31"/>
      <c r="M91" s="31"/>
      <c r="N91" s="31"/>
      <c r="O91" s="31"/>
      <c r="P91" s="31"/>
    </row>
    <row r="92" spans="2:16" ht="15" customHeight="1">
      <c r="B92" s="31"/>
      <c r="C92" s="31"/>
      <c r="D92" s="31"/>
      <c r="E92" s="31"/>
      <c r="F92" s="31"/>
      <c r="G92" s="31"/>
      <c r="H92" s="31"/>
      <c r="I92" s="31"/>
      <c r="J92" s="31"/>
      <c r="K92" s="31"/>
      <c r="L92" s="31"/>
      <c r="M92" s="31"/>
      <c r="N92" s="31"/>
      <c r="O92" s="31"/>
      <c r="P92" s="31"/>
    </row>
    <row r="93" spans="2:16" ht="15" customHeight="1">
      <c r="B93" s="31"/>
      <c r="C93" s="31"/>
      <c r="D93" s="31"/>
      <c r="E93" s="31"/>
      <c r="F93" s="31"/>
      <c r="G93" s="31"/>
      <c r="H93" s="31"/>
      <c r="I93" s="31"/>
      <c r="J93" s="31"/>
      <c r="K93" s="31"/>
      <c r="L93" s="31"/>
      <c r="M93" s="31"/>
      <c r="N93" s="31"/>
      <c r="O93" s="31"/>
      <c r="P93" s="31"/>
    </row>
    <row r="94" spans="2:16" ht="15" customHeight="1">
      <c r="B94" s="31"/>
      <c r="C94" s="31"/>
      <c r="D94" s="31"/>
      <c r="E94" s="31"/>
      <c r="F94" s="31"/>
      <c r="G94" s="31"/>
      <c r="H94" s="31"/>
      <c r="I94" s="31"/>
      <c r="J94" s="31"/>
      <c r="K94" s="31"/>
      <c r="L94" s="31"/>
      <c r="M94" s="31"/>
      <c r="N94" s="31"/>
      <c r="O94" s="31"/>
      <c r="P94" s="31"/>
    </row>
    <row r="95" spans="2:16" ht="15" customHeight="1">
      <c r="B95" s="31"/>
      <c r="C95" s="31"/>
      <c r="D95" s="31"/>
      <c r="E95" s="31"/>
      <c r="F95" s="31"/>
      <c r="G95" s="31"/>
      <c r="H95" s="31"/>
      <c r="I95" s="31"/>
      <c r="J95" s="31"/>
      <c r="K95" s="31"/>
      <c r="L95" s="31"/>
      <c r="M95" s="31"/>
      <c r="N95" s="31"/>
      <c r="O95" s="31"/>
      <c r="P95" s="31"/>
    </row>
    <row r="96" spans="2:16" ht="15" customHeight="1">
      <c r="B96" s="31"/>
      <c r="C96" s="31"/>
      <c r="D96" s="31"/>
      <c r="E96" s="31"/>
      <c r="F96" s="31"/>
      <c r="G96" s="31"/>
      <c r="H96" s="31"/>
      <c r="I96" s="31"/>
      <c r="J96" s="31"/>
      <c r="K96" s="31"/>
      <c r="L96" s="31"/>
      <c r="M96" s="31"/>
      <c r="N96" s="31"/>
      <c r="O96" s="31"/>
      <c r="P96" s="31"/>
    </row>
    <row r="97" spans="2:16" ht="15" customHeight="1">
      <c r="B97" s="31"/>
      <c r="C97" s="31"/>
      <c r="D97" s="31"/>
      <c r="E97" s="31"/>
      <c r="F97" s="31"/>
      <c r="G97" s="31"/>
      <c r="H97" s="31"/>
      <c r="I97" s="31"/>
      <c r="J97" s="31"/>
      <c r="K97" s="31"/>
      <c r="L97" s="31"/>
      <c r="M97" s="31"/>
      <c r="N97" s="31"/>
      <c r="O97" s="31"/>
      <c r="P97" s="31"/>
    </row>
    <row r="98" spans="2:16" ht="15" customHeight="1">
      <c r="B98" s="31"/>
      <c r="C98" s="31"/>
      <c r="D98" s="31"/>
      <c r="E98" s="31"/>
      <c r="F98" s="31"/>
      <c r="G98" s="31"/>
      <c r="H98" s="31"/>
      <c r="I98" s="31"/>
      <c r="J98" s="31"/>
      <c r="K98" s="31"/>
      <c r="L98" s="31"/>
      <c r="M98" s="31"/>
      <c r="N98" s="31"/>
      <c r="O98" s="31"/>
      <c r="P98" s="31"/>
    </row>
    <row r="99" spans="2:16" ht="15" customHeight="1">
      <c r="B99" s="31"/>
      <c r="C99" s="31"/>
      <c r="D99" s="31"/>
      <c r="E99" s="31"/>
      <c r="F99" s="31"/>
      <c r="G99" s="31"/>
      <c r="H99" s="31"/>
      <c r="I99" s="31"/>
      <c r="J99" s="31"/>
      <c r="K99" s="31"/>
      <c r="L99" s="31"/>
      <c r="M99" s="31"/>
      <c r="N99" s="31"/>
      <c r="O99" s="31"/>
      <c r="P99" s="31"/>
    </row>
    <row r="100" spans="2:16" ht="15" customHeight="1">
      <c r="B100" s="31"/>
      <c r="C100" s="31"/>
      <c r="D100" s="31"/>
      <c r="E100" s="31"/>
      <c r="F100" s="31"/>
      <c r="G100" s="31"/>
      <c r="H100" s="31"/>
      <c r="I100" s="31"/>
      <c r="J100" s="31"/>
      <c r="K100" s="31"/>
      <c r="L100" s="31"/>
      <c r="M100" s="31"/>
      <c r="N100" s="31"/>
      <c r="O100" s="31"/>
      <c r="P100" s="31"/>
    </row>
    <row r="101" spans="2:16" ht="15" customHeight="1">
      <c r="B101" s="31"/>
      <c r="C101" s="31"/>
      <c r="D101" s="31"/>
      <c r="E101" s="31"/>
      <c r="F101" s="31"/>
      <c r="G101" s="31"/>
      <c r="H101" s="31"/>
      <c r="I101" s="31"/>
      <c r="J101" s="31"/>
      <c r="K101" s="31"/>
      <c r="L101" s="31"/>
      <c r="M101" s="31"/>
      <c r="N101" s="31"/>
      <c r="O101" s="31"/>
      <c r="P101" s="31"/>
    </row>
  </sheetData>
  <mergeCells count="1">
    <mergeCell ref="N1:O1"/>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N1" location="'Point Grid'!A8" display="Return to Point Grid"/>
    <hyperlink ref="N1:O1" location="'Point Grid'!A1" display="Return to Point Grid"/>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101"/>
  <sheetViews>
    <sheetView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27</v>
      </c>
      <c r="B1" s="27" t="s">
        <v>12</v>
      </c>
      <c r="C1" s="20"/>
      <c r="D1" s="20"/>
      <c r="E1" s="20"/>
      <c r="F1" s="20"/>
      <c r="G1" s="20"/>
      <c r="H1" s="886" t="s">
        <v>24</v>
      </c>
      <c r="I1" s="887"/>
      <c r="K1" s="1" t="s">
        <v>33</v>
      </c>
      <c r="L1" s="52" t="str">
        <f>VLOOKUP(A1,'Point Grid'!$L$8:$T$54,9,FALSE)</f>
        <v>Reserving - Chap 14: Recoveries</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961</v>
      </c>
      <c r="M3"/>
      <c r="N3"/>
      <c r="O3"/>
      <c r="P3"/>
      <c r="Q3"/>
      <c r="R3"/>
      <c r="S3"/>
      <c r="T3"/>
      <c r="U3"/>
    </row>
    <row r="4" spans="1:21">
      <c r="A4" s="9">
        <f>INDEX('Point Grid'!B:B,MATCH(A1,'Point Grid'!A:A,0))</f>
        <v>1.75</v>
      </c>
      <c r="B4" s="17"/>
      <c r="C4" s="17"/>
      <c r="D4" s="17"/>
      <c r="E4" s="17"/>
      <c r="F4" s="17"/>
      <c r="G4" s="17"/>
      <c r="H4" s="17"/>
      <c r="I4" s="18"/>
      <c r="J4" s="31"/>
      <c r="K4" s="48"/>
      <c r="L4"/>
      <c r="M4"/>
      <c r="N4"/>
      <c r="O4"/>
      <c r="P4"/>
      <c r="Q4"/>
      <c r="R4"/>
      <c r="S4"/>
      <c r="T4"/>
      <c r="U4"/>
    </row>
    <row r="5" spans="1:21">
      <c r="A5" s="16"/>
      <c r="B5" s="17"/>
      <c r="C5" s="17"/>
      <c r="D5" s="17"/>
      <c r="E5" s="17"/>
      <c r="F5" s="17"/>
      <c r="G5" s="17"/>
      <c r="H5" s="17"/>
      <c r="I5" s="18"/>
      <c r="J5" s="31"/>
      <c r="K5" s="48" t="s">
        <v>3</v>
      </c>
      <c r="L5" t="s">
        <v>546</v>
      </c>
      <c r="M5"/>
      <c r="N5"/>
      <c r="O5"/>
      <c r="P5"/>
      <c r="Q5"/>
      <c r="R5"/>
      <c r="S5"/>
      <c r="T5"/>
      <c r="U5"/>
    </row>
    <row r="6" spans="1:21">
      <c r="A6" s="25" t="s">
        <v>2</v>
      </c>
      <c r="B6" s="17" t="s">
        <v>960</v>
      </c>
      <c r="C6" s="17"/>
      <c r="D6" s="17"/>
      <c r="E6" s="17"/>
      <c r="F6" s="17"/>
      <c r="G6" s="17"/>
      <c r="H6" s="17"/>
      <c r="I6" s="18"/>
      <c r="J6" s="31"/>
      <c r="K6" s="48"/>
      <c r="L6" t="s">
        <v>547</v>
      </c>
      <c r="M6"/>
      <c r="N6"/>
      <c r="O6"/>
      <c r="P6"/>
      <c r="Q6"/>
      <c r="R6"/>
      <c r="S6"/>
    </row>
    <row r="7" spans="1:21" ht="15.75" thickBot="1">
      <c r="A7" s="9">
        <f>INDEX('Point Grid'!$C$8:$I$54,MATCH($A$1,'Point Grid'!$A$8:$A$54,0),MATCH(A6,'Point Grid'!$C$7:$I$7,0))</f>
        <v>0.25</v>
      </c>
      <c r="B7" s="17"/>
      <c r="C7" s="17"/>
      <c r="D7" s="17"/>
      <c r="E7" s="17"/>
      <c r="F7" s="17"/>
      <c r="G7" s="17"/>
      <c r="H7" s="17"/>
      <c r="I7" s="18"/>
      <c r="J7" s="31"/>
      <c r="K7"/>
      <c r="L7" s="1"/>
      <c r="M7"/>
      <c r="N7"/>
      <c r="O7"/>
      <c r="P7"/>
      <c r="Q7"/>
      <c r="R7"/>
      <c r="S7"/>
      <c r="T7"/>
      <c r="U7"/>
    </row>
    <row r="8" spans="1:21" ht="15.75" thickBot="1">
      <c r="A8" s="5"/>
      <c r="B8" s="17"/>
      <c r="C8" s="28"/>
      <c r="D8" s="28"/>
      <c r="E8" s="28"/>
      <c r="F8" s="28"/>
      <c r="G8" s="28"/>
      <c r="H8" s="28"/>
      <c r="I8" s="18"/>
      <c r="J8" s="31"/>
      <c r="K8"/>
      <c r="L8" s="48" t="s">
        <v>548</v>
      </c>
      <c r="M8" s="48" t="s">
        <v>34</v>
      </c>
      <c r="N8" s="48" t="s">
        <v>549</v>
      </c>
      <c r="O8" s="48" t="s">
        <v>227</v>
      </c>
      <c r="P8" t="s">
        <v>550</v>
      </c>
      <c r="Q8"/>
      <c r="R8"/>
      <c r="S8"/>
      <c r="T8"/>
      <c r="U8"/>
    </row>
    <row r="9" spans="1:21">
      <c r="A9" s="25"/>
      <c r="B9" s="17"/>
      <c r="C9" s="17"/>
      <c r="D9" s="17"/>
      <c r="E9" s="17"/>
      <c r="F9" s="17"/>
      <c r="G9" s="17"/>
      <c r="H9" s="17"/>
      <c r="I9" s="18"/>
      <c r="J9" s="31"/>
      <c r="K9"/>
      <c r="L9"/>
      <c r="M9" s="48" t="s">
        <v>34</v>
      </c>
      <c r="N9" s="108">
        <f>400000</f>
        <v>400000</v>
      </c>
      <c r="O9" s="48" t="s">
        <v>227</v>
      </c>
      <c r="P9" s="74">
        <v>0.3</v>
      </c>
      <c r="Q9"/>
      <c r="R9"/>
      <c r="S9"/>
      <c r="T9"/>
      <c r="U9"/>
    </row>
    <row r="10" spans="1:21">
      <c r="A10" s="25" t="s">
        <v>3</v>
      </c>
      <c r="B10" s="17" t="s">
        <v>954</v>
      </c>
      <c r="C10" s="17"/>
      <c r="D10" s="17"/>
      <c r="E10" s="17"/>
      <c r="F10" s="17"/>
      <c r="G10" s="17"/>
      <c r="H10" s="17"/>
      <c r="I10" s="18"/>
      <c r="J10" s="31"/>
      <c r="K10" s="48"/>
      <c r="L10"/>
      <c r="M10" s="48" t="s">
        <v>34</v>
      </c>
      <c r="N10" s="346">
        <f>N9*P9</f>
        <v>120000</v>
      </c>
      <c r="O10"/>
      <c r="P10"/>
      <c r="Q10"/>
      <c r="R10"/>
      <c r="S10"/>
      <c r="T10"/>
      <c r="U10"/>
    </row>
    <row r="11" spans="1:21" ht="15.75" thickBot="1">
      <c r="A11" s="9">
        <f>INDEX('Point Grid'!$C$8:$I$54,MATCH($A$1,'Point Grid'!$A$8:$A$54,0),MATCH(A10,'Point Grid'!$C$7:$I$7,0))</f>
        <v>0.25</v>
      </c>
      <c r="B11" s="17" t="s">
        <v>955</v>
      </c>
      <c r="C11" s="17"/>
      <c r="D11" s="17"/>
      <c r="E11" s="17"/>
      <c r="F11" s="17"/>
      <c r="G11" s="17"/>
      <c r="H11" s="17"/>
      <c r="I11" s="18"/>
      <c r="J11" s="31"/>
      <c r="K11"/>
      <c r="L11"/>
      <c r="M11"/>
      <c r="N11" s="225" t="s">
        <v>570</v>
      </c>
      <c r="O11"/>
      <c r="P11"/>
      <c r="Q11"/>
      <c r="R11"/>
      <c r="S11"/>
      <c r="T11"/>
      <c r="U11"/>
    </row>
    <row r="12" spans="1:21" ht="15.75" thickBot="1">
      <c r="A12" s="5"/>
      <c r="B12" s="17"/>
      <c r="C12" s="28"/>
      <c r="D12" s="28"/>
      <c r="E12" s="28"/>
      <c r="F12" s="28"/>
      <c r="G12" s="28"/>
      <c r="H12" s="28"/>
      <c r="I12" s="18"/>
      <c r="J12" s="31"/>
      <c r="K12"/>
      <c r="L12"/>
      <c r="M12"/>
      <c r="N12"/>
      <c r="O12"/>
      <c r="P12"/>
      <c r="Q12"/>
      <c r="R12"/>
      <c r="S12"/>
      <c r="T12"/>
      <c r="U12"/>
    </row>
    <row r="13" spans="1:21">
      <c r="A13" s="25"/>
      <c r="B13" s="17"/>
      <c r="C13" s="28"/>
      <c r="D13" s="28"/>
      <c r="E13" s="28"/>
      <c r="F13" s="28"/>
      <c r="G13" s="28"/>
      <c r="H13" s="28"/>
      <c r="I13" s="18"/>
      <c r="J13" s="31"/>
      <c r="K13" s="48"/>
      <c r="L13" s="52" t="s">
        <v>551</v>
      </c>
      <c r="M13"/>
      <c r="N13" t="s">
        <v>552</v>
      </c>
      <c r="O13"/>
      <c r="P13"/>
      <c r="Q13"/>
      <c r="R13"/>
      <c r="S13"/>
      <c r="T13"/>
      <c r="U13"/>
    </row>
    <row r="14" spans="1:21">
      <c r="A14" s="25" t="s">
        <v>4</v>
      </c>
      <c r="B14" s="17" t="s">
        <v>956</v>
      </c>
      <c r="C14" s="17"/>
      <c r="D14" s="17"/>
      <c r="E14" s="17"/>
      <c r="F14" s="17"/>
      <c r="G14" s="17"/>
      <c r="H14" s="17"/>
      <c r="I14" s="18"/>
      <c r="J14" s="31"/>
      <c r="K14"/>
      <c r="L14"/>
      <c r="M14"/>
      <c r="N14" t="s">
        <v>553</v>
      </c>
      <c r="O14"/>
      <c r="P14"/>
      <c r="Q14"/>
      <c r="R14"/>
      <c r="S14"/>
      <c r="T14"/>
      <c r="U14"/>
    </row>
    <row r="15" spans="1:21" ht="15.75" thickBot="1">
      <c r="A15" s="9">
        <f>INDEX('Point Grid'!$C$8:$I$54,MATCH($A$1,'Point Grid'!$A$8:$A$54,0),MATCH(A14,'Point Grid'!$C$7:$I$7,0))</f>
        <v>0.75</v>
      </c>
      <c r="B15" s="17"/>
      <c r="C15" s="17"/>
      <c r="D15" s="17"/>
      <c r="E15" s="17"/>
      <c r="F15" s="17"/>
      <c r="G15" s="17"/>
      <c r="H15" s="17"/>
      <c r="I15" s="18"/>
      <c r="J15" s="31"/>
      <c r="K15"/>
      <c r="L15"/>
      <c r="M15"/>
      <c r="N15" s="642" t="s">
        <v>554</v>
      </c>
      <c r="O15"/>
      <c r="P15"/>
      <c r="Q15"/>
      <c r="R15"/>
      <c r="S15"/>
      <c r="T15"/>
      <c r="U15"/>
    </row>
    <row r="16" spans="1:21" ht="15.75" thickBot="1">
      <c r="A16" s="5"/>
      <c r="B16" s="17"/>
      <c r="C16" s="643" t="s">
        <v>555</v>
      </c>
      <c r="D16" s="868">
        <v>2250</v>
      </c>
      <c r="E16" s="17"/>
      <c r="F16" s="17"/>
      <c r="G16" s="17"/>
      <c r="H16" s="17"/>
      <c r="I16" s="18"/>
      <c r="J16" s="31"/>
      <c r="K16"/>
      <c r="L16"/>
      <c r="M16"/>
      <c r="N16"/>
      <c r="O16"/>
      <c r="P16"/>
      <c r="Q16"/>
      <c r="R16"/>
      <c r="S16"/>
      <c r="T16"/>
      <c r="U16"/>
    </row>
    <row r="17" spans="1:21">
      <c r="A17" s="22"/>
      <c r="B17" s="17"/>
      <c r="C17" s="644" t="s">
        <v>556</v>
      </c>
      <c r="D17" s="869">
        <v>2750</v>
      </c>
      <c r="E17" s="17"/>
      <c r="F17" s="17"/>
      <c r="G17" s="17"/>
      <c r="H17" s="17"/>
      <c r="I17" s="18"/>
      <c r="J17" s="31"/>
      <c r="K17" s="48" t="s">
        <v>4</v>
      </c>
      <c r="L17" t="s">
        <v>557</v>
      </c>
      <c r="M17"/>
      <c r="N17"/>
      <c r="O17" s="48" t="s">
        <v>34</v>
      </c>
      <c r="P17" s="48" t="s">
        <v>555</v>
      </c>
      <c r="Q17"/>
      <c r="R17" s="48" t="s">
        <v>119</v>
      </c>
      <c r="S17" t="s">
        <v>566</v>
      </c>
      <c r="T17"/>
      <c r="U17"/>
    </row>
    <row r="18" spans="1:21" ht="15" customHeight="1">
      <c r="A18" s="22"/>
      <c r="B18" s="17"/>
      <c r="C18" s="644" t="s">
        <v>556</v>
      </c>
      <c r="D18" s="869">
        <v>1750</v>
      </c>
      <c r="E18" s="17"/>
      <c r="F18" s="17"/>
      <c r="G18" s="17"/>
      <c r="H18" s="17"/>
      <c r="I18" s="18"/>
      <c r="J18" s="31"/>
      <c r="K18"/>
      <c r="L18" s="48"/>
      <c r="M18" s="48"/>
      <c r="N18"/>
      <c r="O18"/>
      <c r="P18" s="277">
        <f>D16</f>
        <v>2250</v>
      </c>
      <c r="Q18" s="277"/>
      <c r="R18" s="277" t="s">
        <v>119</v>
      </c>
      <c r="S18" s="277">
        <f>2000</f>
        <v>2000</v>
      </c>
      <c r="T18"/>
      <c r="U18"/>
    </row>
    <row r="19" spans="1:21" ht="15" customHeight="1">
      <c r="A19" s="22"/>
      <c r="B19" s="17"/>
      <c r="C19" s="17"/>
      <c r="D19" s="17"/>
      <c r="E19" s="17"/>
      <c r="F19" s="17"/>
      <c r="G19" s="17"/>
      <c r="H19" s="17"/>
      <c r="I19" s="18"/>
      <c r="J19" s="31"/>
      <c r="P19" s="277">
        <f>P18-S18</f>
        <v>250</v>
      </c>
      <c r="Q19" s="277"/>
      <c r="R19" s="277"/>
      <c r="S19" s="277"/>
    </row>
    <row r="20" spans="1:21" ht="15" customHeight="1">
      <c r="A20" s="22"/>
      <c r="B20" s="17" t="s">
        <v>957</v>
      </c>
      <c r="C20" s="17"/>
      <c r="D20" s="17"/>
      <c r="E20" s="17"/>
      <c r="F20" s="17"/>
      <c r="G20" s="17"/>
      <c r="H20" s="17"/>
      <c r="I20" s="18"/>
      <c r="J20" s="31"/>
    </row>
    <row r="21" spans="1:21" ht="15" customHeight="1">
      <c r="A21" s="22"/>
      <c r="B21" s="17" t="s">
        <v>560</v>
      </c>
      <c r="C21" s="17"/>
      <c r="D21" s="17"/>
      <c r="E21" s="17"/>
      <c r="F21" s="17"/>
      <c r="G21" s="17"/>
      <c r="H21" s="17"/>
      <c r="I21" s="18"/>
      <c r="J21" s="31"/>
      <c r="L21" t="s">
        <v>559</v>
      </c>
      <c r="M21"/>
      <c r="N21"/>
      <c r="O21" s="48" t="s">
        <v>34</v>
      </c>
      <c r="P21" s="48" t="s">
        <v>556</v>
      </c>
      <c r="Q21"/>
      <c r="R21" s="48" t="s">
        <v>119</v>
      </c>
      <c r="S21" t="s">
        <v>566</v>
      </c>
      <c r="T21"/>
    </row>
    <row r="22" spans="1:21" ht="15" customHeight="1">
      <c r="A22" s="22"/>
      <c r="B22" s="17"/>
      <c r="C22" s="17"/>
      <c r="D22" s="17"/>
      <c r="E22" s="17"/>
      <c r="F22" s="17"/>
      <c r="G22" s="17"/>
      <c r="H22" s="17"/>
      <c r="I22" s="18"/>
      <c r="J22" s="31"/>
      <c r="K22"/>
      <c r="L22"/>
      <c r="M22"/>
      <c r="N22"/>
      <c r="O22" s="48" t="s">
        <v>34</v>
      </c>
      <c r="P22" s="277">
        <f>D17</f>
        <v>2750</v>
      </c>
      <c r="Q22" s="277"/>
      <c r="R22" s="277" t="s">
        <v>119</v>
      </c>
      <c r="S22" s="277">
        <f>2000</f>
        <v>2000</v>
      </c>
      <c r="T22"/>
      <c r="U22"/>
    </row>
    <row r="23" spans="1:21" ht="15" customHeight="1">
      <c r="A23" s="25" t="s">
        <v>5</v>
      </c>
      <c r="B23" s="17" t="s">
        <v>562</v>
      </c>
      <c r="C23" s="17"/>
      <c r="D23" s="17"/>
      <c r="E23" s="17"/>
      <c r="F23" s="17"/>
      <c r="G23" s="17"/>
      <c r="H23" s="17"/>
      <c r="I23" s="18"/>
      <c r="J23" s="31"/>
      <c r="K23"/>
      <c r="L23"/>
      <c r="M23"/>
      <c r="N23"/>
      <c r="O23" s="48" t="s">
        <v>34</v>
      </c>
      <c r="P23" s="277">
        <f>P22-S22</f>
        <v>750</v>
      </c>
      <c r="Q23" s="277"/>
      <c r="R23" s="277"/>
      <c r="S23" s="277"/>
      <c r="T23"/>
      <c r="U23"/>
    </row>
    <row r="24" spans="1:21" ht="15" customHeight="1" thickBot="1">
      <c r="A24" s="9">
        <f>INDEX('Point Grid'!$C$8:$I$54,MATCH($A$1,'Point Grid'!$A$8:$A$54,0),MATCH(A23,'Point Grid'!$C$7:$I$7,0))</f>
        <v>0.5</v>
      </c>
      <c r="B24" s="17" t="s">
        <v>561</v>
      </c>
      <c r="C24" s="17"/>
      <c r="D24" s="17"/>
      <c r="E24" s="17"/>
      <c r="F24" s="17"/>
      <c r="G24" s="17"/>
      <c r="H24" s="17"/>
      <c r="I24" s="18"/>
      <c r="J24" s="31"/>
      <c r="K24"/>
      <c r="U24"/>
    </row>
    <row r="25" spans="1:21" ht="15" customHeight="1" thickBot="1">
      <c r="A25" s="5"/>
      <c r="B25" s="17"/>
      <c r="C25" s="17"/>
      <c r="D25" s="17"/>
      <c r="E25" s="17"/>
      <c r="F25" s="17"/>
      <c r="G25" s="17"/>
      <c r="H25" s="17"/>
      <c r="I25" s="18"/>
      <c r="J25" s="31"/>
      <c r="K25"/>
      <c r="L25" t="s">
        <v>958</v>
      </c>
      <c r="O25" s="48" t="s">
        <v>34</v>
      </c>
      <c r="P25" s="295">
        <f>0</f>
        <v>0</v>
      </c>
      <c r="R25" s="355" t="s">
        <v>558</v>
      </c>
    </row>
    <row r="26" spans="1:21" ht="15" customHeight="1">
      <c r="A26" s="22"/>
      <c r="B26" s="17"/>
      <c r="C26" s="17"/>
      <c r="D26" s="17"/>
      <c r="E26" s="17"/>
      <c r="F26" s="17"/>
      <c r="G26" s="17"/>
      <c r="H26" s="17"/>
      <c r="I26" s="18"/>
      <c r="J26" s="31"/>
      <c r="K26"/>
      <c r="L26"/>
      <c r="M26"/>
      <c r="N26"/>
      <c r="O26"/>
      <c r="P26"/>
      <c r="Q26"/>
      <c r="R26" s="355"/>
      <c r="S26"/>
      <c r="T26"/>
      <c r="U26"/>
    </row>
    <row r="27" spans="1:21" ht="15" customHeight="1" thickBot="1">
      <c r="A27" s="24"/>
      <c r="B27" s="32"/>
      <c r="C27" s="32"/>
      <c r="D27" s="32"/>
      <c r="E27" s="32"/>
      <c r="F27" s="32"/>
      <c r="G27" s="32"/>
      <c r="H27" s="32"/>
      <c r="I27" s="33"/>
      <c r="J27" s="31"/>
      <c r="K27"/>
      <c r="L27" t="s">
        <v>564</v>
      </c>
      <c r="M27"/>
      <c r="N27"/>
      <c r="O27" s="48" t="s">
        <v>34</v>
      </c>
      <c r="P27" s="277">
        <f>P19</f>
        <v>250</v>
      </c>
      <c r="Q27" s="48" t="s">
        <v>35</v>
      </c>
      <c r="R27" s="48">
        <f>P23</f>
        <v>750</v>
      </c>
      <c r="S27" s="48" t="s">
        <v>35</v>
      </c>
      <c r="T27" s="48">
        <f>P25</f>
        <v>0</v>
      </c>
      <c r="U27"/>
    </row>
    <row r="28" spans="1:21" ht="15" customHeight="1">
      <c r="J28" s="31"/>
      <c r="K28"/>
      <c r="L28"/>
      <c r="M28"/>
      <c r="N28"/>
      <c r="O28" s="48" t="s">
        <v>34</v>
      </c>
      <c r="P28" s="239">
        <f>P27+R27+T27</f>
        <v>1000</v>
      </c>
      <c r="Q28"/>
      <c r="R28"/>
      <c r="S28"/>
      <c r="T28"/>
      <c r="U28"/>
    </row>
    <row r="29" spans="1:21" ht="15" customHeight="1">
      <c r="J29" s="31"/>
      <c r="K29"/>
      <c r="L29"/>
      <c r="M29"/>
      <c r="N29"/>
      <c r="O29"/>
      <c r="P29" s="225" t="s">
        <v>568</v>
      </c>
      <c r="Q29"/>
      <c r="R29"/>
      <c r="S29"/>
      <c r="T29"/>
      <c r="U29"/>
    </row>
    <row r="30" spans="1:21" ht="15" customHeight="1">
      <c r="J30" s="31"/>
      <c r="K30" s="48" t="s">
        <v>5</v>
      </c>
      <c r="L30"/>
      <c r="M30"/>
      <c r="N30"/>
      <c r="O30"/>
      <c r="P30"/>
      <c r="Q30"/>
      <c r="R30"/>
      <c r="S30"/>
      <c r="T30"/>
      <c r="U30"/>
    </row>
    <row r="31" spans="1:21" ht="15" customHeight="1">
      <c r="J31" s="31"/>
      <c r="K31"/>
      <c r="L31" t="s">
        <v>563</v>
      </c>
      <c r="M31"/>
      <c r="N31" s="48" t="s">
        <v>34</v>
      </c>
      <c r="O31" s="48" t="s">
        <v>555</v>
      </c>
      <c r="P31" s="48" t="s">
        <v>35</v>
      </c>
      <c r="Q31" s="48" t="s">
        <v>556</v>
      </c>
      <c r="R31" s="48" t="s">
        <v>35</v>
      </c>
      <c r="S31" s="48" t="s">
        <v>959</v>
      </c>
      <c r="T31"/>
      <c r="U31"/>
    </row>
    <row r="32" spans="1:21" ht="15" customHeight="1">
      <c r="J32" s="31"/>
      <c r="K32"/>
      <c r="L32"/>
      <c r="M32"/>
      <c r="N32" s="48" t="s">
        <v>34</v>
      </c>
      <c r="O32" s="277">
        <f>D16</f>
        <v>2250</v>
      </c>
      <c r="P32" s="277" t="s">
        <v>35</v>
      </c>
      <c r="Q32" s="277">
        <f>D17</f>
        <v>2750</v>
      </c>
      <c r="R32" s="48" t="s">
        <v>35</v>
      </c>
      <c r="S32" s="277">
        <f>D18</f>
        <v>1750</v>
      </c>
      <c r="T32"/>
      <c r="U32"/>
    </row>
    <row r="33" spans="2:21" ht="15" customHeight="1">
      <c r="J33" s="31"/>
      <c r="K33" s="48"/>
      <c r="L33"/>
      <c r="M33"/>
      <c r="N33" s="48" t="s">
        <v>34</v>
      </c>
      <c r="O33" s="277">
        <f>O32+Q32+S32</f>
        <v>6750</v>
      </c>
      <c r="P33" s="277"/>
      <c r="Q33" s="277"/>
      <c r="R33"/>
      <c r="S33"/>
      <c r="T33"/>
      <c r="U33"/>
    </row>
    <row r="34" spans="2:21" ht="15" customHeight="1">
      <c r="J34" s="31"/>
      <c r="K34"/>
      <c r="L34" s="1"/>
      <c r="M34"/>
      <c r="N34"/>
      <c r="O34"/>
      <c r="P34"/>
      <c r="Q34"/>
      <c r="R34"/>
      <c r="S34"/>
      <c r="T34"/>
      <c r="U34"/>
    </row>
    <row r="35" spans="2:21" ht="15" customHeight="1">
      <c r="J35" s="31"/>
      <c r="K35" s="48"/>
      <c r="L35" t="s">
        <v>565</v>
      </c>
      <c r="M35"/>
      <c r="N35" s="48" t="s">
        <v>34</v>
      </c>
      <c r="O35" s="49" t="s">
        <v>563</v>
      </c>
      <c r="P35"/>
      <c r="Q35" s="48" t="s">
        <v>119</v>
      </c>
      <c r="R35" t="s">
        <v>567</v>
      </c>
      <c r="S35"/>
      <c r="T35"/>
      <c r="U35"/>
    </row>
    <row r="36" spans="2:21" ht="15" customHeight="1">
      <c r="J36" s="31"/>
      <c r="K36"/>
      <c r="L36"/>
      <c r="M36"/>
      <c r="N36" s="48" t="s">
        <v>34</v>
      </c>
      <c r="O36" s="277">
        <f>O33</f>
        <v>6750</v>
      </c>
      <c r="P36" s="48"/>
      <c r="Q36" s="48" t="s">
        <v>119</v>
      </c>
      <c r="R36" s="48">
        <f>2000</f>
        <v>2000</v>
      </c>
      <c r="S36"/>
      <c r="T36"/>
      <c r="U36"/>
    </row>
    <row r="37" spans="2:21" ht="15" customHeight="1">
      <c r="J37" s="31"/>
      <c r="K37"/>
      <c r="L37"/>
      <c r="M37"/>
      <c r="N37" s="48" t="s">
        <v>34</v>
      </c>
      <c r="O37" s="239">
        <f>O36-R36</f>
        <v>4750</v>
      </c>
      <c r="P37" s="48"/>
      <c r="Q37" s="48"/>
      <c r="R37" s="48"/>
      <c r="S37"/>
      <c r="T37"/>
      <c r="U37"/>
    </row>
    <row r="38" spans="2:21" ht="15" customHeight="1">
      <c r="J38" s="31"/>
      <c r="K38"/>
      <c r="L38"/>
      <c r="M38"/>
      <c r="N38"/>
      <c r="O38" s="225" t="s">
        <v>569</v>
      </c>
      <c r="P38"/>
      <c r="Q38"/>
      <c r="R38"/>
      <c r="S38"/>
      <c r="T38"/>
      <c r="U38"/>
    </row>
    <row r="39" spans="2:21" ht="15" customHeight="1">
      <c r="J39" s="31"/>
    </row>
    <row r="40" spans="2:21" ht="15" customHeight="1">
      <c r="J40" s="31"/>
    </row>
    <row r="41" spans="2:21" ht="15" customHeight="1">
      <c r="J41" s="3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140"/>
  <sheetViews>
    <sheetView workbookViewId="0"/>
  </sheetViews>
  <sheetFormatPr defaultColWidth="9.140625" defaultRowHeight="15"/>
  <cols>
    <col min="1" max="1" width="9.140625" style="21"/>
    <col min="2" max="2" width="16" style="21" customWidth="1"/>
    <col min="3" max="3" width="11.140625" style="21" customWidth="1"/>
    <col min="4" max="7" width="20.7109375" style="21" customWidth="1"/>
    <col min="8" max="9" width="11.140625" style="21" customWidth="1"/>
    <col min="10" max="16384" width="9.140625" style="21"/>
  </cols>
  <sheetData>
    <row r="1" spans="1:21">
      <c r="A1" s="7">
        <v>28</v>
      </c>
      <c r="B1" s="27" t="s">
        <v>12</v>
      </c>
      <c r="C1" s="20"/>
      <c r="D1" s="20"/>
      <c r="E1" s="20"/>
      <c r="F1" s="20"/>
      <c r="G1" s="20"/>
      <c r="H1" s="886" t="s">
        <v>24</v>
      </c>
      <c r="I1" s="887"/>
      <c r="K1" s="1" t="s">
        <v>33</v>
      </c>
      <c r="L1" s="52" t="str">
        <f>VLOOKUP(A1,'Point Grid'!$L$8:$T$54,9,FALSE)</f>
        <v>Reserving - Chap 15: Evaluation of Methods</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931</v>
      </c>
      <c r="M3"/>
      <c r="N3"/>
      <c r="O3"/>
      <c r="P3"/>
      <c r="Q3"/>
      <c r="R3"/>
      <c r="S3"/>
      <c r="T3"/>
      <c r="U3"/>
    </row>
    <row r="4" spans="1:21">
      <c r="A4" s="9">
        <f>INDEX('Point Grid'!B:B,MATCH(A1,'Point Grid'!A:A,0))</f>
        <v>3</v>
      </c>
      <c r="B4" s="17"/>
      <c r="C4" s="17"/>
      <c r="D4" s="17"/>
      <c r="E4" s="17"/>
      <c r="F4" s="17"/>
      <c r="G4" s="17"/>
      <c r="H4" s="17"/>
      <c r="I4" s="18"/>
      <c r="J4" s="31"/>
      <c r="K4" s="48"/>
      <c r="L4" t="s">
        <v>576</v>
      </c>
      <c r="M4"/>
      <c r="N4"/>
      <c r="O4"/>
      <c r="P4"/>
      <c r="Q4"/>
      <c r="R4"/>
      <c r="S4"/>
      <c r="T4"/>
      <c r="U4"/>
    </row>
    <row r="5" spans="1:21">
      <c r="A5" s="16"/>
      <c r="B5" s="17"/>
      <c r="C5" s="17"/>
      <c r="D5" s="17"/>
      <c r="E5" s="17"/>
      <c r="F5" s="17"/>
      <c r="G5" s="17"/>
      <c r="H5" s="17"/>
      <c r="I5" s="18"/>
      <c r="J5" s="31"/>
      <c r="K5" s="48"/>
      <c r="L5" t="s">
        <v>932</v>
      </c>
      <c r="M5"/>
      <c r="N5"/>
      <c r="O5"/>
      <c r="P5"/>
      <c r="Q5"/>
      <c r="R5"/>
      <c r="S5"/>
      <c r="T5"/>
      <c r="U5"/>
    </row>
    <row r="6" spans="1:21">
      <c r="A6" s="25" t="s">
        <v>2</v>
      </c>
      <c r="B6" s="17" t="s">
        <v>574</v>
      </c>
      <c r="C6" s="17"/>
      <c r="D6" s="17"/>
      <c r="E6" s="17"/>
      <c r="F6" s="17"/>
      <c r="G6" s="17"/>
      <c r="H6" s="17"/>
      <c r="I6" s="18"/>
      <c r="J6" s="31"/>
      <c r="K6" s="48"/>
      <c r="L6" t="s">
        <v>933</v>
      </c>
      <c r="M6"/>
      <c r="N6"/>
      <c r="O6"/>
      <c r="P6"/>
      <c r="Q6"/>
      <c r="R6"/>
      <c r="S6"/>
      <c r="T6"/>
      <c r="U6"/>
    </row>
    <row r="7" spans="1:21" ht="15.75" thickBot="1">
      <c r="A7" s="9">
        <f>INDEX('Point Grid'!$C$8:$I$54,MATCH($A$1,'Point Grid'!$A$8:$A$54,0),MATCH(A6,'Point Grid'!$C$7:$I$7,0))</f>
        <v>0.5</v>
      </c>
      <c r="B7" s="17" t="s">
        <v>575</v>
      </c>
      <c r="C7" s="17"/>
      <c r="D7" s="17"/>
      <c r="E7" s="17"/>
      <c r="F7" s="17"/>
      <c r="G7" s="17"/>
      <c r="H7" s="17"/>
      <c r="I7" s="18"/>
      <c r="J7" s="31"/>
      <c r="K7" s="48"/>
      <c r="L7" t="s">
        <v>934</v>
      </c>
      <c r="M7"/>
      <c r="N7"/>
      <c r="O7"/>
      <c r="P7"/>
      <c r="Q7"/>
      <c r="R7"/>
      <c r="S7"/>
      <c r="T7"/>
      <c r="U7"/>
    </row>
    <row r="8" spans="1:21" ht="15.75" thickBot="1">
      <c r="A8" s="5"/>
      <c r="B8" s="17"/>
      <c r="C8" s="28"/>
      <c r="D8" s="28"/>
      <c r="E8" s="28"/>
      <c r="F8" s="28"/>
      <c r="G8" s="28"/>
      <c r="H8" s="28"/>
      <c r="I8" s="18"/>
      <c r="J8" s="31"/>
      <c r="K8"/>
      <c r="L8" t="s">
        <v>935</v>
      </c>
      <c r="M8"/>
      <c r="N8"/>
      <c r="O8"/>
      <c r="P8"/>
      <c r="Q8"/>
      <c r="R8"/>
      <c r="S8"/>
      <c r="T8"/>
      <c r="U8"/>
    </row>
    <row r="9" spans="1:21">
      <c r="A9" s="25"/>
      <c r="B9" s="17"/>
      <c r="C9" s="645" t="s">
        <v>89</v>
      </c>
      <c r="D9" s="645" t="s">
        <v>571</v>
      </c>
      <c r="E9" s="645" t="s">
        <v>93</v>
      </c>
      <c r="F9" s="645" t="s">
        <v>571</v>
      </c>
      <c r="G9" s="645" t="s">
        <v>93</v>
      </c>
      <c r="H9" s="17"/>
      <c r="I9" s="18"/>
      <c r="J9" s="31"/>
      <c r="K9" s="48"/>
      <c r="L9" t="s">
        <v>936</v>
      </c>
      <c r="M9"/>
      <c r="N9"/>
      <c r="O9"/>
      <c r="P9"/>
      <c r="Q9"/>
      <c r="R9"/>
      <c r="S9"/>
    </row>
    <row r="10" spans="1:21" ht="15.75" thickBot="1">
      <c r="A10" s="25"/>
      <c r="B10" s="17"/>
      <c r="C10" s="646"/>
      <c r="D10" s="646" t="s">
        <v>572</v>
      </c>
      <c r="E10" s="646" t="s">
        <v>572</v>
      </c>
      <c r="F10" s="646" t="s">
        <v>573</v>
      </c>
      <c r="G10" s="646" t="s">
        <v>573</v>
      </c>
      <c r="H10" s="17"/>
      <c r="I10" s="18"/>
      <c r="J10" s="31"/>
      <c r="K10" s="48"/>
      <c r="L10" t="s">
        <v>937</v>
      </c>
      <c r="M10"/>
      <c r="N10"/>
      <c r="O10"/>
      <c r="P10"/>
      <c r="Q10"/>
      <c r="R10"/>
      <c r="S10"/>
    </row>
    <row r="11" spans="1:21" ht="15.75" thickBot="1">
      <c r="A11" s="25"/>
      <c r="B11" s="17"/>
      <c r="C11" s="647">
        <v>2020</v>
      </c>
      <c r="D11" s="648">
        <v>1000</v>
      </c>
      <c r="E11" s="648">
        <v>1000</v>
      </c>
      <c r="F11" s="648">
        <v>1000</v>
      </c>
      <c r="G11" s="648">
        <v>1000</v>
      </c>
      <c r="H11" s="17"/>
      <c r="I11" s="18"/>
      <c r="J11" s="31"/>
      <c r="K11" s="48"/>
      <c r="L11" t="s">
        <v>578</v>
      </c>
      <c r="M11"/>
      <c r="N11"/>
      <c r="O11"/>
      <c r="P11"/>
      <c r="Q11"/>
      <c r="R11"/>
      <c r="S11"/>
    </row>
    <row r="12" spans="1:21" ht="15.75" thickBot="1">
      <c r="A12" s="25"/>
      <c r="B12" s="17"/>
      <c r="C12" s="647">
        <v>2021</v>
      </c>
      <c r="D12" s="648">
        <v>1000</v>
      </c>
      <c r="E12" s="648">
        <v>1000</v>
      </c>
      <c r="F12" s="648">
        <v>1000</v>
      </c>
      <c r="G12" s="648">
        <v>1000</v>
      </c>
      <c r="H12" s="17"/>
      <c r="I12" s="18"/>
      <c r="J12" s="31"/>
      <c r="K12" s="48"/>
      <c r="L12"/>
      <c r="M12"/>
      <c r="N12"/>
      <c r="O12"/>
      <c r="P12"/>
      <c r="Q12"/>
      <c r="R12"/>
      <c r="S12"/>
    </row>
    <row r="13" spans="1:21" ht="15.75" thickBot="1">
      <c r="A13" s="25"/>
      <c r="B13" s="17"/>
      <c r="C13" s="647">
        <v>2022</v>
      </c>
      <c r="D13" s="649">
        <v>975</v>
      </c>
      <c r="E13" s="648">
        <v>1000</v>
      </c>
      <c r="F13" s="648">
        <v>1000</v>
      </c>
      <c r="G13" s="648">
        <v>1000</v>
      </c>
      <c r="H13" s="17"/>
      <c r="I13" s="18"/>
      <c r="J13" s="31"/>
      <c r="K13" s="48" t="s">
        <v>3</v>
      </c>
      <c r="L13" t="s">
        <v>939</v>
      </c>
      <c r="M13"/>
      <c r="N13"/>
      <c r="O13"/>
      <c r="P13"/>
      <c r="Q13"/>
      <c r="R13"/>
      <c r="S13"/>
    </row>
    <row r="14" spans="1:21" ht="15.75" thickBot="1">
      <c r="A14" s="25"/>
      <c r="B14" s="17"/>
      <c r="C14" s="647">
        <v>2023</v>
      </c>
      <c r="D14" s="649">
        <v>925</v>
      </c>
      <c r="E14" s="648">
        <v>1000</v>
      </c>
      <c r="F14" s="648">
        <v>1000</v>
      </c>
      <c r="G14" s="648">
        <v>1000</v>
      </c>
      <c r="H14" s="17"/>
      <c r="I14" s="18"/>
      <c r="J14" s="31"/>
      <c r="K14" s="48"/>
      <c r="L14" t="s">
        <v>940</v>
      </c>
      <c r="M14"/>
      <c r="N14"/>
      <c r="O14"/>
      <c r="P14"/>
      <c r="Q14"/>
      <c r="R14"/>
      <c r="S14"/>
    </row>
    <row r="15" spans="1:21" ht="15.75" thickBot="1">
      <c r="A15" s="25"/>
      <c r="B15" s="17"/>
      <c r="C15" s="647">
        <v>2024</v>
      </c>
      <c r="D15" s="649">
        <v>850</v>
      </c>
      <c r="E15" s="648">
        <v>1000</v>
      </c>
      <c r="F15" s="648">
        <v>1000</v>
      </c>
      <c r="G15" s="648">
        <v>1000</v>
      </c>
      <c r="H15" s="17"/>
      <c r="I15" s="18"/>
      <c r="J15" s="31"/>
      <c r="K15" s="48"/>
      <c r="L15" t="s">
        <v>941</v>
      </c>
      <c r="M15"/>
      <c r="N15"/>
      <c r="O15"/>
      <c r="P15"/>
      <c r="Q15"/>
      <c r="R15"/>
      <c r="S15"/>
    </row>
    <row r="16" spans="1:21" ht="15.75" thickBot="1">
      <c r="A16" s="25"/>
      <c r="B16" s="17"/>
      <c r="C16" s="647">
        <v>2025</v>
      </c>
      <c r="D16" s="649">
        <v>750</v>
      </c>
      <c r="E16" s="648">
        <v>1000</v>
      </c>
      <c r="F16" s="648">
        <v>1000</v>
      </c>
      <c r="G16" s="648">
        <v>1000</v>
      </c>
      <c r="H16" s="17"/>
      <c r="I16" s="18"/>
      <c r="J16" s="31"/>
      <c r="K16" s="48"/>
      <c r="L16" t="s">
        <v>579</v>
      </c>
      <c r="M16"/>
      <c r="N16"/>
      <c r="O16"/>
      <c r="P16"/>
      <c r="Q16"/>
      <c r="R16"/>
      <c r="S16"/>
    </row>
    <row r="17" spans="1:22">
      <c r="A17" s="25"/>
      <c r="B17" s="17"/>
      <c r="C17" s="17"/>
      <c r="D17" s="17"/>
      <c r="E17" s="17"/>
      <c r="F17" s="17"/>
      <c r="G17" s="17"/>
      <c r="H17" s="17"/>
      <c r="I17" s="18"/>
      <c r="J17" s="31"/>
      <c r="K17" s="48"/>
      <c r="L17" t="s">
        <v>942</v>
      </c>
      <c r="M17"/>
      <c r="N17"/>
      <c r="O17"/>
      <c r="P17"/>
      <c r="Q17"/>
      <c r="R17"/>
      <c r="S17"/>
    </row>
    <row r="18" spans="1:22">
      <c r="A18" s="25"/>
      <c r="B18" s="17" t="s">
        <v>929</v>
      </c>
      <c r="C18" s="17"/>
      <c r="D18" s="17"/>
      <c r="E18" s="17"/>
      <c r="F18" s="17"/>
      <c r="G18" s="17"/>
      <c r="H18" s="17"/>
      <c r="I18" s="18"/>
      <c r="J18" s="31"/>
      <c r="K18" s="48"/>
      <c r="L18" t="s">
        <v>943</v>
      </c>
      <c r="M18"/>
      <c r="N18"/>
      <c r="O18"/>
      <c r="P18"/>
      <c r="Q18"/>
      <c r="R18"/>
      <c r="S18"/>
    </row>
    <row r="19" spans="1:22">
      <c r="A19" s="25"/>
      <c r="B19" s="17" t="s">
        <v>930</v>
      </c>
      <c r="C19" s="17"/>
      <c r="D19" s="17"/>
      <c r="E19" s="17"/>
      <c r="F19" s="17"/>
      <c r="G19" s="17"/>
      <c r="H19" s="17"/>
      <c r="I19" s="18"/>
      <c r="J19" s="31"/>
      <c r="K19" s="48"/>
      <c r="L19" t="s">
        <v>944</v>
      </c>
      <c r="M19"/>
      <c r="N19"/>
      <c r="O19"/>
      <c r="P19"/>
      <c r="Q19"/>
      <c r="R19"/>
      <c r="S19"/>
    </row>
    <row r="20" spans="1:22">
      <c r="A20" s="25"/>
      <c r="B20" s="17"/>
      <c r="C20" s="17"/>
      <c r="D20" s="17"/>
      <c r="E20" s="17"/>
      <c r="F20" s="17"/>
      <c r="G20" s="17"/>
      <c r="H20" s="17"/>
      <c r="I20" s="18"/>
      <c r="J20" s="31"/>
      <c r="K20" s="48"/>
      <c r="L20"/>
      <c r="M20"/>
      <c r="N20"/>
      <c r="O20"/>
      <c r="P20"/>
      <c r="Q20"/>
      <c r="R20"/>
      <c r="S20"/>
    </row>
    <row r="21" spans="1:22">
      <c r="A21" s="25" t="s">
        <v>3</v>
      </c>
      <c r="B21" s="17" t="s">
        <v>938</v>
      </c>
      <c r="C21" s="17"/>
      <c r="D21" s="17"/>
      <c r="E21" s="17"/>
      <c r="F21" s="17"/>
      <c r="G21" s="17"/>
      <c r="H21" s="17"/>
      <c r="I21" s="18"/>
      <c r="J21" s="31"/>
      <c r="K21" s="48" t="s">
        <v>4</v>
      </c>
      <c r="L21" s="50" t="s">
        <v>60</v>
      </c>
      <c r="M21" t="s">
        <v>948</v>
      </c>
      <c r="N21"/>
      <c r="O21"/>
      <c r="P21"/>
      <c r="Q21"/>
      <c r="R21"/>
      <c r="S21"/>
      <c r="T21" s="50"/>
      <c r="U21"/>
    </row>
    <row r="22" spans="1:22" ht="15.75" thickBot="1">
      <c r="A22" s="9">
        <f>INDEX('Point Grid'!$C$8:$I$54,MATCH($A$1,'Point Grid'!$A$8:$A$54,0),MATCH(A21,'Point Grid'!$C$7:$I$7,0))</f>
        <v>0.5</v>
      </c>
      <c r="B22" s="17" t="s">
        <v>577</v>
      </c>
      <c r="C22" s="17"/>
      <c r="D22" s="17"/>
      <c r="E22" s="17"/>
      <c r="F22" s="17"/>
      <c r="G22" s="17"/>
      <c r="H22" s="17"/>
      <c r="I22" s="18"/>
      <c r="J22" s="31"/>
      <c r="K22"/>
      <c r="L22"/>
      <c r="M22" t="s">
        <v>949</v>
      </c>
      <c r="N22"/>
      <c r="O22"/>
      <c r="P22"/>
      <c r="Q22"/>
      <c r="R22"/>
      <c r="S22"/>
      <c r="T22"/>
      <c r="U22"/>
    </row>
    <row r="23" spans="1:22" ht="15.75" thickBot="1">
      <c r="A23" s="5"/>
      <c r="B23" s="17"/>
      <c r="C23" s="28"/>
      <c r="D23" s="28"/>
      <c r="E23" s="28"/>
      <c r="F23" s="28"/>
      <c r="G23" s="28"/>
      <c r="H23" s="28"/>
      <c r="I23" s="18"/>
      <c r="J23" s="31"/>
      <c r="K23"/>
      <c r="L23"/>
      <c r="M23" t="s">
        <v>950</v>
      </c>
      <c r="N23"/>
      <c r="O23"/>
      <c r="P23"/>
      <c r="Q23"/>
      <c r="R23"/>
      <c r="S23"/>
      <c r="T23"/>
      <c r="U23"/>
    </row>
    <row r="24" spans="1:22">
      <c r="A24" s="25"/>
      <c r="B24" s="17"/>
      <c r="C24" s="28"/>
      <c r="D24" s="28"/>
      <c r="E24" s="28"/>
      <c r="F24" s="28"/>
      <c r="G24" s="28"/>
      <c r="H24" s="28"/>
      <c r="I24" s="18"/>
      <c r="J24" s="31"/>
      <c r="K24" s="48"/>
      <c r="L24"/>
      <c r="M24" t="s">
        <v>587</v>
      </c>
      <c r="N24"/>
      <c r="O24"/>
      <c r="P24"/>
      <c r="Q24"/>
      <c r="R24"/>
      <c r="S24"/>
      <c r="T24"/>
      <c r="U24"/>
    </row>
    <row r="25" spans="1:22">
      <c r="A25" s="25" t="s">
        <v>4</v>
      </c>
      <c r="B25" s="17" t="s">
        <v>580</v>
      </c>
      <c r="C25" s="17"/>
      <c r="D25" s="17"/>
      <c r="E25" s="17"/>
      <c r="F25" s="17"/>
      <c r="G25" s="17"/>
      <c r="H25" s="17"/>
      <c r="I25" s="18"/>
      <c r="J25" s="31"/>
      <c r="K25"/>
      <c r="L25" s="48"/>
      <c r="M25" t="s">
        <v>951</v>
      </c>
      <c r="N25"/>
      <c r="O25"/>
      <c r="P25"/>
      <c r="Q25"/>
      <c r="R25"/>
      <c r="S25"/>
      <c r="T25" s="48"/>
      <c r="U25"/>
    </row>
    <row r="26" spans="1:22" ht="15.75" thickBot="1">
      <c r="A26" s="9">
        <f>INDEX('Point Grid'!$C$8:$I$54,MATCH($A$1,'Point Grid'!$A$8:$A$54,0),MATCH(A25,'Point Grid'!$C$7:$I$7,0))</f>
        <v>0.5</v>
      </c>
      <c r="B26" s="17"/>
      <c r="C26" s="17"/>
      <c r="D26" s="17"/>
      <c r="E26" s="17"/>
      <c r="F26" s="17"/>
      <c r="G26" s="17"/>
      <c r="H26" s="17"/>
      <c r="I26" s="18"/>
      <c r="J26" s="31"/>
      <c r="K26"/>
      <c r="L26"/>
      <c r="M26" t="s">
        <v>952</v>
      </c>
      <c r="N26"/>
      <c r="O26"/>
      <c r="P26"/>
      <c r="Q26"/>
      <c r="R26"/>
      <c r="S26"/>
      <c r="T26"/>
      <c r="U26"/>
    </row>
    <row r="27" spans="1:22" ht="15.75" thickBot="1">
      <c r="A27" s="5"/>
      <c r="B27" s="35" t="s">
        <v>228</v>
      </c>
      <c r="C27" s="17" t="s">
        <v>953</v>
      </c>
      <c r="D27" s="17"/>
      <c r="E27" s="17"/>
      <c r="F27" s="17"/>
      <c r="G27" s="17"/>
      <c r="H27" s="17"/>
      <c r="I27" s="18"/>
      <c r="J27" s="31"/>
      <c r="K27" s="48"/>
      <c r="L27" s="1"/>
      <c r="M27"/>
      <c r="N27"/>
      <c r="O27"/>
      <c r="P27"/>
      <c r="Q27"/>
      <c r="R27"/>
      <c r="S27"/>
      <c r="T27" s="1"/>
      <c r="U27"/>
    </row>
    <row r="28" spans="1:22">
      <c r="A28" s="22"/>
      <c r="B28" s="35" t="s">
        <v>228</v>
      </c>
      <c r="C28" s="17" t="s">
        <v>946</v>
      </c>
      <c r="D28" s="17"/>
      <c r="E28" s="17"/>
      <c r="F28" s="17"/>
      <c r="G28" s="17"/>
      <c r="H28" s="17"/>
      <c r="I28" s="18"/>
      <c r="J28" s="31"/>
      <c r="K28"/>
      <c r="L28" s="48" t="s">
        <v>61</v>
      </c>
      <c r="M28" t="s">
        <v>945</v>
      </c>
      <c r="N28"/>
      <c r="O28"/>
      <c r="P28"/>
      <c r="Q28"/>
      <c r="R28"/>
      <c r="S28"/>
      <c r="T28"/>
      <c r="U28"/>
    </row>
    <row r="29" spans="1:22">
      <c r="A29" s="22"/>
      <c r="B29" s="35"/>
      <c r="C29" s="17" t="s">
        <v>581</v>
      </c>
      <c r="D29" s="17"/>
      <c r="E29" s="17"/>
      <c r="F29" s="17"/>
      <c r="G29" s="17"/>
      <c r="H29" s="17"/>
      <c r="I29" s="18"/>
      <c r="J29" s="31"/>
      <c r="K29"/>
      <c r="L29"/>
      <c r="M29" t="s">
        <v>947</v>
      </c>
      <c r="N29"/>
      <c r="O29"/>
      <c r="P29"/>
      <c r="Q29"/>
      <c r="R29"/>
      <c r="S29"/>
      <c r="T29"/>
      <c r="U29"/>
    </row>
    <row r="30" spans="1:22">
      <c r="A30" s="22"/>
      <c r="B30" s="35" t="s">
        <v>228</v>
      </c>
      <c r="C30" s="17" t="s">
        <v>582</v>
      </c>
      <c r="D30" s="17"/>
      <c r="E30" s="17"/>
      <c r="F30" s="17"/>
      <c r="G30" s="17"/>
      <c r="H30" s="17"/>
      <c r="I30" s="18"/>
      <c r="J30" s="31"/>
      <c r="K30"/>
      <c r="L30"/>
      <c r="M30" t="s">
        <v>586</v>
      </c>
      <c r="N30"/>
      <c r="O30"/>
      <c r="P30"/>
      <c r="Q30"/>
      <c r="R30"/>
      <c r="S30"/>
      <c r="T30"/>
      <c r="U30"/>
    </row>
    <row r="31" spans="1:22">
      <c r="A31" s="22"/>
      <c r="B31" s="17"/>
      <c r="C31" s="17"/>
      <c r="D31" s="17"/>
      <c r="E31" s="17"/>
      <c r="F31" s="17"/>
      <c r="G31" s="17"/>
      <c r="H31" s="17"/>
      <c r="I31" s="18"/>
      <c r="J31" s="31"/>
      <c r="K31"/>
      <c r="L31"/>
      <c r="M31"/>
      <c r="N31"/>
      <c r="O31"/>
      <c r="P31"/>
      <c r="Q31"/>
      <c r="R31"/>
      <c r="S31"/>
      <c r="T31"/>
      <c r="U31"/>
    </row>
    <row r="32" spans="1:22">
      <c r="A32" s="22"/>
      <c r="B32" s="17" t="s">
        <v>583</v>
      </c>
      <c r="C32" s="17"/>
      <c r="D32" s="17"/>
      <c r="E32" s="17"/>
      <c r="F32" s="17"/>
      <c r="G32" s="17"/>
      <c r="H32" s="17"/>
      <c r="I32" s="18"/>
      <c r="J32" s="31"/>
      <c r="K32" s="48" t="s">
        <v>5</v>
      </c>
      <c r="L32" s="417" t="s">
        <v>107</v>
      </c>
      <c r="M32" s="108" t="s">
        <v>588</v>
      </c>
      <c r="N32" s="108"/>
      <c r="O32" s="108"/>
      <c r="P32" s="108"/>
      <c r="Q32" s="108"/>
      <c r="R32" s="108"/>
      <c r="S32" s="108"/>
      <c r="T32" s="108"/>
      <c r="U32" s="108"/>
      <c r="V32" s="108"/>
    </row>
    <row r="33" spans="1:22">
      <c r="A33" s="22"/>
      <c r="B33" s="17"/>
      <c r="C33" s="17"/>
      <c r="D33" s="17"/>
      <c r="E33" s="17"/>
      <c r="F33" s="17"/>
      <c r="G33" s="17"/>
      <c r="H33" s="17"/>
      <c r="I33" s="18"/>
      <c r="J33" s="31"/>
      <c r="K33"/>
      <c r="L33" s="108"/>
      <c r="M33" s="108"/>
      <c r="N33" s="108"/>
      <c r="O33" s="108"/>
      <c r="P33" s="108"/>
      <c r="Q33" s="108"/>
      <c r="R33" s="108"/>
      <c r="S33" s="108"/>
      <c r="T33" s="108"/>
      <c r="U33" s="108"/>
      <c r="V33" s="108"/>
    </row>
    <row r="34" spans="1:22">
      <c r="A34" s="22"/>
      <c r="B34" s="35" t="s">
        <v>60</v>
      </c>
      <c r="C34" s="17" t="s">
        <v>584</v>
      </c>
      <c r="D34" s="17"/>
      <c r="E34" s="17"/>
      <c r="F34" s="17"/>
      <c r="G34" s="17"/>
      <c r="H34" s="17"/>
      <c r="I34" s="18"/>
      <c r="J34" s="31"/>
      <c r="K34"/>
      <c r="L34" s="108"/>
      <c r="M34" s="51" t="s">
        <v>589</v>
      </c>
      <c r="N34" s="573">
        <f>E37</f>
        <v>24</v>
      </c>
      <c r="O34" s="277" t="s">
        <v>590</v>
      </c>
      <c r="P34" s="573">
        <f>G37</f>
        <v>36</v>
      </c>
      <c r="Q34" s="522" t="s">
        <v>591</v>
      </c>
      <c r="R34" s="522"/>
      <c r="S34" s="650"/>
      <c r="T34" s="320">
        <f>E42</f>
        <v>24</v>
      </c>
      <c r="U34" s="651" t="s">
        <v>590</v>
      </c>
      <c r="V34" s="320">
        <f>T34+12</f>
        <v>36</v>
      </c>
    </row>
    <row r="35" spans="1:22">
      <c r="A35" s="22"/>
      <c r="B35" s="35" t="s">
        <v>61</v>
      </c>
      <c r="C35" s="17" t="s">
        <v>585</v>
      </c>
      <c r="D35" s="17"/>
      <c r="E35" s="17"/>
      <c r="F35" s="17"/>
      <c r="G35" s="17"/>
      <c r="H35" s="17"/>
      <c r="I35" s="18"/>
      <c r="J35" s="31"/>
      <c r="K35"/>
      <c r="L35" s="108"/>
      <c r="M35" s="108"/>
      <c r="N35" s="108"/>
      <c r="O35" s="108"/>
      <c r="P35" s="108"/>
      <c r="Q35" s="108"/>
      <c r="R35" s="108"/>
      <c r="S35" s="108"/>
      <c r="T35" s="108"/>
      <c r="U35" s="108"/>
      <c r="V35" s="108"/>
    </row>
    <row r="36" spans="1:22">
      <c r="A36" s="22"/>
      <c r="B36" s="17"/>
      <c r="C36" s="17"/>
      <c r="D36" s="17"/>
      <c r="E36" s="17"/>
      <c r="F36" s="17"/>
      <c r="G36" s="17"/>
      <c r="H36" s="17"/>
      <c r="I36" s="18"/>
      <c r="J36" s="31"/>
      <c r="K36"/>
      <c r="L36" s="320" t="s">
        <v>108</v>
      </c>
      <c r="M36" s="108" t="s">
        <v>592</v>
      </c>
      <c r="N36" s="108"/>
      <c r="O36" s="108"/>
      <c r="P36" s="108"/>
      <c r="Q36" s="108"/>
      <c r="R36" s="108"/>
      <c r="S36" s="108"/>
      <c r="T36" s="108"/>
      <c r="U36" s="108"/>
      <c r="V36" s="108"/>
    </row>
    <row r="37" spans="1:22" ht="15" customHeight="1">
      <c r="A37" s="25" t="s">
        <v>5</v>
      </c>
      <c r="B37" s="190" t="s">
        <v>598</v>
      </c>
      <c r="C37" s="190"/>
      <c r="D37" s="544"/>
      <c r="E37" s="354">
        <v>24</v>
      </c>
      <c r="F37" s="281" t="s">
        <v>590</v>
      </c>
      <c r="G37" s="354">
        <v>36</v>
      </c>
      <c r="H37" s="119" t="s">
        <v>599</v>
      </c>
      <c r="I37" s="18"/>
      <c r="J37" s="31"/>
      <c r="K37"/>
      <c r="L37" s="108"/>
      <c r="M37" s="277"/>
      <c r="N37" s="108"/>
      <c r="O37" s="108"/>
      <c r="P37" s="108"/>
      <c r="Q37" s="108"/>
      <c r="R37" s="108"/>
      <c r="S37" s="108"/>
      <c r="T37" s="108"/>
      <c r="U37" s="108"/>
      <c r="V37" s="108"/>
    </row>
    <row r="38" spans="1:22" ht="15" customHeight="1" thickBot="1">
      <c r="A38" s="9">
        <f>INDEX('Point Grid'!$C$8:$I$54,MATCH($A$1,'Point Grid'!$A$8:$A$54,0),MATCH(A37,'Point Grid'!$C$7:$I$7,0))</f>
        <v>1.5</v>
      </c>
      <c r="B38" s="190"/>
      <c r="C38" s="190"/>
      <c r="D38" s="190"/>
      <c r="E38" s="190"/>
      <c r="F38" s="190"/>
      <c r="G38" s="190"/>
      <c r="H38" s="190"/>
      <c r="I38" s="18"/>
      <c r="J38" s="31"/>
      <c r="K38"/>
      <c r="L38" s="108"/>
      <c r="M38" s="652" t="s">
        <v>373</v>
      </c>
      <c r="N38"/>
      <c r="O38" s="277" t="s">
        <v>34</v>
      </c>
      <c r="P38" t="str">
        <f>"paid @"&amp;E42</f>
        <v>paid @24</v>
      </c>
      <c r="Q38" s="277" t="s">
        <v>227</v>
      </c>
      <c r="R38" s="51" t="str">
        <f>T34&amp; "-ultimate CDF"</f>
        <v>24-ultimate CDF</v>
      </c>
      <c r="S38"/>
      <c r="T38"/>
      <c r="U38" s="108"/>
      <c r="V38" s="108"/>
    </row>
    <row r="39" spans="1:22" ht="15" customHeight="1" thickBot="1">
      <c r="A39" s="5"/>
      <c r="B39" s="190"/>
      <c r="C39" s="190"/>
      <c r="D39" s="190"/>
      <c r="E39" s="190"/>
      <c r="F39" s="190"/>
      <c r="G39" s="190"/>
      <c r="H39" s="190"/>
      <c r="I39" s="18"/>
      <c r="J39" s="31"/>
      <c r="K39"/>
      <c r="L39" s="108"/>
      <c r="M39"/>
      <c r="N39"/>
      <c r="O39" s="277" t="s">
        <v>34</v>
      </c>
      <c r="P39" s="277">
        <f>G42</f>
        <v>7780</v>
      </c>
      <c r="Q39" s="277" t="s">
        <v>227</v>
      </c>
      <c r="R39" s="418">
        <f>VLOOKUP(E42,B44:E49,4,FALSE)</f>
        <v>1.34</v>
      </c>
      <c r="S39"/>
      <c r="T39"/>
      <c r="U39" s="108"/>
      <c r="V39" s="108"/>
    </row>
    <row r="40" spans="1:22" ht="15" customHeight="1">
      <c r="A40" s="22"/>
      <c r="B40" s="190" t="s">
        <v>593</v>
      </c>
      <c r="C40" s="190"/>
      <c r="D40" s="190"/>
      <c r="E40" s="190"/>
      <c r="F40" s="190"/>
      <c r="G40" s="190"/>
      <c r="H40" s="190"/>
      <c r="I40" s="18"/>
      <c r="J40" s="31"/>
      <c r="K40" s="37"/>
      <c r="L40"/>
      <c r="M40"/>
      <c r="N40"/>
      <c r="O40" s="277" t="s">
        <v>34</v>
      </c>
      <c r="P40" s="653">
        <f>ROUND(P39*R39,0)</f>
        <v>10425</v>
      </c>
      <c r="Q40"/>
      <c r="R40"/>
      <c r="S40"/>
      <c r="T40"/>
      <c r="U40"/>
      <c r="V40"/>
    </row>
    <row r="41" spans="1:22" ht="15" customHeight="1">
      <c r="A41" s="22"/>
      <c r="B41" s="429"/>
      <c r="C41" s="429"/>
      <c r="D41" s="429"/>
      <c r="E41" s="429"/>
      <c r="F41" s="429"/>
      <c r="G41" s="429"/>
      <c r="H41" s="429"/>
      <c r="I41" s="18"/>
      <c r="J41" s="31"/>
      <c r="K41" s="108"/>
      <c r="L41" s="108"/>
      <c r="M41"/>
      <c r="N41"/>
      <c r="O41"/>
      <c r="P41"/>
      <c r="Q41"/>
      <c r="R41"/>
      <c r="S41" s="277"/>
      <c r="T41"/>
      <c r="U41" s="108"/>
      <c r="V41" s="108"/>
    </row>
    <row r="42" spans="1:22" ht="15" customHeight="1">
      <c r="A42" s="22"/>
      <c r="B42" s="657" t="s">
        <v>413</v>
      </c>
      <c r="C42" s="658" t="s">
        <v>91</v>
      </c>
      <c r="D42" s="659" t="s">
        <v>236</v>
      </c>
      <c r="E42" s="661">
        <f>INDEX(B44:B49,MATCH(E37,B44:B49,1),1)</f>
        <v>24</v>
      </c>
      <c r="F42" s="660" t="s">
        <v>147</v>
      </c>
      <c r="G42" s="662">
        <v>7780</v>
      </c>
      <c r="H42" s="71"/>
      <c r="I42" s="18"/>
      <c r="J42" s="31"/>
      <c r="K42" s="108"/>
      <c r="L42" s="108"/>
      <c r="M42" s="108" t="str">
        <f>"unpaid @ "&amp;E42</f>
        <v>unpaid @ 24</v>
      </c>
      <c r="N42"/>
      <c r="O42" s="277" t="s">
        <v>34</v>
      </c>
      <c r="P42" s="653" t="s">
        <v>373</v>
      </c>
      <c r="Q42" s="277" t="s">
        <v>119</v>
      </c>
      <c r="R42" s="48" t="str">
        <f>"paid @"&amp;E42</f>
        <v>paid @24</v>
      </c>
      <c r="S42" s="108"/>
      <c r="T42" s="108"/>
      <c r="U42" s="108"/>
      <c r="V42" s="108"/>
    </row>
    <row r="43" spans="1:22" ht="15" customHeight="1">
      <c r="A43" s="22"/>
      <c r="B43" s="190"/>
      <c r="C43" s="190"/>
      <c r="D43" s="190"/>
      <c r="E43" s="190"/>
      <c r="F43" s="190"/>
      <c r="G43" s="190"/>
      <c r="H43" s="190"/>
      <c r="I43" s="18"/>
      <c r="J43" s="31"/>
      <c r="L43" s="108"/>
      <c r="M43"/>
      <c r="N43"/>
      <c r="O43" s="277" t="s">
        <v>34</v>
      </c>
      <c r="P43" s="653">
        <f>P40</f>
        <v>10425</v>
      </c>
      <c r="Q43" s="277" t="s">
        <v>119</v>
      </c>
      <c r="R43" s="277">
        <f>G42</f>
        <v>7780</v>
      </c>
      <c r="S43" s="108"/>
      <c r="T43" s="108"/>
      <c r="U43" s="108"/>
      <c r="V43" s="108"/>
    </row>
    <row r="44" spans="1:22" ht="15" customHeight="1">
      <c r="A44" s="22"/>
      <c r="B44" s="421">
        <v>12</v>
      </c>
      <c r="C44" s="555" t="s">
        <v>488</v>
      </c>
      <c r="D44" s="424" t="s">
        <v>494</v>
      </c>
      <c r="E44" s="556">
        <v>2.56</v>
      </c>
      <c r="F44" s="71"/>
      <c r="G44" s="71"/>
      <c r="H44" s="190"/>
      <c r="I44" s="18"/>
      <c r="J44" s="31"/>
      <c r="L44" s="108"/>
      <c r="M44" s="108"/>
      <c r="N44" s="108"/>
      <c r="O44" s="277" t="s">
        <v>34</v>
      </c>
      <c r="P44" s="153">
        <f>P43-R43</f>
        <v>2645</v>
      </c>
      <c r="Q44" s="277"/>
      <c r="R44" s="277"/>
      <c r="S44" s="108"/>
      <c r="T44" s="108"/>
      <c r="U44" s="108"/>
      <c r="V44" s="108"/>
    </row>
    <row r="45" spans="1:22" ht="15" customHeight="1">
      <c r="A45" s="22"/>
      <c r="B45" s="439">
        <v>24</v>
      </c>
      <c r="C45" s="557" t="s">
        <v>488</v>
      </c>
      <c r="D45" s="428" t="s">
        <v>494</v>
      </c>
      <c r="E45" s="558">
        <v>1.34</v>
      </c>
      <c r="F45" s="71"/>
      <c r="G45" s="71"/>
      <c r="H45" s="190"/>
      <c r="I45" s="18"/>
      <c r="J45" s="31"/>
      <c r="L45" s="108"/>
      <c r="M45" s="108"/>
      <c r="N45" s="108"/>
      <c r="O45" s="108"/>
      <c r="P45" s="108"/>
      <c r="Q45" s="108"/>
      <c r="R45" s="108"/>
      <c r="S45" s="108"/>
      <c r="T45" s="108"/>
      <c r="U45" s="108"/>
      <c r="V45" s="108"/>
    </row>
    <row r="46" spans="1:22" ht="15" customHeight="1">
      <c r="A46" s="22"/>
      <c r="B46" s="559">
        <v>36</v>
      </c>
      <c r="C46" s="560" t="s">
        <v>488</v>
      </c>
      <c r="D46" s="561" t="s">
        <v>494</v>
      </c>
      <c r="E46" s="562">
        <v>1.1000000000000001</v>
      </c>
      <c r="F46" s="71"/>
      <c r="G46" s="71"/>
      <c r="H46" s="190"/>
      <c r="I46" s="18"/>
      <c r="J46" s="31"/>
      <c r="L46" s="108"/>
      <c r="M46" s="259" t="str">
        <f>"%paid @ "&amp;E42</f>
        <v>%paid @ 24</v>
      </c>
      <c r="N46" s="108"/>
      <c r="O46" s="277" t="s">
        <v>34</v>
      </c>
      <c r="P46" s="277">
        <v>1</v>
      </c>
      <c r="Q46" s="347" t="s">
        <v>36</v>
      </c>
      <c r="R46" s="108" t="str">
        <f>T34&amp; "-ultimate CDF"</f>
        <v>24-ultimate CDF</v>
      </c>
      <c r="S46" s="108"/>
      <c r="T46" s="108"/>
      <c r="U46" s="108"/>
      <c r="V46" s="108"/>
    </row>
    <row r="47" spans="1:22" ht="15" customHeight="1">
      <c r="A47" s="22"/>
      <c r="B47" s="439">
        <v>48</v>
      </c>
      <c r="C47" s="557" t="s">
        <v>488</v>
      </c>
      <c r="D47" s="428" t="s">
        <v>494</v>
      </c>
      <c r="E47" s="558">
        <v>1.04</v>
      </c>
      <c r="F47" s="71"/>
      <c r="G47" s="71"/>
      <c r="H47" s="190"/>
      <c r="I47" s="18"/>
      <c r="J47" s="31"/>
      <c r="L47" s="108"/>
      <c r="M47" s="108"/>
      <c r="N47" s="108"/>
      <c r="O47" s="277" t="s">
        <v>34</v>
      </c>
      <c r="P47" s="277">
        <v>1</v>
      </c>
      <c r="Q47" s="347" t="s">
        <v>36</v>
      </c>
      <c r="R47" s="418">
        <f>R39</f>
        <v>1.34</v>
      </c>
      <c r="S47" s="108"/>
      <c r="T47" s="108"/>
      <c r="U47" s="108"/>
      <c r="V47" s="108"/>
    </row>
    <row r="48" spans="1:22" ht="15" customHeight="1">
      <c r="A48" s="22"/>
      <c r="B48" s="439">
        <v>60</v>
      </c>
      <c r="C48" s="557" t="s">
        <v>488</v>
      </c>
      <c r="D48" s="428" t="s">
        <v>494</v>
      </c>
      <c r="E48" s="558">
        <v>1.02</v>
      </c>
      <c r="F48" s="71"/>
      <c r="G48" s="71"/>
      <c r="H48" s="190"/>
      <c r="I48" s="18"/>
      <c r="J48" s="31"/>
      <c r="L48" s="108"/>
      <c r="M48" s="108"/>
      <c r="N48" s="108"/>
      <c r="O48" s="277" t="s">
        <v>34</v>
      </c>
      <c r="P48" s="654">
        <f>P47/R47</f>
        <v>0.74626865671641784</v>
      </c>
      <c r="Q48" s="108"/>
      <c r="R48" s="108"/>
      <c r="S48" s="108"/>
      <c r="T48" s="108"/>
      <c r="U48" s="108"/>
      <c r="V48" s="108"/>
    </row>
    <row r="49" spans="1:24" ht="15" customHeight="1">
      <c r="A49" s="22"/>
      <c r="B49" s="559">
        <v>72</v>
      </c>
      <c r="C49" s="560" t="s">
        <v>488</v>
      </c>
      <c r="D49" s="561" t="s">
        <v>494</v>
      </c>
      <c r="E49" s="562">
        <v>1.01</v>
      </c>
      <c r="F49" s="71"/>
      <c r="G49" s="71"/>
      <c r="H49" s="190"/>
      <c r="I49" s="18"/>
      <c r="J49" s="31"/>
      <c r="L49" s="108"/>
      <c r="M49" s="108"/>
      <c r="N49" s="108"/>
      <c r="O49" s="108"/>
      <c r="P49" s="108"/>
      <c r="Q49" s="108"/>
      <c r="R49" s="108"/>
      <c r="S49" s="108"/>
      <c r="T49" s="108"/>
      <c r="U49" s="108"/>
      <c r="V49" s="108"/>
    </row>
    <row r="50" spans="1:24" ht="15" customHeight="1">
      <c r="A50" s="22"/>
      <c r="B50" s="17"/>
      <c r="C50" s="17"/>
      <c r="D50" s="17"/>
      <c r="E50" s="17"/>
      <c r="F50" s="17"/>
      <c r="G50" s="17"/>
      <c r="H50" s="17"/>
      <c r="I50" s="18"/>
      <c r="J50" s="31"/>
      <c r="L50" s="108"/>
      <c r="M50" s="108" t="str">
        <f>"%paid @ "&amp;V34</f>
        <v>%paid @ 36</v>
      </c>
      <c r="N50" s="108"/>
      <c r="O50" s="277" t="s">
        <v>34</v>
      </c>
      <c r="P50" s="277">
        <v>1</v>
      </c>
      <c r="Q50" s="347" t="s">
        <v>36</v>
      </c>
      <c r="R50" s="108" t="str">
        <f>V34&amp; "-ultimate CDF"</f>
        <v>36-ultimate CDF</v>
      </c>
      <c r="S50" s="108"/>
      <c r="T50" s="108"/>
      <c r="U50" s="108"/>
      <c r="V50" s="108"/>
    </row>
    <row r="51" spans="1:24" ht="15" customHeight="1">
      <c r="A51" s="22"/>
      <c r="B51" s="17"/>
      <c r="C51" s="17"/>
      <c r="D51" s="17"/>
      <c r="E51" s="17"/>
      <c r="F51" s="17"/>
      <c r="G51" s="17"/>
      <c r="H51" s="17"/>
      <c r="I51" s="18"/>
      <c r="J51" s="31"/>
      <c r="L51" s="108"/>
      <c r="M51" s="108"/>
      <c r="N51" s="108"/>
      <c r="O51" s="277" t="s">
        <v>34</v>
      </c>
      <c r="P51" s="277">
        <v>1</v>
      </c>
      <c r="Q51" s="347" t="s">
        <v>36</v>
      </c>
      <c r="R51" s="418">
        <f>VLOOKUP(V34,B44:E49,4,FALSE)</f>
        <v>1.1000000000000001</v>
      </c>
      <c r="S51" s="108"/>
      <c r="T51" s="108"/>
      <c r="U51" s="108"/>
      <c r="V51" s="108"/>
    </row>
    <row r="52" spans="1:24" ht="15" customHeight="1">
      <c r="A52" s="22"/>
      <c r="B52" s="17"/>
      <c r="C52" s="17"/>
      <c r="D52" s="17"/>
      <c r="E52" s="17"/>
      <c r="F52" s="17"/>
      <c r="G52" s="17"/>
      <c r="H52" s="17"/>
      <c r="I52" s="18"/>
      <c r="J52" s="31"/>
      <c r="L52" s="108"/>
      <c r="M52" s="108"/>
      <c r="N52" s="108"/>
      <c r="O52" s="277" t="s">
        <v>34</v>
      </c>
      <c r="P52" s="655">
        <f>P51/R51</f>
        <v>0.90909090909090906</v>
      </c>
      <c r="Q52" s="108"/>
      <c r="R52" s="108"/>
      <c r="S52" s="108"/>
      <c r="T52" s="108"/>
      <c r="U52" s="108"/>
      <c r="V52" s="108"/>
    </row>
    <row r="53" spans="1:24" ht="15" customHeight="1" thickBot="1">
      <c r="A53" s="24"/>
      <c r="B53" s="32"/>
      <c r="C53" s="32"/>
      <c r="D53" s="32"/>
      <c r="E53" s="32"/>
      <c r="F53" s="32"/>
      <c r="G53" s="32"/>
      <c r="H53" s="32"/>
      <c r="I53" s="33"/>
      <c r="J53" s="31"/>
      <c r="L53" s="108"/>
      <c r="M53" s="108"/>
      <c r="N53" s="108"/>
      <c r="O53" s="108"/>
      <c r="P53" s="108"/>
      <c r="Q53" s="108"/>
      <c r="R53" s="108"/>
      <c r="S53" s="108"/>
      <c r="T53" s="108"/>
      <c r="U53" s="108"/>
      <c r="V53" s="108"/>
    </row>
    <row r="54" spans="1:24" ht="15" customHeight="1">
      <c r="B54" s="31"/>
      <c r="C54" s="31"/>
      <c r="D54" s="31"/>
      <c r="E54" s="31"/>
      <c r="F54" s="31"/>
      <c r="G54" s="31"/>
      <c r="H54" s="31"/>
      <c r="I54" s="31"/>
      <c r="J54" s="31"/>
      <c r="L54" s="108"/>
      <c r="M54" s="335" t="str">
        <f>"%unpaid @ "&amp;E42</f>
        <v>%unpaid @ 24</v>
      </c>
      <c r="N54" s="108"/>
      <c r="O54" s="277" t="s">
        <v>34</v>
      </c>
      <c r="P54" s="277">
        <v>1</v>
      </c>
      <c r="Q54" s="347" t="s">
        <v>119</v>
      </c>
      <c r="R54" s="108" t="str">
        <f>"%paid @ "&amp;E42</f>
        <v>%paid @ 24</v>
      </c>
      <c r="S54" s="108"/>
      <c r="T54" s="108"/>
      <c r="U54" s="108"/>
      <c r="V54" s="108"/>
    </row>
    <row r="55" spans="1:24" ht="15" customHeight="1">
      <c r="J55" s="31"/>
      <c r="L55" s="108"/>
      <c r="M55" s="108"/>
      <c r="N55" s="108"/>
      <c r="O55" s="277" t="s">
        <v>34</v>
      </c>
      <c r="P55" s="277">
        <v>1</v>
      </c>
      <c r="Q55" s="347" t="s">
        <v>119</v>
      </c>
      <c r="R55" s="654">
        <f>P48</f>
        <v>0.74626865671641784</v>
      </c>
      <c r="S55" s="108"/>
      <c r="T55" s="108"/>
      <c r="U55" s="108"/>
      <c r="V55" s="108"/>
    </row>
    <row r="56" spans="1:24" ht="15" customHeight="1">
      <c r="J56" s="31"/>
      <c r="K56" s="108"/>
      <c r="L56" s="108"/>
      <c r="M56" s="108"/>
      <c r="N56" s="108"/>
      <c r="O56" s="277" t="s">
        <v>34</v>
      </c>
      <c r="P56" s="655">
        <f>P55-R55</f>
        <v>0.25373134328358216</v>
      </c>
      <c r="Q56" s="108"/>
      <c r="R56" s="108"/>
      <c r="S56" s="108"/>
      <c r="T56" s="108"/>
      <c r="U56" s="108"/>
      <c r="V56" s="108"/>
    </row>
    <row r="57" spans="1:24" ht="15" customHeight="1">
      <c r="J57" s="31"/>
      <c r="K57" s="108"/>
      <c r="L57" s="108"/>
      <c r="M57" s="108"/>
      <c r="N57" s="108"/>
      <c r="O57" s="108"/>
      <c r="P57" s="108"/>
      <c r="Q57" s="108"/>
      <c r="R57" s="108"/>
      <c r="S57" s="108"/>
      <c r="T57" s="108"/>
      <c r="U57" s="108"/>
      <c r="V57" s="108"/>
    </row>
    <row r="58" spans="1:24" ht="15" customHeight="1">
      <c r="J58" s="31"/>
      <c r="K58" s="108"/>
      <c r="L58" s="287" t="s">
        <v>240</v>
      </c>
      <c r="M58" s="108" t="s">
        <v>594</v>
      </c>
      <c r="N58" s="108"/>
      <c r="O58" s="108"/>
      <c r="P58" s="108"/>
      <c r="Q58" s="108"/>
      <c r="R58" s="108"/>
      <c r="S58" s="108"/>
      <c r="T58" s="108"/>
      <c r="U58" s="108"/>
      <c r="V58" s="108"/>
    </row>
    <row r="59" spans="1:24" ht="15" customHeight="1">
      <c r="J59" s="31"/>
      <c r="K59" s="108"/>
      <c r="L59" s="108"/>
      <c r="M59" s="108"/>
      <c r="N59" s="108"/>
      <c r="O59" s="108"/>
      <c r="P59" s="108"/>
      <c r="Q59" s="108"/>
      <c r="R59" s="108"/>
      <c r="S59" s="108"/>
      <c r="T59" s="108"/>
      <c r="U59" s="108"/>
      <c r="V59" s="108"/>
    </row>
    <row r="60" spans="1:24" ht="15" customHeight="1">
      <c r="J60" s="31"/>
      <c r="K60" s="108"/>
      <c r="L60" s="108"/>
      <c r="M60" s="51" t="s">
        <v>595</v>
      </c>
      <c r="N60" s="108"/>
      <c r="O60" s="277" t="s">
        <v>34</v>
      </c>
      <c r="P60" s="108" t="str">
        <f>M42&amp;" x ( "&amp;M50&amp;" - "&amp;M46&amp;" )  /  ("&amp;M54&amp;" )"</f>
        <v>unpaid @ 24 x ( %paid @ 36 - %paid @ 24 )  /  (%unpaid @ 24 )</v>
      </c>
      <c r="Q60" s="108"/>
      <c r="R60" s="108"/>
      <c r="S60" s="108"/>
      <c r="T60" s="108"/>
      <c r="U60" s="108"/>
      <c r="V60" s="108"/>
    </row>
    <row r="61" spans="1:24" ht="15" customHeight="1">
      <c r="J61" s="31"/>
      <c r="K61" s="108"/>
      <c r="L61" s="108"/>
      <c r="M61" s="108"/>
      <c r="N61" s="108"/>
      <c r="O61" s="277" t="s">
        <v>34</v>
      </c>
      <c r="P61" s="277">
        <f>P44</f>
        <v>2645</v>
      </c>
      <c r="Q61" s="416" t="s">
        <v>596</v>
      </c>
      <c r="R61" s="655">
        <f>P52</f>
        <v>0.90909090909090906</v>
      </c>
      <c r="S61" s="277" t="s">
        <v>119</v>
      </c>
      <c r="T61" s="654">
        <f>P48</f>
        <v>0.74626865671641784</v>
      </c>
      <c r="U61" s="108" t="s">
        <v>597</v>
      </c>
      <c r="V61" s="655">
        <f>P56</f>
        <v>0.25373134328358216</v>
      </c>
    </row>
    <row r="62" spans="1:24" ht="15" customHeight="1">
      <c r="J62" s="31"/>
      <c r="K62" s="108"/>
      <c r="L62" s="108"/>
      <c r="M62" s="108"/>
      <c r="N62" s="108"/>
      <c r="O62" s="277" t="s">
        <v>34</v>
      </c>
      <c r="P62" s="656">
        <f>P61*(R61-T61)/V61</f>
        <v>1697.3262032085561</v>
      </c>
      <c r="Q62" s="108"/>
      <c r="R62" s="108"/>
      <c r="S62" s="108"/>
      <c r="T62" s="108"/>
      <c r="U62" s="108"/>
      <c r="V62" s="108"/>
    </row>
    <row r="63" spans="1:24" ht="15" customHeight="1">
      <c r="J63" s="31"/>
      <c r="K63" s="108"/>
      <c r="L63" s="108"/>
      <c r="M63" s="108"/>
      <c r="N63" s="108"/>
      <c r="O63" s="108"/>
      <c r="P63" s="108"/>
      <c r="Q63" s="108"/>
      <c r="R63" s="108"/>
      <c r="S63" s="108"/>
      <c r="T63" s="108"/>
      <c r="U63" s="108"/>
      <c r="V63" s="108"/>
      <c r="W63" s="108"/>
      <c r="X63" s="108"/>
    </row>
    <row r="64" spans="1:24" ht="15" customHeight="1">
      <c r="J64" s="31"/>
      <c r="K64" s="108"/>
      <c r="L64" s="108"/>
      <c r="M64" s="108"/>
      <c r="N64" s="108"/>
      <c r="O64" s="108"/>
      <c r="P64" s="108"/>
      <c r="Q64" s="108"/>
      <c r="R64" s="108"/>
      <c r="S64" s="108"/>
      <c r="T64" s="108"/>
      <c r="U64" s="108"/>
      <c r="V64" s="108"/>
      <c r="W64" s="108"/>
      <c r="X64" s="108"/>
    </row>
    <row r="65" spans="2:24" ht="15" customHeight="1">
      <c r="J65" s="31"/>
      <c r="K65" s="108"/>
      <c r="L65" s="108"/>
      <c r="M65" s="108"/>
      <c r="N65" s="108"/>
      <c r="O65" s="108"/>
      <c r="P65" s="108"/>
      <c r="Q65" s="108"/>
      <c r="R65" s="108"/>
      <c r="S65" s="108"/>
      <c r="T65" s="108"/>
      <c r="U65" s="108"/>
      <c r="V65" s="108"/>
      <c r="W65" s="108"/>
      <c r="X65" s="108"/>
    </row>
    <row r="66" spans="2:24" ht="15" customHeight="1">
      <c r="J66" s="31"/>
      <c r="K66" s="108"/>
      <c r="L66" s="108"/>
      <c r="M66" s="108"/>
      <c r="N66" s="108"/>
      <c r="O66" s="108"/>
      <c r="P66" s="108"/>
      <c r="Q66" s="108"/>
      <c r="R66" s="108"/>
      <c r="S66" s="108"/>
      <c r="T66" s="108"/>
      <c r="U66" s="108"/>
      <c r="V66" s="108"/>
      <c r="W66" s="108"/>
      <c r="X66" s="108"/>
    </row>
    <row r="67" spans="2:24" ht="15" customHeight="1">
      <c r="J67" s="31"/>
      <c r="K67" s="108"/>
      <c r="L67" s="108"/>
      <c r="M67" s="108"/>
      <c r="N67" s="108"/>
      <c r="O67" s="108"/>
      <c r="P67" s="108"/>
      <c r="Q67" s="108"/>
      <c r="R67" s="108"/>
      <c r="S67" s="108"/>
      <c r="T67" s="108"/>
      <c r="U67" s="108"/>
      <c r="V67" s="108"/>
      <c r="W67" s="108"/>
      <c r="X67" s="108"/>
    </row>
    <row r="68" spans="2:24" ht="15" customHeight="1">
      <c r="J68" s="31"/>
      <c r="K68" s="108"/>
      <c r="L68" s="108"/>
      <c r="M68" s="108"/>
      <c r="N68" s="108"/>
      <c r="O68" s="108"/>
      <c r="P68" s="108"/>
      <c r="Q68" s="108"/>
      <c r="R68" s="108"/>
      <c r="S68" s="108"/>
      <c r="T68" s="108"/>
      <c r="U68" s="108"/>
      <c r="V68" s="108"/>
      <c r="W68" s="108"/>
      <c r="X68" s="108"/>
    </row>
    <row r="69" spans="2:24" ht="15" customHeight="1">
      <c r="B69" s="31"/>
      <c r="C69" s="31"/>
      <c r="D69" s="31"/>
      <c r="E69" s="31"/>
      <c r="F69" s="31"/>
      <c r="G69" s="31"/>
      <c r="H69" s="31"/>
      <c r="I69" s="31"/>
      <c r="J69" s="31"/>
      <c r="K69" s="108"/>
      <c r="L69" s="108"/>
      <c r="M69" s="108"/>
      <c r="N69" s="108"/>
      <c r="O69" s="108"/>
      <c r="P69" s="108"/>
      <c r="Q69" s="108"/>
      <c r="R69" s="108"/>
      <c r="S69" s="108"/>
      <c r="T69" s="108"/>
      <c r="U69" s="108"/>
      <c r="V69" s="108"/>
      <c r="W69" s="108"/>
      <c r="X69" s="108"/>
    </row>
    <row r="70" spans="2:24" ht="15" customHeight="1">
      <c r="B70" s="31"/>
      <c r="C70" s="31"/>
      <c r="D70" s="31"/>
      <c r="E70" s="31"/>
      <c r="F70" s="31"/>
      <c r="G70" s="31"/>
      <c r="H70" s="31"/>
      <c r="I70" s="31"/>
      <c r="J70" s="31"/>
      <c r="K70" s="108"/>
      <c r="L70" s="108"/>
      <c r="M70" s="108"/>
      <c r="N70" s="108"/>
      <c r="O70" s="108"/>
      <c r="P70" s="108"/>
      <c r="Q70" s="108"/>
      <c r="R70" s="108"/>
      <c r="S70" s="108"/>
      <c r="T70" s="108"/>
      <c r="U70" s="108"/>
      <c r="V70" s="153"/>
    </row>
    <row r="71" spans="2:24" ht="15" customHeight="1">
      <c r="B71" s="31"/>
      <c r="C71" s="31"/>
      <c r="D71" s="31"/>
      <c r="E71" s="31"/>
      <c r="F71" s="31"/>
      <c r="G71" s="31"/>
      <c r="H71" s="31"/>
      <c r="I71" s="31"/>
      <c r="J71" s="31"/>
      <c r="K71" s="108"/>
      <c r="L71" s="108"/>
      <c r="M71" s="108"/>
      <c r="N71" s="108"/>
      <c r="O71" s="108"/>
      <c r="P71" s="108"/>
      <c r="Q71" s="108"/>
      <c r="R71" s="108"/>
      <c r="S71" s="108"/>
      <c r="T71" s="108"/>
      <c r="U71" s="108"/>
      <c r="V71" s="153"/>
    </row>
    <row r="72" spans="2:24" ht="15" customHeight="1">
      <c r="J72" s="31"/>
      <c r="K72" s="108"/>
      <c r="L72" s="108"/>
      <c r="M72" s="108"/>
      <c r="N72" s="108"/>
      <c r="O72" s="108"/>
      <c r="P72" s="108"/>
      <c r="Q72" s="108"/>
      <c r="R72" s="108"/>
      <c r="S72" s="108"/>
      <c r="T72" s="108"/>
      <c r="U72" s="108"/>
      <c r="V72" s="153"/>
    </row>
    <row r="73" spans="2:24" ht="15" customHeight="1">
      <c r="J73" s="31"/>
      <c r="K73" s="108"/>
      <c r="L73" s="108"/>
      <c r="M73" s="108"/>
      <c r="N73" s="108"/>
      <c r="O73" s="108"/>
      <c r="P73" s="108"/>
      <c r="Q73" s="108"/>
      <c r="R73" s="108"/>
      <c r="S73" s="108"/>
      <c r="T73" s="108"/>
      <c r="U73" s="108"/>
      <c r="V73" s="153"/>
    </row>
    <row r="74" spans="2:24" ht="15" customHeight="1">
      <c r="J74" s="31"/>
      <c r="K74" s="108"/>
      <c r="L74" s="108"/>
      <c r="M74" s="108"/>
      <c r="N74" s="108"/>
      <c r="O74" s="108"/>
      <c r="P74" s="108"/>
      <c r="Q74" s="108"/>
      <c r="R74" s="108"/>
      <c r="S74" s="108"/>
      <c r="T74" s="108"/>
      <c r="U74" s="108"/>
      <c r="V74" s="153"/>
    </row>
    <row r="75" spans="2:24" ht="15" customHeight="1">
      <c r="J75" s="31"/>
      <c r="K75" s="108"/>
      <c r="L75" s="108"/>
      <c r="M75" s="108"/>
      <c r="N75" s="108"/>
      <c r="O75" s="108"/>
      <c r="P75" s="108"/>
      <c r="Q75" s="108"/>
      <c r="R75" s="108"/>
      <c r="S75" s="108"/>
      <c r="T75" s="108"/>
      <c r="U75" s="108"/>
      <c r="V75" s="153"/>
    </row>
    <row r="76" spans="2:24" ht="15" customHeight="1">
      <c r="J76" s="31"/>
      <c r="K76" s="108"/>
      <c r="L76" s="108"/>
      <c r="M76" s="108"/>
      <c r="N76" s="108"/>
      <c r="O76" s="108"/>
      <c r="P76" s="108"/>
      <c r="Q76" s="108"/>
      <c r="R76" s="108"/>
      <c r="S76" s="108"/>
      <c r="T76" s="108"/>
      <c r="U76" s="108"/>
      <c r="V76" s="153"/>
    </row>
    <row r="77" spans="2:24" ht="15" customHeight="1">
      <c r="J77" s="31"/>
      <c r="K77" s="108"/>
      <c r="L77" s="108"/>
      <c r="M77" s="108"/>
      <c r="N77" s="108"/>
      <c r="O77" s="108"/>
      <c r="P77" s="108"/>
      <c r="Q77" s="108"/>
      <c r="R77" s="108"/>
      <c r="S77" s="108"/>
      <c r="T77" s="108"/>
      <c r="U77" s="108"/>
      <c r="V77" s="153"/>
    </row>
    <row r="78" spans="2:24" ht="15" customHeight="1">
      <c r="J78" s="31"/>
      <c r="K78"/>
      <c r="L78"/>
      <c r="M78"/>
      <c r="N78"/>
      <c r="O78"/>
      <c r="P78"/>
      <c r="Q78"/>
      <c r="R78"/>
      <c r="S78"/>
      <c r="T78"/>
      <c r="U78"/>
    </row>
    <row r="79" spans="2:24" ht="15" customHeight="1">
      <c r="J79" s="31"/>
      <c r="K79"/>
      <c r="L79"/>
      <c r="M79"/>
      <c r="N79"/>
      <c r="O79"/>
      <c r="P79"/>
      <c r="Q79"/>
      <c r="R79"/>
      <c r="S79"/>
      <c r="T79"/>
      <c r="U79"/>
    </row>
    <row r="80" spans="2:24" ht="15" customHeight="1">
      <c r="J80" s="31"/>
      <c r="K80"/>
      <c r="L80"/>
      <c r="M80"/>
      <c r="N80"/>
      <c r="O80"/>
      <c r="P80"/>
      <c r="Q80"/>
      <c r="R80"/>
      <c r="S80"/>
      <c r="T80"/>
      <c r="U80"/>
    </row>
    <row r="81" spans="2:21" ht="15" customHeight="1">
      <c r="J81" s="31"/>
      <c r="K81"/>
      <c r="L81"/>
      <c r="M81"/>
      <c r="N81"/>
      <c r="O81"/>
      <c r="P81"/>
      <c r="Q81"/>
      <c r="R81"/>
      <c r="S81"/>
      <c r="T81"/>
      <c r="U81"/>
    </row>
    <row r="82" spans="2:21" ht="15" customHeight="1">
      <c r="J82" s="31"/>
      <c r="K82"/>
      <c r="L82"/>
      <c r="M82"/>
      <c r="N82"/>
      <c r="O82"/>
      <c r="P82"/>
      <c r="Q82"/>
      <c r="R82"/>
      <c r="S82"/>
      <c r="T82"/>
      <c r="U82"/>
    </row>
    <row r="83" spans="2:21" ht="15" customHeight="1">
      <c r="J83" s="31"/>
      <c r="K83"/>
      <c r="L83"/>
      <c r="M83"/>
      <c r="N83"/>
      <c r="O83"/>
      <c r="P83"/>
      <c r="Q83"/>
      <c r="R83"/>
      <c r="S83"/>
      <c r="T83"/>
      <c r="U83"/>
    </row>
    <row r="84" spans="2:21" ht="15" customHeight="1">
      <c r="J84" s="31"/>
      <c r="K84"/>
      <c r="L84"/>
      <c r="M84"/>
      <c r="N84"/>
      <c r="O84"/>
      <c r="P84"/>
      <c r="Q84"/>
      <c r="R84"/>
      <c r="S84"/>
      <c r="T84"/>
      <c r="U84"/>
    </row>
    <row r="85" spans="2:21" ht="15" customHeight="1">
      <c r="B85" s="31"/>
      <c r="C85" s="31"/>
      <c r="D85" s="31"/>
      <c r="E85" s="31"/>
      <c r="F85" s="31"/>
      <c r="G85" s="31"/>
      <c r="H85" s="31"/>
      <c r="I85" s="31"/>
      <c r="J85" s="31"/>
      <c r="K85"/>
      <c r="L85"/>
      <c r="M85"/>
      <c r="N85"/>
      <c r="O85"/>
      <c r="P85"/>
      <c r="Q85"/>
      <c r="R85"/>
      <c r="S85"/>
      <c r="T85"/>
      <c r="U85"/>
    </row>
    <row r="86" spans="2:21" ht="15" customHeight="1">
      <c r="B86" s="31"/>
      <c r="C86" s="31"/>
      <c r="D86" s="31"/>
      <c r="E86" s="31"/>
      <c r="F86" s="31"/>
      <c r="G86" s="31"/>
      <c r="H86" s="31"/>
      <c r="I86" s="31"/>
      <c r="J86" s="31"/>
      <c r="K86"/>
      <c r="L86"/>
      <c r="M86"/>
      <c r="N86"/>
      <c r="O86"/>
      <c r="P86"/>
      <c r="Q86"/>
      <c r="R86"/>
      <c r="S86"/>
      <c r="T86"/>
      <c r="U86"/>
    </row>
    <row r="87" spans="2:21" ht="15" customHeight="1">
      <c r="B87" s="31"/>
      <c r="C87" s="31"/>
      <c r="D87" s="31"/>
      <c r="E87" s="31"/>
      <c r="F87" s="31"/>
      <c r="G87" s="31"/>
      <c r="H87" s="31"/>
      <c r="I87" s="31"/>
      <c r="J87" s="31"/>
      <c r="K87"/>
      <c r="L87"/>
      <c r="M87"/>
      <c r="N87"/>
      <c r="O87"/>
      <c r="P87"/>
      <c r="Q87"/>
      <c r="R87"/>
      <c r="S87"/>
      <c r="T87"/>
      <c r="U87"/>
    </row>
    <row r="88" spans="2:21" ht="15" customHeight="1">
      <c r="B88" s="31"/>
      <c r="C88" s="31"/>
      <c r="D88" s="31"/>
      <c r="E88" s="31"/>
      <c r="F88" s="31"/>
      <c r="G88" s="31"/>
      <c r="H88" s="31"/>
      <c r="I88" s="31"/>
      <c r="J88" s="31"/>
      <c r="K88"/>
      <c r="L88"/>
      <c r="M88"/>
      <c r="N88"/>
      <c r="O88"/>
      <c r="P88"/>
      <c r="Q88"/>
      <c r="R88"/>
      <c r="S88"/>
      <c r="T88"/>
      <c r="U88"/>
    </row>
    <row r="89" spans="2:21" ht="15" customHeight="1">
      <c r="B89" s="31"/>
      <c r="C89" s="31"/>
      <c r="D89" s="31"/>
      <c r="E89" s="31"/>
      <c r="F89" s="31"/>
      <c r="G89" s="31"/>
      <c r="H89" s="31"/>
      <c r="I89" s="31"/>
      <c r="J89" s="31"/>
      <c r="K89"/>
      <c r="L89"/>
      <c r="M89"/>
      <c r="N89"/>
      <c r="O89"/>
      <c r="P89"/>
      <c r="Q89"/>
      <c r="R89"/>
      <c r="S89"/>
      <c r="T89"/>
      <c r="U89"/>
    </row>
    <row r="90" spans="2:21" ht="15" customHeight="1">
      <c r="B90" s="31"/>
      <c r="C90" s="31"/>
      <c r="D90" s="31"/>
      <c r="E90" s="31"/>
      <c r="F90" s="31"/>
      <c r="G90" s="31"/>
      <c r="H90" s="31"/>
      <c r="I90" s="31"/>
      <c r="J90" s="31"/>
    </row>
    <row r="91" spans="2:21" ht="15" customHeight="1">
      <c r="B91" s="31"/>
      <c r="C91" s="31"/>
      <c r="D91" s="31"/>
      <c r="E91" s="31"/>
      <c r="F91" s="31"/>
      <c r="G91" s="31"/>
      <c r="H91" s="31"/>
      <c r="I91" s="31"/>
      <c r="J91" s="31"/>
    </row>
    <row r="92" spans="2:21" ht="15" customHeight="1">
      <c r="B92" s="31"/>
      <c r="C92" s="31"/>
      <c r="D92" s="31"/>
      <c r="E92" s="31"/>
      <c r="F92" s="31"/>
      <c r="G92" s="31"/>
      <c r="H92" s="31"/>
      <c r="I92" s="31"/>
      <c r="J92" s="31"/>
    </row>
    <row r="93" spans="2:21" ht="15" customHeight="1">
      <c r="B93" s="31"/>
      <c r="C93" s="31"/>
      <c r="D93" s="31"/>
      <c r="E93" s="31"/>
      <c r="F93" s="31"/>
      <c r="G93" s="31"/>
      <c r="H93" s="31"/>
      <c r="I93" s="31"/>
      <c r="J93" s="31"/>
    </row>
    <row r="94" spans="2:21" ht="15" customHeight="1">
      <c r="B94" s="31"/>
      <c r="C94" s="31"/>
      <c r="D94" s="31"/>
      <c r="E94" s="31"/>
      <c r="F94" s="31"/>
      <c r="G94" s="31"/>
      <c r="H94" s="31"/>
      <c r="I94" s="31"/>
      <c r="J94" s="31"/>
    </row>
    <row r="95" spans="2:21" ht="15" customHeight="1">
      <c r="B95" s="31"/>
      <c r="C95" s="31"/>
      <c r="D95" s="31"/>
      <c r="E95" s="31"/>
      <c r="F95" s="31"/>
      <c r="G95" s="31"/>
      <c r="H95" s="31"/>
      <c r="I95" s="31"/>
      <c r="J95" s="31"/>
    </row>
    <row r="96" spans="2:21"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row r="102" spans="2:10" ht="15" customHeight="1">
      <c r="B102" s="31"/>
      <c r="C102" s="31"/>
      <c r="D102" s="31"/>
      <c r="E102" s="31"/>
      <c r="F102" s="31"/>
      <c r="G102" s="31"/>
      <c r="H102" s="31"/>
      <c r="I102" s="31"/>
      <c r="J102" s="31"/>
    </row>
    <row r="103" spans="2:10" ht="15" customHeight="1">
      <c r="B103" s="31"/>
      <c r="C103" s="31"/>
      <c r="D103" s="31"/>
      <c r="E103" s="31"/>
      <c r="F103" s="31"/>
      <c r="G103" s="31"/>
      <c r="H103" s="31"/>
      <c r="I103" s="31"/>
      <c r="J103" s="31"/>
    </row>
    <row r="104" spans="2:10" ht="15" customHeight="1">
      <c r="B104" s="31"/>
      <c r="C104" s="31"/>
      <c r="D104" s="31"/>
      <c r="E104" s="31"/>
      <c r="F104" s="31"/>
      <c r="G104" s="31"/>
      <c r="H104" s="31"/>
      <c r="I104" s="31"/>
      <c r="J104" s="31"/>
    </row>
    <row r="105" spans="2:10" ht="15" customHeight="1">
      <c r="B105" s="31"/>
      <c r="C105" s="31"/>
      <c r="D105" s="31"/>
      <c r="E105" s="31"/>
      <c r="F105" s="31"/>
      <c r="G105" s="31"/>
      <c r="H105" s="31"/>
      <c r="I105" s="31"/>
      <c r="J105" s="31"/>
    </row>
    <row r="106" spans="2:10" ht="15" customHeight="1">
      <c r="B106" s="31"/>
      <c r="C106" s="31"/>
      <c r="D106" s="31"/>
      <c r="E106" s="31"/>
      <c r="F106" s="31"/>
      <c r="G106" s="31"/>
      <c r="H106" s="31"/>
      <c r="I106" s="31"/>
      <c r="J106" s="31"/>
    </row>
    <row r="107" spans="2:10" ht="15" customHeight="1">
      <c r="B107" s="31"/>
      <c r="C107" s="31"/>
      <c r="D107" s="31"/>
      <c r="E107" s="31"/>
      <c r="F107" s="31"/>
      <c r="G107" s="31"/>
      <c r="H107" s="31"/>
      <c r="I107" s="31"/>
      <c r="J107" s="31"/>
    </row>
    <row r="108" spans="2:10" ht="15" customHeight="1">
      <c r="B108" s="31"/>
      <c r="C108" s="31"/>
      <c r="D108" s="31"/>
      <c r="E108" s="31"/>
      <c r="F108" s="31"/>
      <c r="G108" s="31"/>
      <c r="H108" s="31"/>
      <c r="I108" s="31"/>
      <c r="J108" s="31"/>
    </row>
    <row r="109" spans="2:10" ht="15" customHeight="1">
      <c r="B109" s="31"/>
      <c r="C109" s="31"/>
      <c r="D109" s="31"/>
      <c r="E109" s="31"/>
      <c r="F109" s="31"/>
      <c r="G109" s="31"/>
      <c r="H109" s="31"/>
      <c r="I109" s="31"/>
      <c r="J109" s="31"/>
    </row>
    <row r="110" spans="2:10" ht="15" customHeight="1">
      <c r="B110" s="31"/>
      <c r="C110" s="31"/>
      <c r="D110" s="31"/>
      <c r="E110" s="31"/>
      <c r="F110" s="31"/>
      <c r="G110" s="31"/>
      <c r="H110" s="31"/>
      <c r="I110" s="31"/>
      <c r="J110" s="31"/>
    </row>
    <row r="111" spans="2:10" ht="15" customHeight="1">
      <c r="B111" s="31"/>
      <c r="C111" s="31"/>
      <c r="D111" s="31"/>
      <c r="E111" s="31"/>
      <c r="F111" s="31"/>
      <c r="G111" s="31"/>
      <c r="H111" s="31"/>
      <c r="I111" s="31"/>
      <c r="J111" s="31"/>
    </row>
    <row r="112" spans="2:10" ht="15" customHeight="1">
      <c r="B112" s="31"/>
      <c r="C112" s="31"/>
      <c r="D112" s="31"/>
      <c r="E112" s="31"/>
      <c r="F112" s="31"/>
      <c r="G112" s="31"/>
      <c r="H112" s="31"/>
      <c r="I112" s="31"/>
      <c r="J112" s="31"/>
    </row>
    <row r="113" spans="2:10" ht="15" customHeight="1">
      <c r="B113" s="31"/>
      <c r="C113" s="31"/>
      <c r="D113" s="31"/>
      <c r="E113" s="31"/>
      <c r="F113" s="31"/>
      <c r="G113" s="31"/>
      <c r="H113" s="31"/>
      <c r="I113" s="31"/>
      <c r="J113" s="31"/>
    </row>
    <row r="114" spans="2:10" ht="15" customHeight="1">
      <c r="B114" s="31"/>
      <c r="C114" s="31"/>
      <c r="D114" s="31"/>
      <c r="E114" s="31"/>
      <c r="F114" s="31"/>
      <c r="G114" s="31"/>
      <c r="H114" s="31"/>
      <c r="I114" s="31"/>
      <c r="J114" s="31"/>
    </row>
    <row r="115" spans="2:10" ht="15" customHeight="1">
      <c r="B115" s="31"/>
      <c r="C115" s="31"/>
      <c r="D115" s="31"/>
      <c r="E115" s="31"/>
      <c r="F115" s="31"/>
      <c r="G115" s="31"/>
      <c r="H115" s="31"/>
      <c r="I115" s="31"/>
      <c r="J115" s="31"/>
    </row>
    <row r="116" spans="2:10" ht="15" customHeight="1">
      <c r="B116" s="31"/>
      <c r="C116" s="31"/>
      <c r="D116" s="31"/>
      <c r="E116" s="31"/>
      <c r="F116" s="31"/>
      <c r="G116" s="31"/>
      <c r="H116" s="31"/>
      <c r="I116" s="31"/>
      <c r="J116" s="31"/>
    </row>
    <row r="117" spans="2:10" ht="15" customHeight="1">
      <c r="B117" s="31"/>
      <c r="C117" s="31"/>
      <c r="D117" s="31"/>
      <c r="E117" s="31"/>
      <c r="F117" s="31"/>
      <c r="G117" s="31"/>
      <c r="H117" s="31"/>
      <c r="I117" s="31"/>
      <c r="J117" s="31"/>
    </row>
    <row r="118" spans="2:10" ht="15" customHeight="1">
      <c r="B118" s="31"/>
      <c r="C118" s="31"/>
      <c r="D118" s="31"/>
      <c r="E118" s="31"/>
      <c r="F118" s="31"/>
      <c r="G118" s="31"/>
      <c r="H118" s="31"/>
      <c r="I118" s="31"/>
      <c r="J118" s="31"/>
    </row>
    <row r="119" spans="2:10" ht="15" customHeight="1">
      <c r="B119" s="31"/>
      <c r="C119" s="31"/>
      <c r="D119" s="31"/>
      <c r="E119" s="31"/>
      <c r="F119" s="31"/>
      <c r="G119" s="31"/>
      <c r="H119" s="31"/>
      <c r="I119" s="31"/>
      <c r="J119" s="31"/>
    </row>
    <row r="120" spans="2:10" ht="15" customHeight="1">
      <c r="B120" s="31"/>
      <c r="C120" s="31"/>
      <c r="D120" s="31"/>
      <c r="E120" s="31"/>
      <c r="F120" s="31"/>
      <c r="G120" s="31"/>
      <c r="H120" s="31"/>
      <c r="I120" s="31"/>
      <c r="J120" s="31"/>
    </row>
    <row r="121" spans="2:10" ht="15" customHeight="1">
      <c r="B121" s="31"/>
      <c r="C121" s="31"/>
      <c r="D121" s="31"/>
      <c r="E121" s="31"/>
      <c r="F121" s="31"/>
      <c r="G121" s="31"/>
      <c r="H121" s="31"/>
      <c r="I121" s="31"/>
      <c r="J121" s="31"/>
    </row>
    <row r="122" spans="2:10" ht="15" customHeight="1">
      <c r="B122" s="31"/>
      <c r="C122" s="31"/>
      <c r="D122" s="31"/>
      <c r="E122" s="31"/>
      <c r="F122" s="31"/>
      <c r="G122" s="31"/>
      <c r="H122" s="31"/>
      <c r="I122" s="31"/>
      <c r="J122" s="31"/>
    </row>
    <row r="123" spans="2:10" ht="15" customHeight="1">
      <c r="B123" s="31"/>
      <c r="C123" s="31"/>
      <c r="D123" s="31"/>
      <c r="E123" s="31"/>
      <c r="F123" s="31"/>
      <c r="G123" s="31"/>
      <c r="H123" s="31"/>
      <c r="I123" s="31"/>
      <c r="J123" s="31"/>
    </row>
    <row r="124" spans="2:10" ht="15" customHeight="1">
      <c r="B124" s="31"/>
      <c r="C124" s="31"/>
      <c r="D124" s="31"/>
      <c r="E124" s="31"/>
      <c r="F124" s="31"/>
      <c r="G124" s="31"/>
      <c r="H124" s="31"/>
      <c r="I124" s="31"/>
      <c r="J124" s="31"/>
    </row>
    <row r="125" spans="2:10" ht="15" customHeight="1">
      <c r="B125" s="31"/>
      <c r="C125" s="31"/>
      <c r="D125" s="31"/>
      <c r="E125" s="31"/>
      <c r="F125" s="31"/>
      <c r="G125" s="31"/>
      <c r="H125" s="31"/>
      <c r="I125" s="31"/>
      <c r="J125" s="31"/>
    </row>
    <row r="126" spans="2:10" ht="15" customHeight="1">
      <c r="B126" s="31"/>
      <c r="C126" s="31"/>
      <c r="D126" s="31"/>
      <c r="E126" s="31"/>
      <c r="F126" s="31"/>
      <c r="G126" s="31"/>
      <c r="H126" s="31"/>
      <c r="I126" s="31"/>
      <c r="J126" s="31"/>
    </row>
    <row r="127" spans="2:10" ht="15" customHeight="1">
      <c r="B127" s="31"/>
      <c r="C127" s="31"/>
      <c r="D127" s="31"/>
      <c r="E127" s="31"/>
      <c r="F127" s="31"/>
      <c r="G127" s="31"/>
      <c r="H127" s="31"/>
      <c r="I127" s="31"/>
      <c r="J127" s="31"/>
    </row>
    <row r="128" spans="2:10" ht="15" customHeight="1">
      <c r="B128" s="31"/>
      <c r="C128" s="31"/>
      <c r="D128" s="31"/>
      <c r="E128" s="31"/>
      <c r="F128" s="31"/>
      <c r="G128" s="31"/>
      <c r="H128" s="31"/>
      <c r="I128" s="31"/>
      <c r="J128" s="31"/>
    </row>
    <row r="129" spans="2:10" ht="15" customHeight="1">
      <c r="B129" s="31"/>
      <c r="C129" s="31"/>
      <c r="D129" s="31"/>
      <c r="E129" s="31"/>
      <c r="F129" s="31"/>
      <c r="G129" s="31"/>
      <c r="H129" s="31"/>
      <c r="I129" s="31"/>
      <c r="J129" s="31"/>
    </row>
    <row r="130" spans="2:10" ht="15" customHeight="1">
      <c r="B130" s="31"/>
      <c r="C130" s="31"/>
      <c r="D130" s="31"/>
      <c r="E130" s="31"/>
      <c r="F130" s="31"/>
      <c r="G130" s="31"/>
      <c r="H130" s="31"/>
      <c r="I130" s="31"/>
      <c r="J130" s="31"/>
    </row>
    <row r="131" spans="2:10" ht="15" customHeight="1">
      <c r="B131" s="31"/>
      <c r="C131" s="31"/>
      <c r="D131" s="31"/>
      <c r="E131" s="31"/>
      <c r="F131" s="31"/>
      <c r="G131" s="31"/>
      <c r="H131" s="31"/>
      <c r="I131" s="31"/>
      <c r="J131" s="31"/>
    </row>
    <row r="132" spans="2:10" ht="15" customHeight="1">
      <c r="B132" s="31"/>
      <c r="C132" s="31"/>
      <c r="D132" s="31"/>
      <c r="E132" s="31"/>
      <c r="F132" s="31"/>
      <c r="G132" s="31"/>
      <c r="H132" s="31"/>
      <c r="I132" s="31"/>
      <c r="J132" s="31"/>
    </row>
    <row r="133" spans="2:10" ht="15" customHeight="1">
      <c r="B133" s="31"/>
      <c r="C133" s="31"/>
      <c r="D133" s="31"/>
      <c r="E133" s="31"/>
      <c r="F133" s="31"/>
      <c r="G133" s="31"/>
      <c r="H133" s="31"/>
      <c r="I133" s="31"/>
      <c r="J133" s="31"/>
    </row>
    <row r="134" spans="2:10" ht="15" customHeight="1">
      <c r="B134" s="31"/>
      <c r="C134" s="31"/>
      <c r="D134" s="31"/>
      <c r="E134" s="31"/>
      <c r="F134" s="31"/>
      <c r="G134" s="31"/>
      <c r="H134" s="31"/>
      <c r="I134" s="31"/>
      <c r="J134" s="31"/>
    </row>
    <row r="135" spans="2:10" ht="15" customHeight="1">
      <c r="B135" s="31"/>
      <c r="C135" s="31"/>
      <c r="D135" s="31"/>
      <c r="E135" s="31"/>
      <c r="F135" s="31"/>
      <c r="G135" s="31"/>
      <c r="H135" s="31"/>
      <c r="I135" s="31"/>
      <c r="J135" s="31"/>
    </row>
    <row r="136" spans="2:10" ht="15" customHeight="1">
      <c r="B136" s="31"/>
      <c r="C136" s="31"/>
      <c r="D136" s="31"/>
      <c r="E136" s="31"/>
      <c r="F136" s="31"/>
      <c r="G136" s="31"/>
      <c r="H136" s="31"/>
      <c r="I136" s="31"/>
      <c r="J136" s="31"/>
    </row>
    <row r="137" spans="2:10" ht="15" customHeight="1">
      <c r="B137" s="31"/>
      <c r="C137" s="31"/>
      <c r="D137" s="31"/>
      <c r="E137" s="31"/>
      <c r="F137" s="31"/>
      <c r="G137" s="31"/>
      <c r="H137" s="31"/>
      <c r="I137" s="31"/>
      <c r="J137" s="31"/>
    </row>
    <row r="138" spans="2:10" ht="15" customHeight="1">
      <c r="B138" s="31"/>
      <c r="C138" s="31"/>
      <c r="D138" s="31"/>
      <c r="E138" s="31"/>
      <c r="F138" s="31"/>
      <c r="G138" s="31"/>
      <c r="H138" s="31"/>
      <c r="I138" s="31"/>
      <c r="J138" s="31"/>
    </row>
    <row r="139" spans="2:10" ht="15" customHeight="1">
      <c r="B139" s="31"/>
      <c r="C139" s="31"/>
      <c r="D139" s="31"/>
      <c r="E139" s="31"/>
      <c r="F139" s="31"/>
      <c r="G139" s="31"/>
      <c r="H139" s="31"/>
      <c r="I139" s="31"/>
      <c r="J139" s="31"/>
    </row>
    <row r="140" spans="2:10" ht="15" customHeight="1">
      <c r="B140" s="31"/>
      <c r="C140" s="31"/>
      <c r="D140" s="31"/>
      <c r="E140" s="31"/>
      <c r="F140" s="31"/>
      <c r="G140" s="31"/>
      <c r="H140" s="31"/>
      <c r="I140" s="31"/>
      <c r="J140" s="31"/>
    </row>
  </sheetData>
  <mergeCells count="1">
    <mergeCell ref="H1:I1"/>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O109"/>
  <sheetViews>
    <sheetView workbookViewId="0"/>
  </sheetViews>
  <sheetFormatPr defaultColWidth="9.140625" defaultRowHeight="15"/>
  <cols>
    <col min="1" max="1" width="9.140625" style="21"/>
    <col min="2" max="2" width="16" style="21" customWidth="1"/>
    <col min="3" max="12" width="8.7109375" style="21" customWidth="1"/>
    <col min="13" max="14" width="11.140625" style="21" customWidth="1"/>
    <col min="15" max="16384" width="9.140625" style="21"/>
  </cols>
  <sheetData>
    <row r="1" spans="1:27">
      <c r="A1" s="7">
        <v>29</v>
      </c>
      <c r="B1" s="27" t="s">
        <v>12</v>
      </c>
      <c r="C1" s="20"/>
      <c r="D1" s="20"/>
      <c r="E1" s="20"/>
      <c r="F1" s="20"/>
      <c r="G1" s="20"/>
      <c r="H1" s="20"/>
      <c r="I1" s="20"/>
      <c r="J1" s="20"/>
      <c r="K1" s="20"/>
      <c r="L1" s="20"/>
      <c r="M1" s="886" t="s">
        <v>24</v>
      </c>
      <c r="N1" s="887"/>
      <c r="P1" s="1" t="s">
        <v>33</v>
      </c>
      <c r="Q1" s="52" t="str">
        <f>VLOOKUP(A1,'Point Grid'!$L$8:$T$54,9,FALSE)</f>
        <v>Reserving - Chap 16: ALAE</v>
      </c>
      <c r="R1"/>
      <c r="S1"/>
      <c r="T1"/>
      <c r="U1"/>
      <c r="V1"/>
      <c r="W1"/>
      <c r="X1"/>
      <c r="Y1"/>
      <c r="Z1"/>
    </row>
    <row r="2" spans="1:27">
      <c r="A2" s="22"/>
      <c r="B2" s="19"/>
      <c r="C2" s="19"/>
      <c r="D2" s="19"/>
      <c r="E2" s="19"/>
      <c r="F2" s="19"/>
      <c r="G2" s="19"/>
      <c r="H2" s="19"/>
      <c r="I2" s="19"/>
      <c r="J2" s="19"/>
      <c r="K2" s="19"/>
      <c r="L2" s="19"/>
      <c r="M2" s="19"/>
      <c r="N2" s="23"/>
      <c r="P2" s="1"/>
      <c r="Q2"/>
      <c r="R2"/>
      <c r="S2"/>
      <c r="T2"/>
      <c r="U2"/>
      <c r="V2"/>
      <c r="W2"/>
      <c r="X2"/>
      <c r="Y2"/>
      <c r="Z2"/>
    </row>
    <row r="3" spans="1:27">
      <c r="A3" s="8" t="s">
        <v>13</v>
      </c>
      <c r="B3" s="17"/>
      <c r="C3" s="17"/>
      <c r="D3" s="17"/>
      <c r="E3" s="17"/>
      <c r="F3" s="17"/>
      <c r="G3" s="17"/>
      <c r="H3" s="17"/>
      <c r="I3" s="17"/>
      <c r="J3" s="17"/>
      <c r="K3" s="17"/>
      <c r="L3" s="17"/>
      <c r="M3" s="17"/>
      <c r="N3" s="18"/>
      <c r="O3" s="31"/>
      <c r="P3" s="48" t="s">
        <v>2</v>
      </c>
      <c r="Q3" s="156" t="s">
        <v>600</v>
      </c>
      <c r="R3" t="s">
        <v>601</v>
      </c>
      <c r="S3" s="37"/>
      <c r="T3" s="37"/>
      <c r="U3" s="37"/>
      <c r="V3" s="37"/>
      <c r="W3" s="37"/>
      <c r="X3" s="37"/>
      <c r="Y3" s="37"/>
      <c r="Z3" s="37"/>
      <c r="AA3" s="37"/>
    </row>
    <row r="4" spans="1:27">
      <c r="A4" s="9">
        <f>INDEX('Point Grid'!B:B,MATCH(A1,'Point Grid'!A:A,0))</f>
        <v>2</v>
      </c>
      <c r="B4" s="17"/>
      <c r="C4" s="17"/>
      <c r="D4" s="17"/>
      <c r="E4" s="17"/>
      <c r="F4" s="17"/>
      <c r="G4" s="17"/>
      <c r="H4" s="17"/>
      <c r="I4" s="17"/>
      <c r="J4" s="17"/>
      <c r="K4" s="17"/>
      <c r="L4" s="17"/>
      <c r="M4" s="17"/>
      <c r="N4" s="18"/>
      <c r="O4" s="31"/>
      <c r="P4" s="48"/>
      <c r="Q4" s="37"/>
      <c r="R4" s="37"/>
      <c r="S4" s="37"/>
      <c r="T4" s="37"/>
      <c r="U4" s="37"/>
      <c r="V4" s="37"/>
      <c r="W4" s="37"/>
      <c r="X4" s="37"/>
      <c r="Y4" s="37"/>
      <c r="Z4" s="37"/>
      <c r="AA4" s="37"/>
    </row>
    <row r="5" spans="1:27">
      <c r="A5" s="16"/>
      <c r="B5" s="17"/>
      <c r="C5" s="17"/>
      <c r="D5" s="17"/>
      <c r="E5" s="17"/>
      <c r="F5" s="17"/>
      <c r="G5" s="17"/>
      <c r="H5" s="17"/>
      <c r="I5" s="17"/>
      <c r="J5" s="17"/>
      <c r="K5" s="17"/>
      <c r="L5" s="17"/>
      <c r="M5" s="17"/>
      <c r="N5" s="18"/>
      <c r="O5" s="31"/>
      <c r="P5" s="48"/>
      <c r="Q5" s="37"/>
      <c r="R5" s="447" t="s">
        <v>89</v>
      </c>
      <c r="S5" s="72">
        <v>12</v>
      </c>
      <c r="T5" s="72">
        <v>24</v>
      </c>
      <c r="U5" s="72">
        <v>36</v>
      </c>
      <c r="V5" s="72">
        <v>48</v>
      </c>
      <c r="W5" s="225"/>
      <c r="X5"/>
      <c r="Y5"/>
      <c r="Z5" s="121"/>
      <c r="AA5" s="121"/>
    </row>
    <row r="6" spans="1:27">
      <c r="A6" s="25" t="s">
        <v>2</v>
      </c>
      <c r="B6" s="699" t="s">
        <v>602</v>
      </c>
      <c r="C6" s="711" t="s">
        <v>909</v>
      </c>
      <c r="D6" s="712"/>
      <c r="E6" s="698" t="s">
        <v>603</v>
      </c>
      <c r="F6" s="698"/>
      <c r="G6" s="698"/>
      <c r="H6" s="713" t="s">
        <v>412</v>
      </c>
      <c r="I6" s="699" t="s">
        <v>604</v>
      </c>
      <c r="J6" s="698" t="s">
        <v>394</v>
      </c>
      <c r="K6" s="713">
        <v>2024</v>
      </c>
      <c r="L6" s="71"/>
      <c r="M6" s="17"/>
      <c r="N6" s="18"/>
      <c r="O6" s="31"/>
      <c r="P6" s="48"/>
      <c r="Q6" s="37"/>
      <c r="R6" s="663">
        <f>R7-1</f>
        <v>2021</v>
      </c>
      <c r="S6" s="664">
        <f>ROUND(I11/C11,4)</f>
        <v>2.81E-2</v>
      </c>
      <c r="T6" s="664">
        <f>ROUND(J11/D11,4)</f>
        <v>3.39E-2</v>
      </c>
      <c r="U6" s="664">
        <f>ROUND(K11/E11,4)</f>
        <v>3.5000000000000003E-2</v>
      </c>
      <c r="V6" s="665">
        <f>ROUND(L11/F11,4)</f>
        <v>3.6499999999999998E-2</v>
      </c>
      <c r="W6"/>
      <c r="X6"/>
      <c r="Y6"/>
      <c r="Z6" s="121"/>
      <c r="AA6" s="121"/>
    </row>
    <row r="7" spans="1:27" ht="15.75" thickBot="1">
      <c r="A7" s="9">
        <f>INDEX('Point Grid'!$C$8:$I$54,MATCH($A$1,'Point Grid'!$A$8:$A$54,0),MATCH(A6,'Point Grid'!$C$7:$I$7,0))</f>
        <v>2</v>
      </c>
      <c r="B7" s="71"/>
      <c r="C7" s="71"/>
      <c r="D7" s="71"/>
      <c r="E7" s="71"/>
      <c r="F7" s="71"/>
      <c r="G7" s="71"/>
      <c r="H7" s="71"/>
      <c r="I7" s="71"/>
      <c r="J7" s="71"/>
      <c r="K7" s="71"/>
      <c r="L7" s="71"/>
      <c r="M7" s="17"/>
      <c r="N7" s="18"/>
      <c r="O7" s="31"/>
      <c r="P7" s="48"/>
      <c r="Q7" s="37"/>
      <c r="R7" s="663">
        <f>R8-1</f>
        <v>2022</v>
      </c>
      <c r="S7" s="664">
        <f>ROUND(I12/C12,4)</f>
        <v>0.03</v>
      </c>
      <c r="T7" s="664">
        <f>ROUND(J12/D12,4)</f>
        <v>4.5999999999999999E-2</v>
      </c>
      <c r="U7" s="665">
        <f>ROUND(K12/E12,4)</f>
        <v>4.53E-2</v>
      </c>
      <c r="V7" s="664"/>
      <c r="W7"/>
      <c r="X7"/>
      <c r="Y7"/>
      <c r="Z7"/>
      <c r="AA7" s="121"/>
    </row>
    <row r="8" spans="1:27" ht="15.75" thickBot="1">
      <c r="A8" s="5"/>
      <c r="B8" s="209" t="s">
        <v>605</v>
      </c>
      <c r="C8" s="71"/>
      <c r="D8" s="71"/>
      <c r="E8" s="71"/>
      <c r="F8" s="71"/>
      <c r="G8" s="71"/>
      <c r="H8" s="209" t="s">
        <v>606</v>
      </c>
      <c r="I8" s="71"/>
      <c r="J8" s="71"/>
      <c r="K8" s="71"/>
      <c r="L8" s="71"/>
      <c r="M8" s="28"/>
      <c r="N8" s="18"/>
      <c r="O8" s="31"/>
      <c r="P8"/>
      <c r="Q8" s="37"/>
      <c r="R8" s="663">
        <f>R9-1</f>
        <v>2023</v>
      </c>
      <c r="S8" s="664">
        <f>ROUND(I13/C13,4)</f>
        <v>2.6100000000000002E-2</v>
      </c>
      <c r="T8" s="665">
        <f>ROUND(J13/D13,4)</f>
        <v>3.3300000000000003E-2</v>
      </c>
      <c r="U8" s="664"/>
      <c r="V8" s="664"/>
      <c r="W8"/>
      <c r="X8"/>
      <c r="Y8"/>
      <c r="Z8"/>
      <c r="AA8" s="121"/>
    </row>
    <row r="9" spans="1:27">
      <c r="A9" s="25"/>
      <c r="B9" s="71"/>
      <c r="C9" s="71"/>
      <c r="D9" s="71"/>
      <c r="E9" s="71"/>
      <c r="F9" s="71"/>
      <c r="G9" s="71"/>
      <c r="H9" s="71"/>
      <c r="I9" s="71"/>
      <c r="J9" s="71"/>
      <c r="K9" s="71"/>
      <c r="L9" s="71"/>
      <c r="M9" s="17"/>
      <c r="N9" s="18"/>
      <c r="O9" s="31"/>
      <c r="P9" s="48"/>
      <c r="Q9" s="37"/>
      <c r="R9" s="663">
        <f>B14</f>
        <v>2024</v>
      </c>
      <c r="S9" s="665">
        <f>ROUND(I14/C14,4)</f>
        <v>2.8000000000000001E-2</v>
      </c>
      <c r="T9" s="664"/>
      <c r="U9" s="664"/>
      <c r="V9" s="664"/>
      <c r="W9" s="37"/>
      <c r="X9" s="37"/>
      <c r="Y9" s="37"/>
      <c r="Z9"/>
      <c r="AA9" s="37"/>
    </row>
    <row r="10" spans="1:27">
      <c r="A10" s="25"/>
      <c r="B10" s="700" t="s">
        <v>89</v>
      </c>
      <c r="C10" s="341">
        <v>12</v>
      </c>
      <c r="D10" s="341">
        <v>24</v>
      </c>
      <c r="E10" s="341">
        <v>36</v>
      </c>
      <c r="F10" s="341">
        <v>48</v>
      </c>
      <c r="G10" s="71"/>
      <c r="H10" s="700" t="s">
        <v>89</v>
      </c>
      <c r="I10" s="341">
        <v>12</v>
      </c>
      <c r="J10" s="341">
        <v>24</v>
      </c>
      <c r="K10" s="341">
        <v>36</v>
      </c>
      <c r="L10" s="341">
        <v>48</v>
      </c>
      <c r="M10" s="17"/>
      <c r="N10" s="18"/>
      <c r="O10" s="31"/>
      <c r="P10" s="48"/>
      <c r="Q10" s="37"/>
      <c r="R10" s="37"/>
      <c r="S10" s="37"/>
      <c r="T10" s="37"/>
      <c r="U10" s="37"/>
      <c r="V10" s="37"/>
      <c r="W10" s="37"/>
      <c r="X10" s="37"/>
      <c r="Y10" s="37"/>
      <c r="Z10"/>
      <c r="AA10" s="37"/>
    </row>
    <row r="11" spans="1:27">
      <c r="A11" s="25"/>
      <c r="B11" s="701">
        <v>2021</v>
      </c>
      <c r="C11" s="702">
        <v>7200</v>
      </c>
      <c r="D11" s="702">
        <v>23800</v>
      </c>
      <c r="E11" s="702">
        <v>35700</v>
      </c>
      <c r="F11" s="702">
        <v>38500</v>
      </c>
      <c r="G11" s="71"/>
      <c r="H11" s="701">
        <v>2021</v>
      </c>
      <c r="I11" s="702">
        <v>202</v>
      </c>
      <c r="J11" s="702">
        <v>806</v>
      </c>
      <c r="K11" s="702">
        <v>1251</v>
      </c>
      <c r="L11" s="702">
        <v>1404</v>
      </c>
      <c r="M11" s="17"/>
      <c r="N11" s="18"/>
      <c r="O11" s="31"/>
      <c r="P11" s="48"/>
      <c r="Q11" s="156" t="s">
        <v>607</v>
      </c>
      <c r="R11" s="37" t="s">
        <v>608</v>
      </c>
      <c r="S11" s="37"/>
      <c r="T11" s="37"/>
      <c r="U11" s="37"/>
      <c r="V11" s="37"/>
      <c r="W11" s="37"/>
      <c r="X11" s="37"/>
      <c r="Y11" s="37"/>
      <c r="Z11"/>
      <c r="AA11" s="37"/>
    </row>
    <row r="12" spans="1:27">
      <c r="A12" s="25"/>
      <c r="B12" s="701">
        <v>2022</v>
      </c>
      <c r="C12" s="702">
        <v>5800</v>
      </c>
      <c r="D12" s="702">
        <v>16200</v>
      </c>
      <c r="E12" s="702">
        <v>25000</v>
      </c>
      <c r="F12" s="71"/>
      <c r="G12" s="71"/>
      <c r="H12" s="701">
        <v>2022</v>
      </c>
      <c r="I12" s="702">
        <v>174</v>
      </c>
      <c r="J12" s="702">
        <v>745</v>
      </c>
      <c r="K12" s="702">
        <v>1132</v>
      </c>
      <c r="L12" s="702"/>
      <c r="M12" s="17"/>
      <c r="N12" s="18"/>
      <c r="O12" s="31"/>
      <c r="P12" s="48"/>
      <c r="Q12" s="37"/>
      <c r="R12" s="37"/>
      <c r="S12" s="37"/>
      <c r="T12" s="37"/>
      <c r="U12" s="37"/>
      <c r="V12" s="37"/>
      <c r="W12" s="37"/>
      <c r="X12" s="37"/>
      <c r="Y12" s="37"/>
      <c r="Z12"/>
      <c r="AA12" s="37"/>
    </row>
    <row r="13" spans="1:27">
      <c r="A13" s="25"/>
      <c r="B13" s="701">
        <v>2023</v>
      </c>
      <c r="C13" s="702">
        <v>7600</v>
      </c>
      <c r="D13" s="702">
        <v>23700</v>
      </c>
      <c r="E13" s="71"/>
      <c r="F13" s="71"/>
      <c r="G13" s="71"/>
      <c r="H13" s="701">
        <v>2023</v>
      </c>
      <c r="I13" s="702">
        <v>198</v>
      </c>
      <c r="J13" s="702">
        <v>790</v>
      </c>
      <c r="K13" s="702"/>
      <c r="L13" s="702"/>
      <c r="M13" s="17"/>
      <c r="N13" s="18"/>
      <c r="O13" s="31"/>
      <c r="P13" s="48"/>
      <c r="Q13" s="37"/>
      <c r="R13" s="447" t="s">
        <v>89</v>
      </c>
      <c r="S13" s="72" t="str">
        <f>S5&amp;"-"&amp;T5</f>
        <v>12-24</v>
      </c>
      <c r="T13" s="72" t="str">
        <f>T5&amp;"-"&amp;U5</f>
        <v>24-36</v>
      </c>
      <c r="U13" s="72" t="str">
        <f>U5&amp;"-"&amp;V5</f>
        <v>36-48</v>
      </c>
      <c r="V13" s="72" t="str">
        <f>V5&amp;"-"&amp;G10</f>
        <v>48-</v>
      </c>
      <c r="W13" s="225"/>
      <c r="X13" s="666"/>
      <c r="Y13"/>
      <c r="Z13"/>
      <c r="AA13"/>
    </row>
    <row r="14" spans="1:27">
      <c r="A14" s="25"/>
      <c r="B14" s="701">
        <v>2024</v>
      </c>
      <c r="C14" s="702">
        <v>8100</v>
      </c>
      <c r="D14" s="71"/>
      <c r="E14" s="71"/>
      <c r="F14" s="71"/>
      <c r="G14" s="71"/>
      <c r="H14" s="701">
        <v>2024</v>
      </c>
      <c r="I14" s="702">
        <v>227</v>
      </c>
      <c r="J14" s="702"/>
      <c r="K14" s="702"/>
      <c r="L14" s="702"/>
      <c r="M14" s="17"/>
      <c r="N14" s="18"/>
      <c r="O14" s="31"/>
      <c r="P14" s="48"/>
      <c r="Q14" s="37"/>
      <c r="R14" s="663">
        <f>R6</f>
        <v>2021</v>
      </c>
      <c r="S14" s="667">
        <f>ROUND(IF(C6="additive",T6-S6,T6/S6),4)</f>
        <v>1.2063999999999999</v>
      </c>
      <c r="T14" s="667">
        <f>ROUND(IF(C6="additive",U6-T6,U6/T6),4)</f>
        <v>1.0324</v>
      </c>
      <c r="U14" s="667">
        <f>ROUND(IF(C6="additive",V6-U6,V6/U6),4)</f>
        <v>1.0428999999999999</v>
      </c>
      <c r="V14" s="668"/>
      <c r="W14" s="52" t="s">
        <v>609</v>
      </c>
      <c r="X14" s="515" t="str">
        <f>IF(C6="additive","ADDITIVE ", "MULTIPLICATIVE ") &amp; "development"</f>
        <v>MULTIPLICATIVE development</v>
      </c>
      <c r="Y14"/>
      <c r="Z14"/>
      <c r="AA14"/>
    </row>
    <row r="15" spans="1:27">
      <c r="A15" s="25"/>
      <c r="B15" s="71"/>
      <c r="C15" s="71"/>
      <c r="D15" s="71"/>
      <c r="E15" s="71"/>
      <c r="F15" s="71"/>
      <c r="G15" s="71"/>
      <c r="H15" s="71"/>
      <c r="I15" s="71"/>
      <c r="J15" s="71"/>
      <c r="K15" s="71"/>
      <c r="L15" s="71"/>
      <c r="M15" s="17"/>
      <c r="N15" s="18"/>
      <c r="O15" s="31"/>
      <c r="P15" s="48"/>
      <c r="Q15" s="37"/>
      <c r="R15" s="663">
        <f>R7</f>
        <v>2022</v>
      </c>
      <c r="S15" s="667">
        <f>ROUND(IF(C6="additive",T7-S7,T7/S7),4)</f>
        <v>1.5333000000000001</v>
      </c>
      <c r="T15" s="667">
        <f>ROUND(IF(C6="additive",U7-T7,U7/T7),4)</f>
        <v>0.98480000000000001</v>
      </c>
      <c r="U15" s="669"/>
      <c r="V15" s="668"/>
      <c r="W15" s="37"/>
      <c r="X15"/>
      <c r="Y15"/>
      <c r="Z15"/>
      <c r="AA15"/>
    </row>
    <row r="16" spans="1:27">
      <c r="A16" s="25"/>
      <c r="B16" s="209" t="s">
        <v>610</v>
      </c>
      <c r="C16" s="71"/>
      <c r="D16" s="71"/>
      <c r="E16" s="71"/>
      <c r="F16" s="71"/>
      <c r="G16" s="71"/>
      <c r="H16" s="71"/>
      <c r="I16" s="703"/>
      <c r="J16" s="459"/>
      <c r="K16" s="459"/>
      <c r="L16" s="459"/>
      <c r="M16" s="17"/>
      <c r="N16" s="18"/>
      <c r="O16" s="31"/>
      <c r="P16" s="48"/>
      <c r="Q16" s="37"/>
      <c r="R16" s="663">
        <f>R8</f>
        <v>2023</v>
      </c>
      <c r="S16" s="667">
        <f>ROUND(IF(C6="additive",T8-S8,T8/S8),4)</f>
        <v>1.2759</v>
      </c>
      <c r="T16" s="667"/>
      <c r="U16" s="669"/>
      <c r="V16" s="668"/>
      <c r="W16" s="37"/>
      <c r="X16"/>
      <c r="Y16"/>
      <c r="Z16"/>
      <c r="AA16"/>
    </row>
    <row r="17" spans="1:27">
      <c r="A17" s="25"/>
      <c r="B17" s="71"/>
      <c r="C17" s="71"/>
      <c r="D17" s="71"/>
      <c r="E17" s="71"/>
      <c r="F17" s="71"/>
      <c r="G17" s="71"/>
      <c r="H17" s="71"/>
      <c r="I17" s="703"/>
      <c r="J17" s="459"/>
      <c r="K17" s="71"/>
      <c r="L17" s="71"/>
      <c r="M17" s="17"/>
      <c r="N17" s="18"/>
      <c r="O17" s="31"/>
      <c r="P17" s="48"/>
      <c r="Q17" s="37"/>
      <c r="R17" s="663">
        <f>B14</f>
        <v>2024</v>
      </c>
      <c r="S17" s="668"/>
      <c r="T17" s="668"/>
      <c r="U17" s="668"/>
      <c r="V17" s="668"/>
      <c r="W17" s="37"/>
      <c r="X17"/>
      <c r="Y17"/>
      <c r="Z17"/>
      <c r="AA17"/>
    </row>
    <row r="18" spans="1:27">
      <c r="A18" s="25"/>
      <c r="B18" s="700" t="s">
        <v>89</v>
      </c>
      <c r="C18" s="704" t="s">
        <v>611</v>
      </c>
      <c r="D18" s="340"/>
      <c r="E18" s="705"/>
      <c r="F18" s="71"/>
      <c r="G18" s="71"/>
      <c r="H18" s="71"/>
      <c r="I18" s="703"/>
      <c r="J18" s="71"/>
      <c r="K18" s="71"/>
      <c r="L18" s="71"/>
      <c r="M18" s="17"/>
      <c r="N18" s="18"/>
      <c r="O18" s="31"/>
      <c r="P18" s="48"/>
      <c r="Q18" s="37"/>
      <c r="R18" s="670" t="s">
        <v>362</v>
      </c>
      <c r="S18" s="671">
        <f>ROUND(AVERAGE(S14:S16),4)</f>
        <v>1.3385</v>
      </c>
      <c r="T18" s="672">
        <f>ROUND(AVERAGE(T14:T16),4)</f>
        <v>1.0085999999999999</v>
      </c>
      <c r="U18" s="672">
        <f>ROUND(AVERAGE(U14:U16),4)</f>
        <v>1.0428999999999999</v>
      </c>
      <c r="V18" s="673">
        <f>IF(C6="additive",0,1)</f>
        <v>1</v>
      </c>
      <c r="W18" s="52" t="s">
        <v>609</v>
      </c>
      <c r="X18" s="52" t="s">
        <v>612</v>
      </c>
      <c r="Y18"/>
      <c r="Z18"/>
      <c r="AA18"/>
    </row>
    <row r="19" spans="1:27">
      <c r="A19" s="25"/>
      <c r="B19" s="701">
        <v>2021</v>
      </c>
      <c r="C19" s="706">
        <v>38500</v>
      </c>
      <c r="D19" s="71"/>
      <c r="E19" s="705"/>
      <c r="F19" s="189"/>
      <c r="G19" s="71"/>
      <c r="H19" s="71"/>
      <c r="I19" s="703"/>
      <c r="J19" s="71"/>
      <c r="K19" s="71"/>
      <c r="L19" s="71"/>
      <c r="M19" s="17"/>
      <c r="N19" s="18"/>
      <c r="O19" s="31"/>
      <c r="P19" s="48"/>
      <c r="Q19" s="37"/>
      <c r="R19" s="663" t="s">
        <v>613</v>
      </c>
      <c r="S19" s="674">
        <f>ROUND(IF(C6="additive",S18+T19,S18*T19),4)</f>
        <v>1.4079999999999999</v>
      </c>
      <c r="T19" s="674">
        <f>ROUND(IF(C6="additive",T18+U19,T18*U19),4)</f>
        <v>1.0519000000000001</v>
      </c>
      <c r="U19" s="674">
        <f>ROUND(IF(C6="additive",U18+V19,U18*V19),4)</f>
        <v>1.0428999999999999</v>
      </c>
      <c r="V19" s="674">
        <f>V18</f>
        <v>1</v>
      </c>
      <c r="W19" s="52" t="s">
        <v>609</v>
      </c>
      <c r="X19" s="515" t="str">
        <f>IF(C6="additive","ADDITIVE:  selected + (previous cum)", "MULTIPLICATIVE:  selected x (previous cum)")</f>
        <v>MULTIPLICATIVE:  selected x (previous cum)</v>
      </c>
      <c r="Y19"/>
      <c r="Z19"/>
      <c r="AA19"/>
    </row>
    <row r="20" spans="1:27">
      <c r="A20" s="25"/>
      <c r="B20" s="701">
        <v>2022</v>
      </c>
      <c r="C20" s="706">
        <v>26961</v>
      </c>
      <c r="D20" s="71"/>
      <c r="E20" s="705"/>
      <c r="F20" s="189"/>
      <c r="G20" s="71"/>
      <c r="H20" s="71"/>
      <c r="I20" s="71"/>
      <c r="J20" s="71"/>
      <c r="K20" s="71"/>
      <c r="L20" s="71"/>
      <c r="M20" s="17"/>
      <c r="N20" s="18"/>
      <c r="O20" s="31"/>
      <c r="P20" s="48"/>
      <c r="Q20" s="37"/>
      <c r="R20" s="503" t="s">
        <v>614</v>
      </c>
      <c r="S20" s="675">
        <f>ROUND(IF(C6="additive",S9+S19,S9*S19),4)</f>
        <v>3.9399999999999998E-2</v>
      </c>
      <c r="T20" s="676">
        <f>ROUND(IF(C6="additive",T8+T19,T8*T19),4)</f>
        <v>3.5000000000000003E-2</v>
      </c>
      <c r="U20" s="676">
        <f>ROUND(IF(C6="additive",U7+U19,U7*U19),4)</f>
        <v>4.7199999999999999E-2</v>
      </c>
      <c r="V20" s="676">
        <f>ROUND(IF(C6="additive",V6+V19,V6*V19),4)</f>
        <v>3.6499999999999998E-2</v>
      </c>
      <c r="W20" s="677" t="s">
        <v>609</v>
      </c>
      <c r="X20" s="503" t="str">
        <f>IF(C6="additive","ADDITIVE:  cum + (latest diagonal from Step 1)","MULTIPLICATIVE:  cum x (latest diagonal from Step 1)")</f>
        <v>MULTIPLICATIVE:  cum x (latest diagonal from Step 1)</v>
      </c>
      <c r="Y20" s="503"/>
      <c r="Z20" s="503"/>
      <c r="AA20" s="503"/>
    </row>
    <row r="21" spans="1:27">
      <c r="A21" s="25"/>
      <c r="B21" s="701">
        <v>2023</v>
      </c>
      <c r="C21" s="706">
        <v>38890</v>
      </c>
      <c r="D21" s="71"/>
      <c r="E21" s="71"/>
      <c r="F21" s="189"/>
      <c r="G21" s="71"/>
      <c r="H21" s="71"/>
      <c r="I21" s="71"/>
      <c r="J21" s="71"/>
      <c r="K21" s="71"/>
      <c r="L21" s="71"/>
      <c r="M21" s="17"/>
      <c r="N21" s="18"/>
      <c r="O21" s="31"/>
      <c r="P21" s="48"/>
      <c r="Q21" s="37"/>
      <c r="R21" s="37"/>
      <c r="S21" s="37"/>
      <c r="T21" s="37"/>
      <c r="U21"/>
      <c r="V21"/>
      <c r="W21"/>
      <c r="X21"/>
      <c r="Y21"/>
      <c r="Z21"/>
      <c r="AA21"/>
    </row>
    <row r="22" spans="1:27">
      <c r="A22" s="25"/>
      <c r="B22" s="701">
        <v>2024</v>
      </c>
      <c r="C22" s="706">
        <v>40837</v>
      </c>
      <c r="D22" s="71"/>
      <c r="E22" s="71"/>
      <c r="F22" s="189"/>
      <c r="G22" s="71"/>
      <c r="H22" s="71"/>
      <c r="I22" s="71"/>
      <c r="J22" s="71"/>
      <c r="K22" s="71"/>
      <c r="L22" s="71"/>
      <c r="M22" s="17"/>
      <c r="N22" s="18"/>
      <c r="O22" s="31"/>
      <c r="P22" s="48"/>
      <c r="Q22" s="37"/>
      <c r="R22" s="678" t="s">
        <v>89</v>
      </c>
      <c r="S22" s="381">
        <f>B22</f>
        <v>2024</v>
      </c>
      <c r="T22" s="381">
        <f>B21</f>
        <v>2023</v>
      </c>
      <c r="U22" s="381">
        <f>B20</f>
        <v>2022</v>
      </c>
      <c r="V22" s="382">
        <f>B19</f>
        <v>2021</v>
      </c>
      <c r="W22" s="679" t="s">
        <v>615</v>
      </c>
      <c r="X22" s="37" t="s">
        <v>616</v>
      </c>
      <c r="Y22" s="37"/>
      <c r="Z22" s="37"/>
      <c r="AA22" s="37"/>
    </row>
    <row r="23" spans="1:27">
      <c r="A23" s="25"/>
      <c r="B23" s="189"/>
      <c r="C23" s="189"/>
      <c r="D23" s="71"/>
      <c r="E23" s="71"/>
      <c r="F23" s="189"/>
      <c r="G23" s="71"/>
      <c r="H23" s="71"/>
      <c r="I23" s="294"/>
      <c r="J23" s="294"/>
      <c r="K23" s="71"/>
      <c r="L23" s="71"/>
      <c r="M23" s="17"/>
      <c r="N23" s="18"/>
      <c r="O23" s="31"/>
      <c r="P23" s="48"/>
      <c r="Q23" s="37"/>
      <c r="R23" s="680" t="s">
        <v>611</v>
      </c>
      <c r="S23" s="681">
        <f>C22</f>
        <v>40837</v>
      </c>
      <c r="T23" s="681">
        <f>C21</f>
        <v>38890</v>
      </c>
      <c r="U23" s="681">
        <f>C20</f>
        <v>26961</v>
      </c>
      <c r="V23" s="682">
        <f>C19</f>
        <v>38500</v>
      </c>
      <c r="W23" s="37"/>
      <c r="X23" s="683" t="s">
        <v>618</v>
      </c>
      <c r="Y23" s="37"/>
      <c r="Z23" s="37"/>
      <c r="AA23" s="37"/>
    </row>
    <row r="24" spans="1:27">
      <c r="A24" s="25"/>
      <c r="B24" s="707" t="s">
        <v>617</v>
      </c>
      <c r="C24" s="708"/>
      <c r="D24" s="708"/>
      <c r="E24" s="708"/>
      <c r="F24" s="708"/>
      <c r="G24" s="708"/>
      <c r="H24" s="708"/>
      <c r="I24" s="709"/>
      <c r="J24" s="710"/>
      <c r="K24" s="189"/>
      <c r="L24" s="71"/>
      <c r="M24" s="17"/>
      <c r="N24" s="18"/>
      <c r="O24" s="31"/>
      <c r="P24" s="48"/>
      <c r="Q24" s="37"/>
      <c r="R24" s="684" t="s">
        <v>619</v>
      </c>
      <c r="S24" s="118">
        <f>I14</f>
        <v>227</v>
      </c>
      <c r="T24" s="118">
        <f>J13</f>
        <v>790</v>
      </c>
      <c r="U24" s="118">
        <f>K12</f>
        <v>1132</v>
      </c>
      <c r="V24" s="252">
        <f>L11</f>
        <v>1404</v>
      </c>
      <c r="W24" s="37"/>
      <c r="X24" s="37"/>
      <c r="Y24" s="37"/>
      <c r="Z24" s="37"/>
      <c r="AA24" s="37"/>
    </row>
    <row r="25" spans="1:27">
      <c r="A25" s="25"/>
      <c r="B25" s="17"/>
      <c r="C25" s="17"/>
      <c r="D25" s="17"/>
      <c r="E25" s="17"/>
      <c r="F25" s="17"/>
      <c r="G25" s="17"/>
      <c r="H25" s="17"/>
      <c r="I25" s="17"/>
      <c r="J25" s="17"/>
      <c r="K25" s="17"/>
      <c r="L25" s="17"/>
      <c r="M25" s="17"/>
      <c r="N25" s="18"/>
      <c r="O25" s="31"/>
      <c r="P25" s="48"/>
      <c r="Q25" s="37"/>
      <c r="R25" s="37"/>
      <c r="S25" s="37"/>
      <c r="T25" s="37"/>
      <c r="U25" s="37"/>
      <c r="V25" s="37"/>
      <c r="W25" s="37"/>
      <c r="X25" s="37"/>
      <c r="Y25" s="37"/>
      <c r="Z25" s="37"/>
      <c r="AA25"/>
    </row>
    <row r="26" spans="1:27" ht="15.75" thickBot="1">
      <c r="A26" s="24"/>
      <c r="B26" s="32"/>
      <c r="C26" s="32"/>
      <c r="D26" s="32"/>
      <c r="E26" s="32"/>
      <c r="F26" s="32"/>
      <c r="G26" s="32"/>
      <c r="H26" s="32"/>
      <c r="I26" s="32"/>
      <c r="J26" s="32"/>
      <c r="K26" s="32"/>
      <c r="L26" s="32"/>
      <c r="M26" s="32"/>
      <c r="N26" s="33"/>
      <c r="O26" s="31"/>
      <c r="P26" s="48"/>
      <c r="Q26" s="156" t="s">
        <v>620</v>
      </c>
      <c r="R26" s="685" t="s">
        <v>621</v>
      </c>
      <c r="S26" s="329"/>
      <c r="T26" s="686" t="s">
        <v>34</v>
      </c>
      <c r="U26" s="517" t="s">
        <v>622</v>
      </c>
      <c r="V26" s="515"/>
      <c r="W26" s="687" t="s">
        <v>227</v>
      </c>
      <c r="X26" s="515" t="s">
        <v>623</v>
      </c>
      <c r="Y26"/>
      <c r="Z26"/>
      <c r="AA26"/>
    </row>
    <row r="27" spans="1:27">
      <c r="O27" s="31"/>
      <c r="P27" s="48"/>
      <c r="Q27" s="37"/>
      <c r="R27" s="688" t="s">
        <v>624</v>
      </c>
      <c r="S27" s="688"/>
      <c r="T27" s="689" t="s">
        <v>34</v>
      </c>
      <c r="U27" s="329" t="s">
        <v>625</v>
      </c>
      <c r="V27"/>
      <c r="W27" s="516" t="s">
        <v>119</v>
      </c>
      <c r="X27" s="517" t="s">
        <v>626</v>
      </c>
      <c r="Y27"/>
      <c r="Z27"/>
      <c r="AA27" s="121"/>
    </row>
    <row r="28" spans="1:27">
      <c r="O28" s="31"/>
      <c r="P28" s="48"/>
      <c r="Q28" s="37"/>
      <c r="R28" s="37"/>
      <c r="S28" s="37"/>
      <c r="T28" s="37"/>
      <c r="U28" s="37"/>
      <c r="V28" s="37"/>
      <c r="W28" s="37"/>
      <c r="X28" s="37"/>
      <c r="Y28"/>
      <c r="Z28" s="121"/>
      <c r="AA28" s="121"/>
    </row>
    <row r="29" spans="1:27">
      <c r="O29" s="31"/>
      <c r="P29" s="48"/>
      <c r="Q29" s="37"/>
      <c r="R29" s="447" t="s">
        <v>89</v>
      </c>
      <c r="S29" s="690" t="s">
        <v>627</v>
      </c>
      <c r="T29" s="691" t="s">
        <v>628</v>
      </c>
      <c r="U29" s="37"/>
      <c r="V29"/>
      <c r="W29" s="37"/>
      <c r="X29" s="37"/>
      <c r="Y29"/>
      <c r="Z29" s="121"/>
      <c r="AA29" s="121"/>
    </row>
    <row r="30" spans="1:27">
      <c r="B30" s="31"/>
      <c r="C30" s="31"/>
      <c r="D30" s="31"/>
      <c r="E30" s="31"/>
      <c r="F30" s="31"/>
      <c r="G30" s="31"/>
      <c r="H30" s="31"/>
      <c r="I30" s="31"/>
      <c r="J30" s="31"/>
      <c r="K30" s="31"/>
      <c r="L30" s="31"/>
      <c r="M30" s="31"/>
      <c r="N30" s="31"/>
      <c r="O30" s="31"/>
      <c r="P30" s="48"/>
      <c r="Q30" s="37"/>
      <c r="R30" s="663">
        <f>B19</f>
        <v>2021</v>
      </c>
      <c r="S30" s="692">
        <f>V20*C19</f>
        <v>1405.25</v>
      </c>
      <c r="T30" s="693">
        <f>S30-L11</f>
        <v>1.25</v>
      </c>
      <c r="U30" s="37"/>
      <c r="V30"/>
      <c r="W30" s="37"/>
      <c r="X30" s="37"/>
      <c r="Y30"/>
      <c r="Z30" s="121"/>
      <c r="AA30" s="121"/>
    </row>
    <row r="31" spans="1:27">
      <c r="O31" s="31"/>
      <c r="P31" s="48"/>
      <c r="Q31" s="37"/>
      <c r="R31" s="663">
        <f>B20</f>
        <v>2022</v>
      </c>
      <c r="S31" s="692">
        <f>U20*C20</f>
        <v>1272.5591999999999</v>
      </c>
      <c r="T31" s="693">
        <f>S31-K12</f>
        <v>140.55919999999992</v>
      </c>
      <c r="U31" s="37"/>
      <c r="V31"/>
      <c r="W31" s="37"/>
      <c r="X31" s="37"/>
      <c r="Y31" s="121"/>
      <c r="Z31" s="121"/>
      <c r="AA31" s="121"/>
    </row>
    <row r="32" spans="1:27">
      <c r="O32" s="31"/>
      <c r="P32" s="48"/>
      <c r="Q32" s="37"/>
      <c r="R32" s="663">
        <f>B21</f>
        <v>2023</v>
      </c>
      <c r="S32" s="692">
        <f>T20*C21</f>
        <v>1361.15</v>
      </c>
      <c r="T32" s="693">
        <f>S32-J13</f>
        <v>571.15000000000009</v>
      </c>
      <c r="U32" s="37"/>
      <c r="V32" s="121"/>
      <c r="W32" s="37"/>
      <c r="X32" s="37"/>
      <c r="Y32" s="121"/>
      <c r="Z32" s="121"/>
      <c r="AA32" s="121"/>
    </row>
    <row r="33" spans="15:41">
      <c r="O33" s="31"/>
      <c r="P33" s="48"/>
      <c r="Q33" s="37"/>
      <c r="R33" s="447">
        <f>B14</f>
        <v>2024</v>
      </c>
      <c r="S33" s="694">
        <f>S20*C22</f>
        <v>1608.9777999999999</v>
      </c>
      <c r="T33" s="695">
        <f>S33-I14</f>
        <v>1381.9777999999999</v>
      </c>
      <c r="U33" s="37"/>
      <c r="V33" s="121"/>
      <c r="W33" s="37"/>
      <c r="X33" s="37"/>
      <c r="Y33" s="121"/>
      <c r="Z33" s="121"/>
      <c r="AA33" s="37"/>
    </row>
    <row r="34" spans="15:41">
      <c r="O34" s="31"/>
      <c r="P34" s="48"/>
      <c r="Q34" s="121"/>
      <c r="R34" s="696"/>
      <c r="S34" s="697">
        <f>SUM(S30:S33)</f>
        <v>5647.9369999999999</v>
      </c>
      <c r="T34" s="693">
        <f>SUM(T30:T33)</f>
        <v>2094.9369999999999</v>
      </c>
      <c r="U34" s="37"/>
      <c r="V34" s="121"/>
      <c r="W34" s="37"/>
      <c r="X34" s="37"/>
      <c r="Y34" s="37"/>
      <c r="Z34" s="37"/>
      <c r="AA34" s="121"/>
    </row>
    <row r="35" spans="15:41">
      <c r="O35" s="31"/>
      <c r="P35" s="48"/>
      <c r="Q35" s="37"/>
      <c r="R35" s="37"/>
      <c r="S35" s="37"/>
      <c r="T35" s="37"/>
      <c r="U35" s="37"/>
      <c r="V35" s="37"/>
      <c r="W35" s="37"/>
      <c r="X35" s="37"/>
      <c r="Y35" s="121"/>
      <c r="Z35" s="121"/>
      <c r="AA35" s="121"/>
    </row>
    <row r="36" spans="15:41">
      <c r="O36" s="31"/>
      <c r="P36" s="48"/>
      <c r="Q36" s="156" t="s">
        <v>629</v>
      </c>
      <c r="R36" s="327" t="str">
        <f>H6</f>
        <v>unpaid</v>
      </c>
      <c r="S36" s="153" t="str">
        <f>I6</f>
        <v>ALAE</v>
      </c>
      <c r="T36" s="153" t="str">
        <f>J6</f>
        <v>for AY</v>
      </c>
      <c r="U36" s="450">
        <f>K6</f>
        <v>2024</v>
      </c>
      <c r="V36" s="153" t="s">
        <v>34</v>
      </c>
      <c r="W36" s="158">
        <f>VLOOKUP(U36,R32:T33,IF(R36="ultimate",2,3),FALSE)</f>
        <v>1381.9777999999999</v>
      </c>
      <c r="X36" s="52" t="s">
        <v>609</v>
      </c>
      <c r="Y36" s="259" t="s">
        <v>630</v>
      </c>
      <c r="Z36" s="121"/>
      <c r="AA36" s="121"/>
    </row>
    <row r="37" spans="15:41">
      <c r="O37" s="31"/>
      <c r="P37" s="48"/>
    </row>
    <row r="38" spans="15:41" ht="15" customHeight="1">
      <c r="O38" s="31"/>
      <c r="P38"/>
      <c r="Q38"/>
      <c r="R38"/>
      <c r="S38"/>
      <c r="T38"/>
      <c r="U38"/>
      <c r="V38"/>
      <c r="W38"/>
      <c r="X38"/>
      <c r="Y38"/>
      <c r="Z38"/>
      <c r="AA38"/>
      <c r="AB38"/>
      <c r="AC38"/>
      <c r="AD38"/>
      <c r="AE38"/>
      <c r="AF38"/>
      <c r="AG38"/>
      <c r="AH38"/>
      <c r="AI38"/>
      <c r="AJ38"/>
      <c r="AK38"/>
      <c r="AL38"/>
      <c r="AM38"/>
      <c r="AN38"/>
      <c r="AO38"/>
    </row>
    <row r="39" spans="15:41" ht="15" customHeight="1">
      <c r="O39" s="31"/>
      <c r="P39"/>
      <c r="Q39"/>
      <c r="R39"/>
      <c r="S39"/>
      <c r="T39"/>
      <c r="U39"/>
      <c r="V39"/>
      <c r="W39"/>
      <c r="X39"/>
      <c r="Y39"/>
      <c r="Z39"/>
      <c r="AA39"/>
      <c r="AB39"/>
      <c r="AC39"/>
      <c r="AD39"/>
      <c r="AE39"/>
      <c r="AF39"/>
      <c r="AG39"/>
      <c r="AH39"/>
      <c r="AI39"/>
      <c r="AJ39"/>
      <c r="AK39"/>
      <c r="AL39"/>
      <c r="AM39"/>
      <c r="AN39"/>
      <c r="AO39"/>
    </row>
    <row r="40" spans="15:41" ht="15" customHeight="1">
      <c r="O40" s="31"/>
      <c r="P40"/>
      <c r="Q40"/>
      <c r="R40"/>
      <c r="S40"/>
      <c r="T40"/>
      <c r="U40"/>
      <c r="V40"/>
      <c r="W40"/>
      <c r="X40"/>
      <c r="Y40"/>
      <c r="Z40"/>
      <c r="AA40"/>
      <c r="AB40"/>
      <c r="AC40"/>
      <c r="AD40"/>
      <c r="AE40"/>
      <c r="AF40"/>
      <c r="AG40"/>
      <c r="AH40"/>
      <c r="AI40"/>
      <c r="AJ40"/>
      <c r="AK40"/>
      <c r="AL40"/>
      <c r="AM40"/>
      <c r="AN40"/>
      <c r="AO40"/>
    </row>
    <row r="41" spans="15:41" ht="15" customHeight="1">
      <c r="O41" s="31"/>
      <c r="P41" s="48"/>
      <c r="Q41"/>
      <c r="R41"/>
      <c r="S41"/>
      <c r="T41"/>
      <c r="U41"/>
      <c r="V41"/>
      <c r="W41"/>
      <c r="X41"/>
      <c r="Y41"/>
      <c r="Z41"/>
      <c r="AA41"/>
      <c r="AB41"/>
      <c r="AC41"/>
      <c r="AD41"/>
      <c r="AE41"/>
      <c r="AF41"/>
      <c r="AG41"/>
      <c r="AH41"/>
      <c r="AI41"/>
      <c r="AJ41"/>
      <c r="AK41"/>
      <c r="AL41"/>
      <c r="AM41"/>
      <c r="AN41"/>
      <c r="AO41"/>
    </row>
    <row r="42" spans="15:41" ht="15" customHeight="1">
      <c r="O42" s="31"/>
      <c r="P42"/>
      <c r="Q42"/>
      <c r="R42"/>
      <c r="S42"/>
      <c r="T42"/>
      <c r="U42"/>
      <c r="V42"/>
      <c r="W42"/>
      <c r="X42"/>
      <c r="Y42"/>
      <c r="Z42"/>
      <c r="AA42"/>
      <c r="AB42"/>
      <c r="AC42"/>
      <c r="AD42"/>
      <c r="AE42"/>
      <c r="AF42"/>
      <c r="AG42"/>
      <c r="AH42"/>
      <c r="AI42"/>
      <c r="AJ42"/>
      <c r="AK42"/>
      <c r="AL42"/>
      <c r="AM42"/>
      <c r="AN42"/>
      <c r="AO42"/>
    </row>
    <row r="43" spans="15:41" ht="15" customHeight="1">
      <c r="O43" s="31"/>
      <c r="P43" s="48"/>
      <c r="Q43"/>
      <c r="R43"/>
      <c r="S43"/>
      <c r="T43"/>
      <c r="U43"/>
      <c r="V43"/>
      <c r="W43"/>
      <c r="X43"/>
      <c r="Y43"/>
      <c r="Z43"/>
      <c r="AA43"/>
      <c r="AB43"/>
      <c r="AC43"/>
      <c r="AD43"/>
      <c r="AE43"/>
      <c r="AF43"/>
      <c r="AG43"/>
      <c r="AH43"/>
      <c r="AI43"/>
      <c r="AJ43"/>
      <c r="AK43"/>
      <c r="AL43"/>
      <c r="AM43"/>
      <c r="AN43"/>
      <c r="AO43"/>
    </row>
    <row r="44" spans="15:41" ht="15" customHeight="1">
      <c r="O44" s="31"/>
      <c r="P44"/>
      <c r="Q44"/>
      <c r="R44"/>
      <c r="S44"/>
      <c r="T44"/>
      <c r="U44"/>
      <c r="V44"/>
      <c r="W44"/>
      <c r="X44"/>
      <c r="Y44"/>
      <c r="Z44"/>
      <c r="AA44"/>
      <c r="AB44"/>
      <c r="AC44"/>
      <c r="AD44"/>
      <c r="AE44"/>
      <c r="AF44"/>
      <c r="AG44"/>
      <c r="AH44"/>
      <c r="AI44"/>
      <c r="AJ44"/>
      <c r="AK44"/>
      <c r="AL44"/>
      <c r="AM44"/>
      <c r="AN44"/>
      <c r="AO44"/>
    </row>
    <row r="45" spans="15:41" ht="15" customHeight="1">
      <c r="O45" s="31"/>
      <c r="P45"/>
      <c r="Q45"/>
      <c r="R45"/>
      <c r="S45"/>
      <c r="T45"/>
      <c r="U45"/>
      <c r="V45"/>
      <c r="W45"/>
      <c r="X45"/>
      <c r="Y45"/>
      <c r="Z45"/>
      <c r="AA45"/>
      <c r="AB45"/>
      <c r="AC45"/>
      <c r="AD45"/>
      <c r="AE45"/>
      <c r="AF45"/>
      <c r="AG45"/>
      <c r="AH45"/>
      <c r="AI45"/>
      <c r="AJ45"/>
      <c r="AK45"/>
      <c r="AL45"/>
      <c r="AM45"/>
      <c r="AN45"/>
      <c r="AO45"/>
    </row>
    <row r="46" spans="15:41" ht="15" customHeight="1">
      <c r="O46" s="31"/>
      <c r="P46"/>
      <c r="Q46"/>
      <c r="R46"/>
      <c r="S46"/>
      <c r="T46"/>
      <c r="U46"/>
      <c r="V46"/>
      <c r="W46"/>
      <c r="X46"/>
      <c r="Y46"/>
      <c r="Z46"/>
      <c r="AA46"/>
      <c r="AB46"/>
      <c r="AC46"/>
      <c r="AD46"/>
      <c r="AE46"/>
      <c r="AF46"/>
      <c r="AG46"/>
      <c r="AH46"/>
      <c r="AI46"/>
      <c r="AJ46"/>
      <c r="AK46"/>
      <c r="AL46"/>
      <c r="AM46"/>
      <c r="AN46"/>
      <c r="AO46"/>
    </row>
    <row r="47" spans="15:41" ht="15" customHeight="1">
      <c r="O47" s="31"/>
      <c r="P47"/>
      <c r="Q47"/>
      <c r="R47"/>
      <c r="S47"/>
      <c r="T47"/>
      <c r="U47"/>
      <c r="V47"/>
      <c r="W47"/>
      <c r="X47"/>
      <c r="Y47"/>
      <c r="Z47"/>
      <c r="AA47"/>
      <c r="AB47"/>
      <c r="AC47"/>
      <c r="AD47"/>
      <c r="AE47"/>
      <c r="AF47"/>
      <c r="AG47"/>
      <c r="AH47"/>
      <c r="AI47"/>
      <c r="AJ47"/>
      <c r="AK47"/>
      <c r="AL47"/>
      <c r="AM47"/>
      <c r="AN47"/>
      <c r="AO47"/>
    </row>
    <row r="48" spans="15:41" ht="15" customHeight="1">
      <c r="O48" s="31"/>
      <c r="P48"/>
      <c r="Q48"/>
      <c r="R48"/>
      <c r="S48"/>
      <c r="T48"/>
      <c r="U48"/>
      <c r="V48"/>
      <c r="W48"/>
      <c r="X48"/>
      <c r="Y48"/>
      <c r="Z48"/>
      <c r="AA48"/>
      <c r="AB48"/>
      <c r="AC48"/>
      <c r="AD48"/>
      <c r="AE48"/>
      <c r="AF48"/>
      <c r="AG48"/>
      <c r="AH48"/>
      <c r="AI48"/>
      <c r="AJ48"/>
      <c r="AK48"/>
      <c r="AL48"/>
      <c r="AM48"/>
      <c r="AN48"/>
      <c r="AO48"/>
    </row>
    <row r="49" spans="2:41" ht="15" customHeight="1">
      <c r="O49" s="31"/>
      <c r="P49"/>
      <c r="Q49"/>
      <c r="R49"/>
      <c r="S49"/>
      <c r="T49"/>
      <c r="U49"/>
      <c r="V49"/>
      <c r="W49"/>
      <c r="X49"/>
      <c r="Y49"/>
      <c r="Z49"/>
      <c r="AA49"/>
      <c r="AB49"/>
      <c r="AC49"/>
      <c r="AD49"/>
      <c r="AE49"/>
      <c r="AF49"/>
      <c r="AG49"/>
      <c r="AH49"/>
      <c r="AI49"/>
      <c r="AJ49"/>
      <c r="AK49"/>
      <c r="AL49"/>
      <c r="AM49"/>
      <c r="AN49"/>
      <c r="AO49"/>
    </row>
    <row r="50" spans="2:41" ht="15" customHeight="1">
      <c r="O50" s="31"/>
      <c r="P50"/>
      <c r="Q50"/>
      <c r="R50"/>
      <c r="S50"/>
      <c r="T50"/>
      <c r="U50"/>
      <c r="V50"/>
      <c r="W50"/>
      <c r="X50"/>
      <c r="Y50"/>
      <c r="Z50"/>
      <c r="AA50"/>
      <c r="AB50"/>
      <c r="AC50"/>
      <c r="AD50"/>
      <c r="AE50"/>
      <c r="AF50"/>
      <c r="AG50"/>
      <c r="AH50"/>
      <c r="AI50"/>
      <c r="AJ50"/>
      <c r="AK50"/>
      <c r="AL50"/>
      <c r="AM50"/>
      <c r="AN50"/>
      <c r="AO50"/>
    </row>
    <row r="51" spans="2:41" ht="15" customHeight="1">
      <c r="O51" s="31"/>
      <c r="P51"/>
      <c r="Q51"/>
      <c r="R51"/>
      <c r="S51"/>
      <c r="T51"/>
      <c r="U51"/>
      <c r="V51"/>
      <c r="W51"/>
      <c r="X51"/>
      <c r="Y51"/>
      <c r="Z51"/>
      <c r="AA51"/>
      <c r="AB51"/>
      <c r="AC51"/>
      <c r="AD51"/>
      <c r="AE51"/>
      <c r="AF51"/>
      <c r="AG51"/>
      <c r="AH51"/>
      <c r="AI51"/>
      <c r="AJ51"/>
      <c r="AK51"/>
      <c r="AL51"/>
      <c r="AM51"/>
      <c r="AN51"/>
      <c r="AO51"/>
    </row>
    <row r="52" spans="2:41" ht="15" customHeight="1">
      <c r="O52" s="31"/>
      <c r="P52"/>
      <c r="Q52"/>
      <c r="R52"/>
      <c r="S52"/>
      <c r="T52"/>
      <c r="U52"/>
      <c r="V52"/>
      <c r="W52"/>
      <c r="X52"/>
      <c r="Y52"/>
      <c r="Z52"/>
      <c r="AA52"/>
      <c r="AB52"/>
      <c r="AC52"/>
      <c r="AD52"/>
      <c r="AE52"/>
      <c r="AF52"/>
      <c r="AG52"/>
      <c r="AH52"/>
      <c r="AI52"/>
      <c r="AJ52"/>
      <c r="AK52"/>
      <c r="AL52"/>
      <c r="AM52"/>
      <c r="AN52"/>
      <c r="AO52"/>
    </row>
    <row r="53" spans="2:41" ht="15" customHeight="1">
      <c r="O53" s="31"/>
      <c r="P53"/>
      <c r="Q53"/>
      <c r="R53"/>
      <c r="S53"/>
      <c r="T53"/>
      <c r="U53"/>
      <c r="V53"/>
      <c r="W53"/>
      <c r="X53"/>
      <c r="Y53"/>
      <c r="Z53"/>
      <c r="AA53"/>
      <c r="AB53"/>
      <c r="AC53"/>
      <c r="AD53"/>
      <c r="AE53"/>
      <c r="AF53"/>
      <c r="AG53"/>
      <c r="AH53"/>
      <c r="AI53"/>
      <c r="AJ53"/>
      <c r="AK53"/>
      <c r="AL53"/>
      <c r="AM53"/>
      <c r="AN53"/>
      <c r="AO53"/>
    </row>
    <row r="54" spans="2:41" ht="15" customHeight="1">
      <c r="B54" s="31"/>
      <c r="C54" s="31"/>
      <c r="D54" s="31"/>
      <c r="E54" s="31"/>
      <c r="F54" s="31"/>
      <c r="G54" s="31"/>
      <c r="H54" s="31"/>
      <c r="I54" s="31"/>
      <c r="J54" s="31"/>
      <c r="K54" s="31"/>
      <c r="L54" s="31"/>
      <c r="M54" s="31"/>
      <c r="N54" s="31"/>
      <c r="O54" s="31"/>
      <c r="P54"/>
      <c r="Q54"/>
      <c r="R54"/>
      <c r="S54"/>
      <c r="T54"/>
      <c r="U54"/>
      <c r="V54"/>
      <c r="W54"/>
      <c r="X54"/>
      <c r="Y54"/>
      <c r="Z54"/>
      <c r="AA54"/>
      <c r="AB54"/>
      <c r="AC54"/>
      <c r="AD54"/>
      <c r="AE54"/>
      <c r="AF54"/>
      <c r="AG54"/>
      <c r="AH54"/>
      <c r="AI54"/>
      <c r="AJ54"/>
      <c r="AK54"/>
      <c r="AL54"/>
      <c r="AM54"/>
      <c r="AN54"/>
      <c r="AO54"/>
    </row>
    <row r="55" spans="2:41" ht="15" customHeight="1">
      <c r="B55" s="31"/>
      <c r="C55" s="31"/>
      <c r="D55" s="31"/>
      <c r="E55" s="31"/>
      <c r="F55" s="31"/>
      <c r="G55" s="31"/>
      <c r="H55" s="31"/>
      <c r="I55" s="31"/>
      <c r="J55" s="31"/>
      <c r="K55" s="31"/>
      <c r="L55" s="31"/>
      <c r="M55" s="31"/>
      <c r="N55" s="31"/>
      <c r="O55" s="31"/>
      <c r="P55"/>
      <c r="Q55"/>
      <c r="R55"/>
      <c r="S55"/>
      <c r="T55"/>
      <c r="U55"/>
      <c r="V55"/>
      <c r="W55"/>
      <c r="X55"/>
      <c r="Y55"/>
      <c r="Z55"/>
      <c r="AA55"/>
      <c r="AB55"/>
      <c r="AC55"/>
      <c r="AD55"/>
      <c r="AE55"/>
      <c r="AF55"/>
      <c r="AG55"/>
      <c r="AH55"/>
      <c r="AI55"/>
      <c r="AJ55"/>
      <c r="AK55"/>
      <c r="AL55"/>
      <c r="AM55"/>
      <c r="AN55"/>
      <c r="AO55"/>
    </row>
    <row r="56" spans="2:41" ht="15" customHeight="1">
      <c r="B56" s="31"/>
      <c r="C56" s="31"/>
      <c r="D56" s="31"/>
      <c r="E56" s="31"/>
      <c r="F56" s="31"/>
      <c r="G56" s="31"/>
      <c r="H56" s="31"/>
      <c r="I56" s="31"/>
      <c r="J56" s="31"/>
      <c r="K56" s="31"/>
      <c r="L56" s="31"/>
      <c r="M56" s="31"/>
      <c r="N56" s="31"/>
      <c r="O56" s="31"/>
      <c r="P56"/>
      <c r="Q56"/>
      <c r="R56"/>
      <c r="S56"/>
      <c r="T56"/>
      <c r="U56"/>
      <c r="V56"/>
      <c r="W56"/>
      <c r="X56"/>
      <c r="Y56"/>
      <c r="Z56"/>
      <c r="AA56"/>
      <c r="AB56"/>
      <c r="AC56"/>
      <c r="AD56"/>
      <c r="AE56"/>
      <c r="AF56"/>
      <c r="AG56"/>
      <c r="AH56"/>
      <c r="AI56"/>
      <c r="AJ56"/>
      <c r="AK56"/>
      <c r="AL56"/>
      <c r="AM56"/>
      <c r="AN56"/>
      <c r="AO56"/>
    </row>
    <row r="57" spans="2:41" ht="15" customHeight="1">
      <c r="B57" s="31"/>
      <c r="C57" s="31"/>
      <c r="D57" s="31"/>
      <c r="E57" s="31"/>
      <c r="F57" s="31"/>
      <c r="G57" s="31"/>
      <c r="H57" s="31"/>
      <c r="I57" s="31"/>
      <c r="J57" s="31"/>
      <c r="K57" s="31"/>
      <c r="L57" s="31"/>
      <c r="M57" s="31"/>
      <c r="N57" s="31"/>
      <c r="O57" s="31"/>
      <c r="P57"/>
      <c r="Q57"/>
      <c r="R57"/>
      <c r="S57"/>
      <c r="T57"/>
      <c r="U57"/>
      <c r="V57"/>
      <c r="W57"/>
      <c r="X57"/>
      <c r="Y57"/>
      <c r="Z57"/>
      <c r="AA57"/>
      <c r="AB57"/>
      <c r="AC57"/>
      <c r="AD57"/>
      <c r="AE57"/>
      <c r="AF57"/>
      <c r="AG57"/>
      <c r="AH57"/>
      <c r="AI57"/>
      <c r="AJ57"/>
      <c r="AK57"/>
      <c r="AL57"/>
      <c r="AM57"/>
      <c r="AN57"/>
      <c r="AO57"/>
    </row>
    <row r="58" spans="2:41" ht="15" customHeight="1">
      <c r="B58" s="31"/>
      <c r="C58" s="31"/>
      <c r="D58" s="31"/>
      <c r="E58" s="31"/>
      <c r="F58" s="31"/>
      <c r="G58" s="31"/>
      <c r="H58" s="31"/>
      <c r="I58" s="31"/>
      <c r="J58" s="31"/>
      <c r="K58" s="31"/>
      <c r="L58" s="31"/>
      <c r="M58" s="31"/>
      <c r="N58" s="31"/>
      <c r="O58" s="31"/>
      <c r="P58"/>
      <c r="Q58"/>
      <c r="R58"/>
      <c r="S58"/>
      <c r="T58"/>
      <c r="U58"/>
      <c r="V58"/>
      <c r="W58"/>
      <c r="X58"/>
      <c r="Y58"/>
      <c r="Z58"/>
      <c r="AA58"/>
      <c r="AB58"/>
      <c r="AC58"/>
      <c r="AD58"/>
      <c r="AE58"/>
      <c r="AF58"/>
      <c r="AG58"/>
      <c r="AH58"/>
      <c r="AI58"/>
      <c r="AJ58"/>
      <c r="AK58"/>
      <c r="AL58"/>
      <c r="AM58"/>
      <c r="AN58"/>
      <c r="AO58"/>
    </row>
    <row r="59" spans="2:41" ht="15" customHeight="1">
      <c r="B59" s="31"/>
      <c r="C59" s="31"/>
      <c r="D59" s="31"/>
      <c r="E59" s="31"/>
      <c r="F59" s="31"/>
      <c r="G59" s="31"/>
      <c r="H59" s="31"/>
      <c r="I59" s="31"/>
      <c r="J59" s="31"/>
      <c r="K59" s="31"/>
      <c r="L59" s="31"/>
      <c r="M59" s="31"/>
      <c r="N59" s="31"/>
      <c r="O59" s="31"/>
      <c r="Q59"/>
      <c r="R59"/>
      <c r="S59"/>
      <c r="T59"/>
      <c r="U59"/>
      <c r="V59"/>
      <c r="W59"/>
      <c r="X59"/>
      <c r="Y59"/>
      <c r="Z59"/>
      <c r="AA59"/>
      <c r="AB59"/>
      <c r="AC59"/>
      <c r="AD59"/>
      <c r="AE59"/>
      <c r="AF59"/>
      <c r="AG59"/>
      <c r="AH59"/>
      <c r="AI59"/>
      <c r="AJ59"/>
      <c r="AK59"/>
      <c r="AL59"/>
      <c r="AM59"/>
      <c r="AN59"/>
      <c r="AO59"/>
    </row>
    <row r="60" spans="2:41" ht="15" customHeight="1">
      <c r="B60" s="31"/>
      <c r="C60" s="31"/>
      <c r="D60" s="31"/>
      <c r="E60" s="31"/>
      <c r="F60" s="31"/>
      <c r="G60" s="31"/>
      <c r="H60" s="31"/>
      <c r="I60" s="31"/>
      <c r="J60" s="31"/>
      <c r="K60" s="31"/>
      <c r="L60" s="31"/>
      <c r="M60" s="31"/>
      <c r="N60" s="31"/>
      <c r="O60" s="31"/>
      <c r="Q60"/>
      <c r="R60"/>
      <c r="S60"/>
      <c r="T60"/>
      <c r="U60"/>
      <c r="V60"/>
      <c r="W60"/>
      <c r="X60"/>
      <c r="Y60"/>
      <c r="Z60"/>
      <c r="AA60"/>
      <c r="AB60"/>
      <c r="AC60"/>
      <c r="AD60"/>
      <c r="AE60"/>
      <c r="AF60"/>
      <c r="AG60"/>
      <c r="AH60"/>
      <c r="AI60"/>
      <c r="AJ60"/>
      <c r="AK60"/>
      <c r="AL60"/>
      <c r="AM60"/>
      <c r="AN60"/>
      <c r="AO60"/>
    </row>
    <row r="61" spans="2:41" ht="15" customHeight="1">
      <c r="B61" s="31"/>
      <c r="C61" s="31"/>
      <c r="D61" s="31"/>
      <c r="E61" s="31"/>
      <c r="F61" s="31"/>
      <c r="G61" s="31"/>
      <c r="H61" s="31"/>
      <c r="I61" s="31"/>
      <c r="J61" s="31"/>
      <c r="K61" s="31"/>
      <c r="L61" s="31"/>
      <c r="M61" s="31"/>
      <c r="N61" s="31"/>
      <c r="O61" s="31"/>
      <c r="Q61"/>
      <c r="R61"/>
      <c r="S61"/>
      <c r="T61"/>
      <c r="U61"/>
      <c r="V61"/>
      <c r="W61"/>
      <c r="X61"/>
      <c r="Y61"/>
      <c r="Z61"/>
      <c r="AA61"/>
      <c r="AB61"/>
      <c r="AC61"/>
      <c r="AD61"/>
      <c r="AE61"/>
      <c r="AF61"/>
      <c r="AG61"/>
      <c r="AH61"/>
      <c r="AI61"/>
      <c r="AJ61"/>
      <c r="AK61"/>
      <c r="AL61"/>
      <c r="AM61"/>
      <c r="AN61"/>
      <c r="AO61"/>
    </row>
    <row r="62" spans="2:41" ht="15" customHeight="1">
      <c r="B62" s="31"/>
      <c r="C62" s="31"/>
      <c r="D62" s="31"/>
      <c r="E62" s="31"/>
      <c r="F62" s="31"/>
      <c r="G62" s="31"/>
      <c r="H62" s="31"/>
      <c r="I62" s="31"/>
      <c r="J62" s="31"/>
      <c r="K62" s="31"/>
      <c r="L62" s="31"/>
      <c r="M62" s="31"/>
      <c r="N62" s="31"/>
      <c r="O62" s="31"/>
      <c r="Q62"/>
      <c r="R62"/>
      <c r="S62"/>
      <c r="T62"/>
      <c r="U62"/>
      <c r="V62"/>
      <c r="W62"/>
      <c r="X62"/>
      <c r="Y62"/>
      <c r="Z62"/>
      <c r="AA62"/>
      <c r="AB62"/>
      <c r="AC62"/>
      <c r="AD62"/>
      <c r="AE62"/>
      <c r="AF62"/>
      <c r="AG62"/>
      <c r="AH62"/>
      <c r="AI62"/>
      <c r="AJ62"/>
      <c r="AK62"/>
      <c r="AL62"/>
      <c r="AM62"/>
      <c r="AN62"/>
      <c r="AO62"/>
    </row>
    <row r="63" spans="2:41" ht="15" customHeight="1">
      <c r="B63" s="31"/>
      <c r="C63" s="31"/>
      <c r="D63" s="31"/>
      <c r="E63" s="31"/>
      <c r="F63" s="31"/>
      <c r="G63" s="31"/>
      <c r="H63" s="31"/>
      <c r="I63" s="31"/>
      <c r="J63" s="31"/>
      <c r="K63" s="31"/>
      <c r="L63" s="31"/>
      <c r="M63" s="31"/>
      <c r="N63" s="31"/>
      <c r="O63" s="31"/>
      <c r="Q63"/>
      <c r="R63"/>
      <c r="S63"/>
      <c r="T63"/>
      <c r="U63"/>
      <c r="V63"/>
      <c r="W63"/>
      <c r="X63"/>
      <c r="Y63"/>
      <c r="Z63"/>
      <c r="AA63"/>
      <c r="AB63"/>
      <c r="AC63"/>
      <c r="AD63"/>
      <c r="AE63"/>
      <c r="AF63"/>
      <c r="AG63"/>
      <c r="AH63"/>
      <c r="AI63"/>
      <c r="AJ63"/>
      <c r="AK63"/>
      <c r="AL63"/>
      <c r="AM63"/>
      <c r="AN63"/>
      <c r="AO63"/>
    </row>
    <row r="64" spans="2:41" ht="15" customHeight="1">
      <c r="B64" s="31"/>
      <c r="C64" s="31"/>
      <c r="D64" s="31"/>
      <c r="E64" s="31"/>
      <c r="F64" s="31"/>
      <c r="G64" s="31"/>
      <c r="H64" s="31"/>
      <c r="I64" s="31"/>
      <c r="J64" s="31"/>
      <c r="K64" s="31"/>
      <c r="L64" s="31"/>
      <c r="M64" s="31"/>
      <c r="N64" s="31"/>
      <c r="O64" s="31"/>
      <c r="Q64"/>
      <c r="R64"/>
      <c r="S64"/>
      <c r="T64"/>
      <c r="U64"/>
      <c r="V64"/>
      <c r="W64"/>
      <c r="X64"/>
      <c r="Y64"/>
      <c r="Z64"/>
      <c r="AA64"/>
      <c r="AB64"/>
      <c r="AC64"/>
      <c r="AD64"/>
      <c r="AE64"/>
      <c r="AF64"/>
      <c r="AG64"/>
      <c r="AH64"/>
      <c r="AI64"/>
      <c r="AJ64"/>
      <c r="AK64"/>
      <c r="AL64"/>
      <c r="AM64"/>
      <c r="AN64"/>
      <c r="AO64"/>
    </row>
    <row r="65" spans="2:41" ht="15" customHeight="1">
      <c r="B65" s="31"/>
      <c r="C65" s="31"/>
      <c r="D65" s="31"/>
      <c r="E65" s="31"/>
      <c r="F65" s="31"/>
      <c r="G65" s="31"/>
      <c r="H65" s="31"/>
      <c r="I65" s="31"/>
      <c r="J65" s="31"/>
      <c r="K65" s="31"/>
      <c r="L65" s="31"/>
      <c r="M65" s="31"/>
      <c r="N65" s="31"/>
      <c r="O65" s="31"/>
      <c r="Q65"/>
      <c r="R65"/>
      <c r="S65"/>
      <c r="T65"/>
      <c r="U65"/>
      <c r="V65"/>
      <c r="W65"/>
      <c r="X65"/>
      <c r="Y65"/>
      <c r="Z65"/>
      <c r="AA65"/>
      <c r="AB65"/>
      <c r="AC65"/>
      <c r="AD65"/>
      <c r="AE65"/>
      <c r="AF65"/>
      <c r="AG65"/>
      <c r="AH65"/>
      <c r="AI65"/>
      <c r="AJ65"/>
      <c r="AK65"/>
      <c r="AL65"/>
      <c r="AM65"/>
      <c r="AN65"/>
      <c r="AO65"/>
    </row>
    <row r="66" spans="2:41" ht="15" customHeight="1">
      <c r="B66" s="31"/>
      <c r="C66" s="31"/>
      <c r="D66" s="31"/>
      <c r="E66" s="31"/>
      <c r="F66" s="31"/>
      <c r="G66" s="31"/>
      <c r="H66" s="31"/>
      <c r="I66" s="31"/>
      <c r="J66" s="31"/>
      <c r="K66" s="31"/>
      <c r="L66" s="31"/>
      <c r="M66" s="31"/>
      <c r="N66" s="31"/>
      <c r="O66" s="31"/>
      <c r="Q66"/>
      <c r="R66"/>
      <c r="S66"/>
      <c r="T66"/>
      <c r="U66"/>
      <c r="V66"/>
      <c r="W66"/>
      <c r="X66"/>
      <c r="Y66"/>
      <c r="Z66"/>
      <c r="AA66"/>
      <c r="AB66"/>
      <c r="AC66"/>
      <c r="AD66"/>
      <c r="AE66"/>
      <c r="AF66"/>
      <c r="AG66"/>
      <c r="AH66"/>
      <c r="AI66"/>
      <c r="AJ66"/>
      <c r="AK66"/>
      <c r="AL66"/>
      <c r="AM66"/>
      <c r="AN66"/>
      <c r="AO66"/>
    </row>
    <row r="67" spans="2:41" ht="15" customHeight="1">
      <c r="B67" s="31"/>
      <c r="C67" s="31"/>
      <c r="D67" s="31"/>
      <c r="E67" s="31"/>
      <c r="F67" s="31"/>
      <c r="G67" s="31"/>
      <c r="H67" s="31"/>
      <c r="I67" s="31"/>
      <c r="J67" s="31"/>
      <c r="K67" s="31"/>
      <c r="L67" s="31"/>
      <c r="M67" s="31"/>
      <c r="N67" s="31"/>
      <c r="O67" s="31"/>
      <c r="Q67"/>
      <c r="R67"/>
      <c r="S67"/>
      <c r="T67"/>
      <c r="U67"/>
      <c r="V67"/>
      <c r="W67"/>
      <c r="X67"/>
      <c r="Y67"/>
      <c r="Z67"/>
      <c r="AA67"/>
      <c r="AB67"/>
      <c r="AC67"/>
      <c r="AD67"/>
      <c r="AE67"/>
      <c r="AF67"/>
      <c r="AG67"/>
      <c r="AH67"/>
      <c r="AI67"/>
      <c r="AJ67"/>
      <c r="AK67"/>
      <c r="AL67"/>
      <c r="AM67"/>
      <c r="AN67"/>
      <c r="AO67"/>
    </row>
    <row r="68" spans="2:41" ht="15" customHeight="1">
      <c r="B68" s="31"/>
      <c r="C68" s="31"/>
      <c r="D68" s="31"/>
      <c r="E68" s="31"/>
      <c r="F68" s="31"/>
      <c r="G68" s="31"/>
      <c r="H68" s="31"/>
      <c r="I68" s="31"/>
      <c r="J68" s="31"/>
      <c r="K68" s="31"/>
      <c r="L68" s="31"/>
      <c r="M68" s="31"/>
      <c r="N68" s="31"/>
      <c r="O68" s="31"/>
      <c r="Q68"/>
      <c r="R68"/>
      <c r="S68"/>
      <c r="T68"/>
      <c r="U68"/>
      <c r="V68"/>
      <c r="W68"/>
      <c r="X68"/>
      <c r="Y68"/>
      <c r="Z68"/>
      <c r="AA68"/>
      <c r="AB68"/>
      <c r="AC68"/>
      <c r="AD68"/>
      <c r="AE68"/>
      <c r="AF68"/>
      <c r="AG68"/>
      <c r="AH68"/>
      <c r="AI68"/>
      <c r="AJ68"/>
      <c r="AK68"/>
      <c r="AL68"/>
      <c r="AM68"/>
      <c r="AN68"/>
      <c r="AO68"/>
    </row>
    <row r="69" spans="2:41" ht="15" customHeight="1">
      <c r="B69" s="31"/>
      <c r="C69" s="31"/>
      <c r="D69" s="31"/>
      <c r="E69" s="31"/>
      <c r="F69" s="31"/>
      <c r="G69" s="31"/>
      <c r="H69" s="31"/>
      <c r="I69" s="31"/>
      <c r="J69" s="31"/>
      <c r="K69" s="31"/>
      <c r="L69" s="31"/>
      <c r="M69" s="31"/>
      <c r="N69" s="31"/>
      <c r="O69" s="31"/>
      <c r="Q69"/>
      <c r="R69"/>
      <c r="S69"/>
      <c r="T69"/>
      <c r="U69"/>
      <c r="V69"/>
      <c r="W69"/>
      <c r="X69"/>
      <c r="Y69"/>
      <c r="Z69"/>
      <c r="AA69"/>
      <c r="AB69"/>
      <c r="AC69"/>
      <c r="AD69"/>
      <c r="AE69"/>
      <c r="AF69"/>
      <c r="AG69"/>
      <c r="AH69"/>
      <c r="AI69"/>
      <c r="AJ69"/>
      <c r="AK69"/>
      <c r="AL69"/>
      <c r="AM69"/>
      <c r="AN69"/>
      <c r="AO69"/>
    </row>
    <row r="70" spans="2:41" ht="15" customHeight="1">
      <c r="B70" s="31"/>
      <c r="C70" s="31"/>
      <c r="D70" s="31"/>
      <c r="E70" s="31"/>
      <c r="F70" s="31"/>
      <c r="G70" s="31"/>
      <c r="H70" s="31"/>
      <c r="I70" s="31"/>
      <c r="J70" s="31"/>
      <c r="K70" s="31"/>
      <c r="L70" s="31"/>
      <c r="M70" s="31"/>
      <c r="N70" s="31"/>
      <c r="O70" s="31"/>
      <c r="Q70"/>
      <c r="R70"/>
      <c r="S70"/>
      <c r="T70"/>
      <c r="U70"/>
      <c r="V70"/>
      <c r="W70"/>
      <c r="X70"/>
      <c r="Y70"/>
      <c r="Z70"/>
      <c r="AA70"/>
      <c r="AB70"/>
      <c r="AC70"/>
      <c r="AD70"/>
      <c r="AE70"/>
      <c r="AF70"/>
      <c r="AG70"/>
      <c r="AH70"/>
      <c r="AI70"/>
      <c r="AJ70"/>
      <c r="AK70"/>
      <c r="AL70"/>
      <c r="AM70"/>
      <c r="AN70"/>
      <c r="AO70"/>
    </row>
    <row r="71" spans="2:41" ht="15" customHeight="1">
      <c r="B71" s="31"/>
      <c r="C71" s="31"/>
      <c r="D71" s="31"/>
      <c r="E71" s="31"/>
      <c r="F71" s="31"/>
      <c r="G71" s="31"/>
      <c r="H71" s="31"/>
      <c r="I71" s="31"/>
      <c r="J71" s="31"/>
      <c r="K71" s="31"/>
      <c r="L71" s="31"/>
      <c r="M71" s="31"/>
      <c r="N71" s="31"/>
      <c r="O71" s="31"/>
      <c r="Q71"/>
      <c r="R71"/>
      <c r="S71"/>
      <c r="T71"/>
      <c r="U71"/>
      <c r="V71"/>
      <c r="W71"/>
      <c r="X71"/>
      <c r="Y71"/>
      <c r="Z71"/>
      <c r="AA71"/>
      <c r="AB71"/>
      <c r="AC71"/>
      <c r="AD71"/>
      <c r="AE71"/>
      <c r="AF71"/>
      <c r="AG71"/>
      <c r="AH71"/>
      <c r="AI71"/>
      <c r="AJ71"/>
      <c r="AK71"/>
      <c r="AL71"/>
      <c r="AM71"/>
      <c r="AN71"/>
      <c r="AO71"/>
    </row>
    <row r="72" spans="2:41" ht="15" customHeight="1">
      <c r="B72" s="31"/>
      <c r="C72" s="31"/>
      <c r="D72" s="31"/>
      <c r="E72" s="31"/>
      <c r="F72" s="31"/>
      <c r="G72" s="31"/>
      <c r="H72" s="31"/>
      <c r="I72" s="31"/>
      <c r="J72" s="31"/>
      <c r="K72" s="31"/>
      <c r="L72" s="31"/>
      <c r="M72" s="31"/>
      <c r="N72" s="31"/>
      <c r="O72" s="31"/>
      <c r="Q72"/>
      <c r="R72"/>
      <c r="S72"/>
      <c r="T72"/>
      <c r="U72"/>
      <c r="V72"/>
      <c r="W72"/>
      <c r="X72"/>
      <c r="Y72"/>
      <c r="Z72"/>
      <c r="AA72"/>
      <c r="AB72"/>
      <c r="AC72"/>
      <c r="AD72"/>
      <c r="AE72"/>
      <c r="AF72"/>
      <c r="AG72"/>
      <c r="AH72"/>
      <c r="AI72"/>
      <c r="AJ72"/>
      <c r="AK72"/>
      <c r="AL72"/>
      <c r="AM72"/>
      <c r="AN72"/>
      <c r="AO72"/>
    </row>
    <row r="73" spans="2:41" ht="15" customHeight="1">
      <c r="B73" s="31"/>
      <c r="C73" s="31"/>
      <c r="D73" s="31"/>
      <c r="E73" s="31"/>
      <c r="F73" s="31"/>
      <c r="G73" s="31"/>
      <c r="H73" s="31"/>
      <c r="I73" s="31"/>
      <c r="J73" s="31"/>
      <c r="K73" s="31"/>
      <c r="L73" s="31"/>
      <c r="M73" s="31"/>
      <c r="N73" s="31"/>
      <c r="O73" s="31"/>
      <c r="Q73"/>
      <c r="R73"/>
      <c r="S73"/>
      <c r="T73"/>
      <c r="U73"/>
      <c r="V73"/>
      <c r="W73"/>
      <c r="X73"/>
      <c r="Y73"/>
      <c r="Z73"/>
      <c r="AA73"/>
      <c r="AB73"/>
      <c r="AC73"/>
      <c r="AD73"/>
      <c r="AE73"/>
      <c r="AF73"/>
      <c r="AG73"/>
      <c r="AH73"/>
      <c r="AI73"/>
      <c r="AJ73"/>
      <c r="AK73"/>
      <c r="AL73"/>
      <c r="AM73"/>
      <c r="AN73"/>
      <c r="AO73"/>
    </row>
    <row r="74" spans="2:41" ht="15" customHeight="1">
      <c r="B74" s="31"/>
      <c r="C74" s="31"/>
      <c r="D74" s="31"/>
      <c r="E74" s="31"/>
      <c r="F74" s="31"/>
      <c r="G74" s="31"/>
      <c r="H74" s="31"/>
      <c r="I74" s="31"/>
      <c r="J74" s="31"/>
      <c r="K74" s="31"/>
      <c r="L74" s="31"/>
      <c r="M74" s="31"/>
      <c r="N74" s="31"/>
      <c r="O74" s="31"/>
      <c r="Q74"/>
      <c r="R74"/>
      <c r="S74"/>
      <c r="T74"/>
      <c r="U74"/>
      <c r="V74"/>
      <c r="W74"/>
      <c r="X74"/>
      <c r="Y74"/>
      <c r="Z74"/>
      <c r="AA74"/>
      <c r="AB74"/>
      <c r="AC74"/>
      <c r="AD74"/>
      <c r="AE74"/>
      <c r="AF74"/>
      <c r="AG74"/>
      <c r="AH74"/>
      <c r="AI74"/>
      <c r="AJ74"/>
      <c r="AK74"/>
      <c r="AL74"/>
      <c r="AM74"/>
      <c r="AN74"/>
      <c r="AO74"/>
    </row>
    <row r="75" spans="2:41" ht="15" customHeight="1">
      <c r="B75" s="31"/>
      <c r="C75" s="31"/>
      <c r="D75" s="31"/>
      <c r="E75" s="31"/>
      <c r="F75" s="31"/>
      <c r="G75" s="31"/>
      <c r="H75" s="31"/>
      <c r="I75" s="31"/>
      <c r="J75" s="31"/>
      <c r="K75" s="31"/>
      <c r="L75" s="31"/>
      <c r="M75" s="31"/>
      <c r="N75" s="31"/>
      <c r="O75" s="31"/>
      <c r="Q75"/>
      <c r="R75"/>
      <c r="S75"/>
      <c r="T75"/>
      <c r="U75"/>
      <c r="V75"/>
      <c r="W75"/>
      <c r="X75"/>
      <c r="Y75"/>
      <c r="Z75"/>
      <c r="AA75"/>
      <c r="AB75"/>
      <c r="AC75"/>
      <c r="AD75"/>
      <c r="AE75"/>
      <c r="AF75"/>
      <c r="AG75"/>
      <c r="AH75"/>
      <c r="AI75"/>
      <c r="AJ75"/>
      <c r="AK75"/>
      <c r="AL75"/>
      <c r="AM75"/>
      <c r="AN75"/>
      <c r="AO75"/>
    </row>
    <row r="76" spans="2:41" ht="15" customHeight="1">
      <c r="B76" s="31"/>
      <c r="C76" s="31"/>
      <c r="D76" s="31"/>
      <c r="E76" s="31"/>
      <c r="F76" s="31"/>
      <c r="G76" s="31"/>
      <c r="H76" s="31"/>
      <c r="I76" s="31"/>
      <c r="J76" s="31"/>
      <c r="K76" s="31"/>
      <c r="L76" s="31"/>
      <c r="M76" s="31"/>
      <c r="N76" s="31"/>
      <c r="O76" s="31"/>
      <c r="Q76"/>
      <c r="R76"/>
      <c r="S76"/>
      <c r="T76"/>
      <c r="U76"/>
      <c r="V76"/>
      <c r="W76"/>
      <c r="X76"/>
      <c r="Y76"/>
      <c r="Z76"/>
      <c r="AA76"/>
      <c r="AB76"/>
      <c r="AC76"/>
      <c r="AD76"/>
      <c r="AE76"/>
      <c r="AF76"/>
      <c r="AG76"/>
      <c r="AH76"/>
      <c r="AI76"/>
      <c r="AJ76"/>
      <c r="AK76"/>
      <c r="AL76"/>
      <c r="AM76"/>
      <c r="AN76"/>
      <c r="AO76"/>
    </row>
    <row r="77" spans="2:41" ht="15" customHeight="1">
      <c r="B77" s="31"/>
      <c r="C77" s="31"/>
      <c r="D77" s="31"/>
      <c r="E77" s="31"/>
      <c r="F77" s="31"/>
      <c r="G77" s="31"/>
      <c r="H77" s="31"/>
      <c r="I77" s="31"/>
      <c r="J77" s="31"/>
      <c r="K77" s="31"/>
      <c r="L77" s="31"/>
      <c r="M77" s="31"/>
      <c r="N77" s="31"/>
      <c r="O77" s="31"/>
      <c r="Q77"/>
      <c r="R77"/>
      <c r="S77"/>
      <c r="T77"/>
      <c r="U77"/>
      <c r="V77"/>
      <c r="W77"/>
      <c r="X77"/>
      <c r="Y77"/>
      <c r="Z77"/>
      <c r="AA77"/>
      <c r="AB77"/>
      <c r="AC77"/>
      <c r="AD77"/>
      <c r="AE77"/>
      <c r="AF77"/>
      <c r="AG77"/>
      <c r="AH77"/>
      <c r="AI77"/>
      <c r="AJ77"/>
      <c r="AK77"/>
      <c r="AL77"/>
      <c r="AM77"/>
      <c r="AN77"/>
      <c r="AO77"/>
    </row>
    <row r="78" spans="2:41" ht="15" customHeight="1">
      <c r="B78" s="31"/>
      <c r="C78" s="31"/>
      <c r="D78" s="31"/>
      <c r="E78" s="31"/>
      <c r="F78" s="31"/>
      <c r="G78" s="31"/>
      <c r="H78" s="31"/>
      <c r="I78" s="31"/>
      <c r="J78" s="31"/>
      <c r="K78" s="31"/>
      <c r="L78" s="31"/>
      <c r="M78" s="31"/>
      <c r="N78" s="31"/>
      <c r="O78" s="31"/>
      <c r="Q78"/>
      <c r="R78"/>
      <c r="S78"/>
      <c r="T78"/>
      <c r="U78"/>
      <c r="V78"/>
      <c r="W78"/>
      <c r="X78"/>
      <c r="Y78"/>
      <c r="Z78"/>
      <c r="AA78"/>
      <c r="AB78"/>
      <c r="AC78"/>
      <c r="AD78"/>
      <c r="AE78"/>
      <c r="AF78"/>
      <c r="AG78"/>
      <c r="AH78"/>
      <c r="AI78"/>
      <c r="AJ78"/>
      <c r="AK78"/>
      <c r="AL78"/>
      <c r="AM78"/>
      <c r="AN78"/>
      <c r="AO78"/>
    </row>
    <row r="79" spans="2:41" ht="15" customHeight="1">
      <c r="B79" s="31"/>
      <c r="C79" s="31"/>
      <c r="D79" s="31"/>
      <c r="E79" s="31"/>
      <c r="F79" s="31"/>
      <c r="G79" s="31"/>
      <c r="H79" s="31"/>
      <c r="I79" s="31"/>
      <c r="J79" s="31"/>
      <c r="K79" s="31"/>
      <c r="L79" s="31"/>
      <c r="M79" s="31"/>
      <c r="N79" s="31"/>
      <c r="O79" s="31"/>
      <c r="Q79"/>
      <c r="R79"/>
      <c r="S79"/>
      <c r="T79"/>
      <c r="U79"/>
      <c r="V79"/>
      <c r="W79"/>
      <c r="X79"/>
      <c r="Y79"/>
      <c r="Z79"/>
      <c r="AA79"/>
      <c r="AB79"/>
      <c r="AC79"/>
      <c r="AD79"/>
      <c r="AE79"/>
      <c r="AF79"/>
      <c r="AG79"/>
      <c r="AH79"/>
      <c r="AI79"/>
      <c r="AJ79"/>
      <c r="AK79"/>
      <c r="AL79"/>
      <c r="AM79"/>
      <c r="AN79"/>
      <c r="AO79"/>
    </row>
    <row r="80" spans="2:41" ht="15" customHeight="1">
      <c r="B80" s="31"/>
      <c r="C80" s="31"/>
      <c r="D80" s="31"/>
      <c r="E80" s="31"/>
      <c r="F80" s="31"/>
      <c r="G80" s="31"/>
      <c r="H80" s="31"/>
      <c r="I80" s="31"/>
      <c r="J80" s="31"/>
      <c r="K80" s="31"/>
      <c r="L80" s="31"/>
      <c r="M80" s="31"/>
      <c r="N80" s="31"/>
      <c r="O80" s="31"/>
      <c r="Q80"/>
      <c r="R80"/>
      <c r="S80"/>
      <c r="T80"/>
      <c r="U80"/>
      <c r="V80"/>
      <c r="W80"/>
      <c r="X80"/>
      <c r="Y80"/>
      <c r="Z80"/>
      <c r="AA80"/>
      <c r="AB80"/>
      <c r="AC80"/>
      <c r="AD80"/>
      <c r="AE80"/>
      <c r="AF80"/>
      <c r="AG80"/>
      <c r="AH80"/>
      <c r="AI80"/>
      <c r="AJ80"/>
      <c r="AK80"/>
      <c r="AL80"/>
      <c r="AM80"/>
      <c r="AN80"/>
      <c r="AO80"/>
    </row>
    <row r="81" spans="2:41" ht="15" customHeight="1">
      <c r="B81" s="31"/>
      <c r="C81" s="31"/>
      <c r="D81" s="31"/>
      <c r="E81" s="31"/>
      <c r="F81" s="31"/>
      <c r="G81" s="31"/>
      <c r="H81" s="31"/>
      <c r="I81" s="31"/>
      <c r="J81" s="31"/>
      <c r="K81" s="31"/>
      <c r="L81" s="31"/>
      <c r="M81" s="31"/>
      <c r="N81" s="31"/>
      <c r="O81" s="31"/>
      <c r="Q81"/>
      <c r="R81"/>
      <c r="S81"/>
      <c r="T81"/>
      <c r="U81"/>
      <c r="V81"/>
      <c r="W81"/>
      <c r="X81"/>
      <c r="Y81"/>
      <c r="Z81"/>
      <c r="AA81"/>
      <c r="AB81"/>
      <c r="AC81"/>
      <c r="AD81"/>
      <c r="AE81"/>
      <c r="AF81"/>
      <c r="AG81"/>
      <c r="AH81"/>
      <c r="AI81"/>
      <c r="AJ81"/>
      <c r="AK81"/>
      <c r="AL81"/>
      <c r="AM81"/>
      <c r="AN81"/>
      <c r="AO81"/>
    </row>
    <row r="82" spans="2:41" ht="15" customHeight="1">
      <c r="B82" s="31"/>
      <c r="C82" s="31"/>
      <c r="D82" s="31"/>
      <c r="E82" s="31"/>
      <c r="F82" s="31"/>
      <c r="G82" s="31"/>
      <c r="H82" s="31"/>
      <c r="I82" s="31"/>
      <c r="J82" s="31"/>
      <c r="K82" s="31"/>
      <c r="L82" s="31"/>
      <c r="M82" s="31"/>
      <c r="N82" s="31"/>
      <c r="O82" s="31"/>
      <c r="Q82"/>
      <c r="R82"/>
      <c r="S82"/>
      <c r="T82"/>
      <c r="U82"/>
      <c r="V82"/>
      <c r="W82"/>
      <c r="X82"/>
      <c r="Y82"/>
      <c r="Z82"/>
      <c r="AA82"/>
      <c r="AB82"/>
      <c r="AC82"/>
      <c r="AD82"/>
      <c r="AE82"/>
      <c r="AF82"/>
      <c r="AG82"/>
      <c r="AH82"/>
      <c r="AI82"/>
      <c r="AJ82"/>
      <c r="AK82"/>
      <c r="AL82"/>
      <c r="AM82"/>
      <c r="AN82"/>
      <c r="AO82"/>
    </row>
    <row r="83" spans="2:41" ht="15" customHeight="1">
      <c r="B83" s="31"/>
      <c r="C83" s="31"/>
      <c r="D83" s="31"/>
      <c r="E83" s="31"/>
      <c r="F83" s="31"/>
      <c r="G83" s="31"/>
      <c r="H83" s="31"/>
      <c r="I83" s="31"/>
      <c r="J83" s="31"/>
      <c r="K83" s="31"/>
      <c r="L83" s="31"/>
      <c r="M83" s="31"/>
      <c r="N83" s="31"/>
      <c r="O83" s="31"/>
      <c r="Q83"/>
      <c r="R83"/>
      <c r="S83"/>
      <c r="T83"/>
      <c r="U83"/>
      <c r="V83"/>
      <c r="W83"/>
      <c r="X83"/>
      <c r="Y83"/>
      <c r="Z83"/>
      <c r="AA83"/>
      <c r="AB83"/>
      <c r="AC83"/>
      <c r="AD83"/>
      <c r="AE83"/>
      <c r="AF83"/>
      <c r="AG83"/>
      <c r="AH83"/>
      <c r="AI83"/>
      <c r="AJ83"/>
      <c r="AK83"/>
      <c r="AL83"/>
      <c r="AM83"/>
      <c r="AN83"/>
      <c r="AO83"/>
    </row>
    <row r="84" spans="2:41" ht="15" customHeight="1">
      <c r="B84" s="31"/>
      <c r="C84" s="31"/>
      <c r="D84" s="31"/>
      <c r="E84" s="31"/>
      <c r="F84" s="31"/>
      <c r="G84" s="31"/>
      <c r="H84" s="31"/>
      <c r="I84" s="31"/>
      <c r="J84" s="31"/>
      <c r="K84" s="31"/>
      <c r="L84" s="31"/>
      <c r="M84" s="31"/>
      <c r="N84" s="31"/>
      <c r="O84" s="31"/>
      <c r="Q84"/>
      <c r="R84"/>
      <c r="S84"/>
      <c r="T84"/>
      <c r="U84"/>
      <c r="V84"/>
      <c r="W84"/>
      <c r="X84"/>
      <c r="Y84"/>
      <c r="Z84"/>
      <c r="AA84"/>
      <c r="AB84"/>
      <c r="AC84"/>
      <c r="AD84"/>
      <c r="AE84"/>
      <c r="AF84"/>
      <c r="AG84"/>
      <c r="AH84"/>
      <c r="AI84"/>
      <c r="AJ84"/>
      <c r="AK84"/>
      <c r="AL84"/>
      <c r="AM84"/>
      <c r="AN84"/>
      <c r="AO84"/>
    </row>
    <row r="85" spans="2:41" ht="15" customHeight="1">
      <c r="B85" s="31"/>
      <c r="C85" s="31"/>
      <c r="D85" s="31"/>
      <c r="E85" s="31"/>
      <c r="F85" s="31"/>
      <c r="G85" s="31"/>
      <c r="H85" s="31"/>
      <c r="I85" s="31"/>
      <c r="J85" s="31"/>
      <c r="K85" s="31"/>
      <c r="L85" s="31"/>
      <c r="M85" s="31"/>
      <c r="N85" s="31"/>
      <c r="O85" s="31"/>
      <c r="Q85"/>
      <c r="R85"/>
      <c r="S85"/>
      <c r="T85"/>
      <c r="U85"/>
      <c r="V85"/>
      <c r="W85"/>
      <c r="X85"/>
      <c r="Y85"/>
      <c r="Z85"/>
      <c r="AA85"/>
      <c r="AB85"/>
      <c r="AC85"/>
      <c r="AD85"/>
      <c r="AE85"/>
      <c r="AF85"/>
      <c r="AG85"/>
      <c r="AH85"/>
      <c r="AI85"/>
      <c r="AJ85"/>
      <c r="AK85"/>
      <c r="AL85"/>
      <c r="AM85"/>
      <c r="AN85"/>
      <c r="AO85"/>
    </row>
    <row r="86" spans="2:41" ht="15" customHeight="1">
      <c r="B86" s="31"/>
      <c r="C86" s="31"/>
      <c r="D86" s="31"/>
      <c r="E86" s="31"/>
      <c r="F86" s="31"/>
      <c r="G86" s="31"/>
      <c r="H86" s="31"/>
      <c r="I86" s="31"/>
      <c r="J86" s="31"/>
      <c r="K86" s="31"/>
      <c r="L86" s="31"/>
      <c r="M86" s="31"/>
      <c r="N86" s="31"/>
      <c r="O86" s="31"/>
      <c r="Q86"/>
      <c r="R86"/>
      <c r="S86"/>
      <c r="T86"/>
      <c r="U86"/>
      <c r="V86"/>
      <c r="W86"/>
      <c r="X86"/>
      <c r="Y86"/>
      <c r="Z86"/>
      <c r="AA86"/>
      <c r="AB86"/>
      <c r="AC86"/>
      <c r="AD86"/>
      <c r="AE86"/>
      <c r="AF86"/>
      <c r="AG86"/>
      <c r="AH86"/>
      <c r="AI86"/>
      <c r="AJ86"/>
      <c r="AK86"/>
      <c r="AL86"/>
      <c r="AM86"/>
      <c r="AN86"/>
      <c r="AO86"/>
    </row>
    <row r="87" spans="2:41" ht="15" customHeight="1">
      <c r="B87" s="31"/>
      <c r="C87" s="31"/>
      <c r="D87" s="31"/>
      <c r="E87" s="31"/>
      <c r="F87" s="31"/>
      <c r="G87" s="31"/>
      <c r="H87" s="31"/>
      <c r="I87" s="31"/>
      <c r="J87" s="31"/>
      <c r="K87" s="31"/>
      <c r="L87" s="31"/>
      <c r="M87" s="31"/>
      <c r="N87" s="31"/>
      <c r="O87" s="31"/>
      <c r="Q87"/>
      <c r="R87"/>
      <c r="S87"/>
      <c r="T87"/>
      <c r="U87"/>
      <c r="V87"/>
      <c r="W87"/>
      <c r="X87"/>
      <c r="Y87"/>
      <c r="Z87"/>
      <c r="AA87"/>
      <c r="AB87"/>
      <c r="AC87"/>
      <c r="AD87"/>
      <c r="AE87"/>
      <c r="AF87"/>
      <c r="AG87"/>
      <c r="AH87"/>
      <c r="AI87"/>
      <c r="AJ87"/>
      <c r="AK87"/>
      <c r="AL87"/>
      <c r="AM87"/>
      <c r="AN87"/>
      <c r="AO87"/>
    </row>
    <row r="88" spans="2:41" ht="15" customHeight="1">
      <c r="B88" s="31"/>
      <c r="C88" s="31"/>
      <c r="D88" s="31"/>
      <c r="E88" s="31"/>
      <c r="F88" s="31"/>
      <c r="G88" s="31"/>
      <c r="H88" s="31"/>
      <c r="I88" s="31"/>
      <c r="J88" s="31"/>
      <c r="K88" s="31"/>
      <c r="L88" s="31"/>
      <c r="M88" s="31"/>
      <c r="N88" s="31"/>
      <c r="O88" s="31"/>
      <c r="Q88"/>
      <c r="R88"/>
      <c r="S88"/>
      <c r="T88"/>
      <c r="U88"/>
      <c r="V88"/>
      <c r="W88"/>
      <c r="X88"/>
      <c r="Y88"/>
      <c r="Z88"/>
      <c r="AA88"/>
      <c r="AB88"/>
      <c r="AC88"/>
      <c r="AD88"/>
      <c r="AE88"/>
      <c r="AF88"/>
      <c r="AG88"/>
      <c r="AH88"/>
      <c r="AI88"/>
      <c r="AJ88"/>
      <c r="AK88"/>
      <c r="AL88"/>
      <c r="AM88"/>
      <c r="AN88"/>
      <c r="AO88"/>
    </row>
    <row r="89" spans="2:41" ht="15" customHeight="1">
      <c r="B89" s="31"/>
      <c r="C89" s="31"/>
      <c r="D89" s="31"/>
      <c r="E89" s="31"/>
      <c r="F89" s="31"/>
      <c r="G89" s="31"/>
      <c r="H89" s="31"/>
      <c r="I89" s="31"/>
      <c r="J89" s="31"/>
      <c r="K89" s="31"/>
      <c r="L89" s="31"/>
      <c r="M89" s="31"/>
      <c r="N89" s="31"/>
      <c r="O89" s="31"/>
      <c r="Q89"/>
      <c r="R89"/>
      <c r="S89"/>
      <c r="T89"/>
      <c r="U89"/>
      <c r="V89"/>
      <c r="W89"/>
      <c r="X89"/>
      <c r="Y89"/>
      <c r="Z89"/>
      <c r="AA89"/>
      <c r="AB89"/>
      <c r="AC89"/>
      <c r="AD89"/>
      <c r="AE89"/>
      <c r="AF89"/>
      <c r="AG89"/>
      <c r="AH89"/>
      <c r="AI89"/>
      <c r="AJ89"/>
      <c r="AK89"/>
      <c r="AL89"/>
      <c r="AM89"/>
      <c r="AN89"/>
      <c r="AO89"/>
    </row>
    <row r="90" spans="2:41" ht="15" customHeight="1">
      <c r="B90" s="31"/>
      <c r="C90" s="31"/>
      <c r="D90" s="31"/>
      <c r="E90" s="31"/>
      <c r="F90" s="31"/>
      <c r="G90" s="31"/>
      <c r="H90" s="31"/>
      <c r="I90" s="31"/>
      <c r="J90" s="31"/>
      <c r="K90" s="31"/>
      <c r="L90" s="31"/>
      <c r="M90" s="31"/>
      <c r="N90" s="31"/>
      <c r="O90" s="31"/>
      <c r="Q90"/>
      <c r="R90"/>
      <c r="S90"/>
      <c r="T90"/>
      <c r="U90"/>
      <c r="V90"/>
      <c r="W90"/>
      <c r="X90"/>
      <c r="Y90"/>
      <c r="Z90"/>
      <c r="AA90"/>
      <c r="AB90"/>
      <c r="AC90"/>
      <c r="AD90"/>
      <c r="AE90"/>
      <c r="AF90"/>
      <c r="AG90"/>
      <c r="AH90"/>
      <c r="AI90"/>
      <c r="AJ90"/>
      <c r="AK90"/>
      <c r="AL90"/>
      <c r="AM90"/>
      <c r="AN90"/>
      <c r="AO90"/>
    </row>
    <row r="91" spans="2:41" ht="15" customHeight="1">
      <c r="B91" s="31"/>
      <c r="C91" s="31"/>
      <c r="D91" s="31"/>
      <c r="E91" s="31"/>
      <c r="F91" s="31"/>
      <c r="G91" s="31"/>
      <c r="H91" s="31"/>
      <c r="I91" s="31"/>
      <c r="J91" s="31"/>
      <c r="K91" s="31"/>
      <c r="L91" s="31"/>
      <c r="M91" s="31"/>
      <c r="N91" s="31"/>
      <c r="O91" s="31"/>
      <c r="Q91"/>
      <c r="R91"/>
      <c r="S91"/>
      <c r="T91"/>
      <c r="U91"/>
      <c r="V91"/>
      <c r="W91"/>
      <c r="X91"/>
      <c r="Y91"/>
      <c r="Z91"/>
      <c r="AA91"/>
      <c r="AB91"/>
      <c r="AC91"/>
      <c r="AD91"/>
      <c r="AE91"/>
      <c r="AF91"/>
      <c r="AG91"/>
      <c r="AH91"/>
      <c r="AI91"/>
      <c r="AJ91"/>
      <c r="AK91"/>
      <c r="AL91"/>
      <c r="AM91"/>
      <c r="AN91"/>
      <c r="AO91"/>
    </row>
    <row r="92" spans="2:41" ht="15" customHeight="1">
      <c r="B92" s="31"/>
      <c r="C92" s="31"/>
      <c r="D92" s="31"/>
      <c r="E92" s="31"/>
      <c r="F92" s="31"/>
      <c r="G92" s="31"/>
      <c r="H92" s="31"/>
      <c r="I92" s="31"/>
      <c r="J92" s="31"/>
      <c r="K92" s="31"/>
      <c r="L92" s="31"/>
      <c r="M92" s="31"/>
      <c r="N92" s="31"/>
      <c r="O92" s="31"/>
      <c r="Q92"/>
      <c r="R92"/>
      <c r="S92"/>
      <c r="T92"/>
      <c r="U92"/>
      <c r="V92"/>
      <c r="W92"/>
      <c r="X92"/>
      <c r="Y92"/>
      <c r="Z92"/>
      <c r="AA92"/>
      <c r="AB92"/>
      <c r="AC92"/>
      <c r="AD92"/>
      <c r="AE92"/>
      <c r="AF92"/>
      <c r="AG92"/>
      <c r="AH92"/>
      <c r="AI92"/>
      <c r="AJ92"/>
      <c r="AK92"/>
      <c r="AL92"/>
      <c r="AM92"/>
      <c r="AN92"/>
      <c r="AO92"/>
    </row>
    <row r="93" spans="2:41" ht="15" customHeight="1">
      <c r="B93" s="31"/>
      <c r="C93" s="31"/>
      <c r="D93" s="31"/>
      <c r="E93" s="31"/>
      <c r="F93" s="31"/>
      <c r="G93" s="31"/>
      <c r="H93" s="31"/>
      <c r="I93" s="31"/>
      <c r="J93" s="31"/>
      <c r="K93" s="31"/>
      <c r="L93" s="31"/>
      <c r="M93" s="31"/>
      <c r="N93" s="31"/>
      <c r="O93" s="31"/>
      <c r="Q93"/>
      <c r="R93"/>
      <c r="S93"/>
      <c r="T93"/>
      <c r="U93"/>
      <c r="V93"/>
      <c r="W93"/>
      <c r="X93"/>
      <c r="Y93"/>
      <c r="Z93"/>
      <c r="AA93"/>
      <c r="AB93"/>
      <c r="AC93"/>
      <c r="AD93"/>
      <c r="AE93"/>
      <c r="AF93"/>
      <c r="AG93"/>
      <c r="AH93"/>
      <c r="AI93"/>
      <c r="AJ93"/>
      <c r="AK93"/>
      <c r="AL93"/>
      <c r="AM93"/>
      <c r="AN93"/>
      <c r="AO93"/>
    </row>
    <row r="94" spans="2:41" ht="15" customHeight="1">
      <c r="B94" s="31"/>
      <c r="C94" s="31"/>
      <c r="D94" s="31"/>
      <c r="E94" s="31"/>
      <c r="F94" s="31"/>
      <c r="G94" s="31"/>
      <c r="H94" s="31"/>
      <c r="I94" s="31"/>
      <c r="J94" s="31"/>
      <c r="K94" s="31"/>
      <c r="L94" s="31"/>
      <c r="M94" s="31"/>
      <c r="N94" s="31"/>
      <c r="O94" s="31"/>
      <c r="Q94"/>
      <c r="R94"/>
      <c r="S94"/>
      <c r="T94"/>
      <c r="U94"/>
      <c r="V94"/>
      <c r="W94"/>
      <c r="X94"/>
      <c r="Y94"/>
      <c r="Z94"/>
      <c r="AA94"/>
      <c r="AB94"/>
      <c r="AC94"/>
      <c r="AD94"/>
      <c r="AE94"/>
      <c r="AF94"/>
      <c r="AG94"/>
      <c r="AH94"/>
      <c r="AI94"/>
      <c r="AJ94"/>
      <c r="AK94"/>
      <c r="AL94"/>
      <c r="AM94"/>
      <c r="AN94"/>
      <c r="AO94"/>
    </row>
    <row r="95" spans="2:41" ht="15" customHeight="1">
      <c r="B95" s="31"/>
      <c r="C95" s="31"/>
      <c r="D95" s="31"/>
      <c r="E95" s="31"/>
      <c r="F95" s="31"/>
      <c r="G95" s="31"/>
      <c r="H95" s="31"/>
      <c r="I95" s="31"/>
      <c r="J95" s="31"/>
      <c r="K95" s="31"/>
      <c r="L95" s="31"/>
      <c r="M95" s="31"/>
      <c r="N95" s="31"/>
      <c r="O95" s="31"/>
      <c r="Q95"/>
      <c r="R95"/>
      <c r="S95"/>
      <c r="T95"/>
      <c r="U95"/>
      <c r="V95"/>
      <c r="W95"/>
      <c r="X95"/>
      <c r="Y95"/>
      <c r="Z95"/>
      <c r="AA95"/>
      <c r="AB95"/>
      <c r="AC95"/>
      <c r="AD95"/>
      <c r="AE95"/>
      <c r="AF95"/>
      <c r="AG95"/>
      <c r="AH95"/>
      <c r="AI95"/>
      <c r="AJ95"/>
      <c r="AK95"/>
      <c r="AL95"/>
      <c r="AM95"/>
      <c r="AN95"/>
      <c r="AO95"/>
    </row>
    <row r="96" spans="2:41" ht="15" customHeight="1">
      <c r="B96" s="31"/>
      <c r="C96" s="31"/>
      <c r="D96" s="31"/>
      <c r="E96" s="31"/>
      <c r="F96" s="31"/>
      <c r="G96" s="31"/>
      <c r="H96" s="31"/>
      <c r="I96" s="31"/>
      <c r="J96" s="31"/>
      <c r="K96" s="31"/>
      <c r="L96" s="31"/>
      <c r="M96" s="31"/>
      <c r="N96" s="31"/>
      <c r="O96" s="31"/>
      <c r="Q96"/>
      <c r="R96"/>
      <c r="S96"/>
      <c r="T96"/>
      <c r="U96"/>
      <c r="V96"/>
      <c r="W96"/>
      <c r="X96"/>
      <c r="Y96"/>
      <c r="Z96"/>
      <c r="AA96"/>
      <c r="AB96"/>
      <c r="AC96"/>
      <c r="AD96"/>
      <c r="AE96"/>
      <c r="AF96"/>
      <c r="AG96"/>
      <c r="AH96"/>
      <c r="AI96"/>
      <c r="AJ96"/>
      <c r="AK96"/>
      <c r="AL96"/>
      <c r="AM96"/>
      <c r="AN96"/>
      <c r="AO96"/>
    </row>
    <row r="97" spans="2:41" ht="15" customHeight="1">
      <c r="B97" s="31"/>
      <c r="C97" s="31"/>
      <c r="D97" s="31"/>
      <c r="E97" s="31"/>
      <c r="F97" s="31"/>
      <c r="G97" s="31"/>
      <c r="H97" s="31"/>
      <c r="I97" s="31"/>
      <c r="J97" s="31"/>
      <c r="K97" s="31"/>
      <c r="L97" s="31"/>
      <c r="M97" s="31"/>
      <c r="N97" s="31"/>
      <c r="O97" s="31"/>
      <c r="Q97"/>
      <c r="R97"/>
      <c r="S97"/>
      <c r="T97"/>
      <c r="U97"/>
      <c r="V97"/>
      <c r="W97"/>
      <c r="X97"/>
      <c r="Y97"/>
      <c r="Z97"/>
      <c r="AA97"/>
      <c r="AB97"/>
      <c r="AC97"/>
      <c r="AD97"/>
      <c r="AE97"/>
      <c r="AF97"/>
      <c r="AG97"/>
      <c r="AH97"/>
      <c r="AI97"/>
      <c r="AJ97"/>
      <c r="AK97"/>
      <c r="AL97"/>
      <c r="AM97"/>
      <c r="AN97"/>
      <c r="AO97"/>
    </row>
    <row r="98" spans="2:41" ht="15" customHeight="1">
      <c r="B98" s="31"/>
      <c r="C98" s="31"/>
      <c r="D98" s="31"/>
      <c r="E98" s="31"/>
      <c r="F98" s="31"/>
      <c r="G98" s="31"/>
      <c r="H98" s="31"/>
      <c r="I98" s="31"/>
      <c r="J98" s="31"/>
      <c r="K98" s="31"/>
      <c r="L98" s="31"/>
      <c r="M98" s="31"/>
      <c r="N98" s="31"/>
      <c r="O98" s="31"/>
      <c r="Q98"/>
      <c r="R98"/>
      <c r="S98"/>
      <c r="T98"/>
      <c r="U98"/>
      <c r="V98"/>
      <c r="W98"/>
      <c r="X98"/>
      <c r="Y98"/>
      <c r="Z98"/>
      <c r="AA98"/>
      <c r="AB98"/>
      <c r="AC98"/>
      <c r="AD98"/>
      <c r="AE98"/>
      <c r="AF98"/>
      <c r="AG98"/>
      <c r="AH98"/>
      <c r="AI98"/>
      <c r="AJ98"/>
      <c r="AK98"/>
      <c r="AL98"/>
      <c r="AM98"/>
      <c r="AN98"/>
      <c r="AO98"/>
    </row>
    <row r="99" spans="2:41" ht="15" customHeight="1">
      <c r="B99" s="31"/>
      <c r="C99" s="31"/>
      <c r="D99" s="31"/>
      <c r="E99" s="31"/>
      <c r="F99" s="31"/>
      <c r="G99" s="31"/>
      <c r="H99" s="31"/>
      <c r="I99" s="31"/>
      <c r="J99" s="31"/>
      <c r="K99" s="31"/>
      <c r="L99" s="31"/>
      <c r="M99" s="31"/>
      <c r="N99" s="31"/>
      <c r="O99" s="31"/>
      <c r="Q99"/>
      <c r="R99"/>
      <c r="S99"/>
      <c r="T99"/>
      <c r="U99"/>
      <c r="V99"/>
      <c r="W99"/>
      <c r="X99"/>
      <c r="Y99"/>
      <c r="Z99"/>
      <c r="AA99"/>
      <c r="AB99"/>
      <c r="AC99"/>
      <c r="AD99"/>
      <c r="AE99"/>
      <c r="AF99"/>
      <c r="AG99"/>
      <c r="AH99"/>
      <c r="AI99"/>
      <c r="AJ99"/>
      <c r="AK99"/>
      <c r="AL99"/>
      <c r="AM99"/>
      <c r="AN99"/>
      <c r="AO99"/>
    </row>
    <row r="100" spans="2:41" ht="15" customHeight="1">
      <c r="B100" s="31"/>
      <c r="C100" s="31"/>
      <c r="D100" s="31"/>
      <c r="E100" s="31"/>
      <c r="F100" s="31"/>
      <c r="G100" s="31"/>
      <c r="H100" s="31"/>
      <c r="I100" s="31"/>
      <c r="J100" s="31"/>
      <c r="K100" s="31"/>
      <c r="L100" s="31"/>
      <c r="M100" s="31"/>
      <c r="N100" s="31"/>
      <c r="O100" s="31"/>
      <c r="Q100"/>
      <c r="R100"/>
      <c r="S100"/>
      <c r="T100"/>
      <c r="U100"/>
      <c r="V100"/>
      <c r="W100"/>
      <c r="X100"/>
      <c r="Y100"/>
      <c r="Z100"/>
      <c r="AA100"/>
      <c r="AB100"/>
      <c r="AC100"/>
      <c r="AD100"/>
      <c r="AE100"/>
      <c r="AF100"/>
      <c r="AG100"/>
      <c r="AH100"/>
      <c r="AI100"/>
      <c r="AJ100"/>
      <c r="AK100"/>
      <c r="AL100"/>
      <c r="AM100"/>
      <c r="AN100"/>
      <c r="AO100"/>
    </row>
    <row r="101" spans="2:41" ht="15" customHeight="1">
      <c r="B101" s="31"/>
      <c r="C101" s="31"/>
      <c r="D101" s="31"/>
      <c r="E101" s="31"/>
      <c r="F101" s="31"/>
      <c r="G101" s="31"/>
      <c r="H101" s="31"/>
      <c r="I101" s="31"/>
      <c r="J101" s="31"/>
      <c r="K101" s="31"/>
      <c r="L101" s="31"/>
      <c r="M101" s="31"/>
      <c r="N101" s="31"/>
      <c r="O101" s="31"/>
      <c r="Q101"/>
      <c r="R101"/>
      <c r="S101"/>
      <c r="T101"/>
      <c r="U101"/>
      <c r="V101"/>
      <c r="W101"/>
      <c r="X101"/>
      <c r="Y101"/>
      <c r="Z101"/>
      <c r="AA101"/>
      <c r="AB101"/>
      <c r="AC101"/>
      <c r="AD101"/>
      <c r="AE101"/>
      <c r="AF101"/>
      <c r="AG101"/>
      <c r="AH101"/>
      <c r="AI101"/>
      <c r="AJ101"/>
      <c r="AK101"/>
      <c r="AL101"/>
      <c r="AM101"/>
      <c r="AN101"/>
      <c r="AO101"/>
    </row>
    <row r="102" spans="2:41" ht="15" customHeight="1">
      <c r="B102" s="31"/>
      <c r="C102" s="31"/>
      <c r="D102" s="31"/>
      <c r="E102" s="31"/>
      <c r="F102" s="31"/>
      <c r="G102" s="31"/>
      <c r="H102" s="31"/>
      <c r="I102" s="31"/>
      <c r="J102" s="31"/>
      <c r="K102" s="31"/>
      <c r="L102" s="31"/>
      <c r="M102" s="31"/>
      <c r="N102" s="31"/>
      <c r="O102" s="31"/>
      <c r="Q102"/>
      <c r="R102"/>
      <c r="S102"/>
      <c r="T102"/>
      <c r="U102"/>
      <c r="V102"/>
      <c r="W102"/>
      <c r="X102"/>
      <c r="Y102"/>
      <c r="Z102"/>
      <c r="AA102"/>
      <c r="AB102"/>
      <c r="AC102"/>
      <c r="AD102"/>
      <c r="AE102"/>
      <c r="AF102"/>
      <c r="AG102"/>
      <c r="AH102"/>
      <c r="AI102"/>
      <c r="AJ102"/>
      <c r="AK102"/>
      <c r="AL102"/>
      <c r="AM102"/>
      <c r="AN102"/>
      <c r="AO102"/>
    </row>
    <row r="103" spans="2:41" ht="15" customHeight="1">
      <c r="B103" s="31"/>
      <c r="C103" s="31"/>
      <c r="D103" s="31"/>
      <c r="E103" s="31"/>
      <c r="F103" s="31"/>
      <c r="G103" s="31"/>
      <c r="H103" s="31"/>
      <c r="I103" s="31"/>
      <c r="J103" s="31"/>
      <c r="K103" s="31"/>
      <c r="L103" s="31"/>
      <c r="M103" s="31"/>
      <c r="N103" s="31"/>
      <c r="O103" s="31"/>
      <c r="Q103"/>
      <c r="R103"/>
      <c r="S103"/>
      <c r="T103"/>
      <c r="U103"/>
      <c r="V103"/>
      <c r="W103"/>
      <c r="X103"/>
      <c r="Y103"/>
      <c r="Z103"/>
      <c r="AA103"/>
      <c r="AB103"/>
      <c r="AC103"/>
      <c r="AD103"/>
      <c r="AE103"/>
      <c r="AF103"/>
      <c r="AG103"/>
      <c r="AH103"/>
      <c r="AI103"/>
      <c r="AJ103"/>
      <c r="AK103"/>
      <c r="AL103"/>
      <c r="AM103"/>
      <c r="AN103"/>
      <c r="AO103"/>
    </row>
    <row r="104" spans="2:41" ht="15" customHeight="1">
      <c r="B104" s="31"/>
      <c r="C104" s="31"/>
      <c r="D104" s="31"/>
      <c r="E104" s="31"/>
      <c r="F104" s="31"/>
      <c r="G104" s="31"/>
      <c r="H104" s="31"/>
      <c r="I104" s="31"/>
      <c r="J104" s="31"/>
      <c r="K104" s="31"/>
      <c r="L104" s="31"/>
      <c r="M104" s="31"/>
      <c r="N104" s="31"/>
      <c r="O104" s="31"/>
      <c r="Q104"/>
      <c r="R104"/>
      <c r="S104"/>
      <c r="T104"/>
      <c r="U104"/>
      <c r="V104"/>
      <c r="W104"/>
      <c r="X104"/>
      <c r="Y104"/>
      <c r="Z104"/>
      <c r="AA104"/>
      <c r="AB104"/>
      <c r="AC104"/>
      <c r="AD104"/>
      <c r="AE104"/>
      <c r="AF104"/>
      <c r="AG104"/>
      <c r="AH104"/>
      <c r="AI104"/>
      <c r="AJ104"/>
      <c r="AK104"/>
      <c r="AL104"/>
      <c r="AM104"/>
      <c r="AN104"/>
      <c r="AO104"/>
    </row>
    <row r="105" spans="2:41" ht="15" customHeight="1">
      <c r="B105" s="31"/>
      <c r="C105" s="31"/>
      <c r="D105" s="31"/>
      <c r="E105" s="31"/>
      <c r="F105" s="31"/>
      <c r="G105" s="31"/>
      <c r="H105" s="31"/>
      <c r="I105" s="31"/>
      <c r="J105" s="31"/>
      <c r="K105" s="31"/>
      <c r="L105" s="31"/>
      <c r="M105" s="31"/>
      <c r="N105" s="31"/>
      <c r="O105" s="31"/>
      <c r="Q105"/>
      <c r="R105"/>
      <c r="S105"/>
      <c r="T105"/>
      <c r="U105"/>
      <c r="V105"/>
      <c r="W105"/>
      <c r="X105"/>
      <c r="Y105"/>
      <c r="Z105"/>
      <c r="AA105"/>
      <c r="AB105"/>
      <c r="AC105"/>
      <c r="AD105"/>
      <c r="AE105"/>
      <c r="AF105"/>
      <c r="AG105"/>
      <c r="AH105"/>
      <c r="AI105"/>
      <c r="AJ105"/>
      <c r="AK105"/>
      <c r="AL105"/>
      <c r="AM105"/>
      <c r="AN105"/>
      <c r="AO105"/>
    </row>
    <row r="106" spans="2:41" ht="15" customHeight="1">
      <c r="B106" s="31"/>
      <c r="C106" s="31"/>
      <c r="D106" s="31"/>
      <c r="E106" s="31"/>
      <c r="F106" s="31"/>
      <c r="G106" s="31"/>
      <c r="H106" s="31"/>
      <c r="I106" s="31"/>
      <c r="J106" s="31"/>
      <c r="K106" s="31"/>
      <c r="L106" s="31"/>
      <c r="M106" s="31"/>
      <c r="N106" s="31"/>
      <c r="O106" s="31"/>
      <c r="Q106"/>
      <c r="R106"/>
      <c r="S106"/>
      <c r="T106"/>
      <c r="U106"/>
      <c r="V106"/>
      <c r="W106"/>
      <c r="X106"/>
      <c r="Y106"/>
      <c r="Z106"/>
      <c r="AA106"/>
      <c r="AB106"/>
      <c r="AC106"/>
      <c r="AD106"/>
      <c r="AE106"/>
      <c r="AF106"/>
      <c r="AG106"/>
      <c r="AH106"/>
      <c r="AI106"/>
      <c r="AJ106"/>
      <c r="AK106"/>
      <c r="AL106"/>
      <c r="AM106"/>
      <c r="AN106"/>
      <c r="AO106"/>
    </row>
    <row r="107" spans="2:41" ht="15" customHeight="1">
      <c r="B107" s="31"/>
      <c r="C107" s="31"/>
      <c r="D107" s="31"/>
      <c r="E107" s="31"/>
      <c r="F107" s="31"/>
      <c r="G107" s="31"/>
      <c r="H107" s="31"/>
      <c r="I107" s="31"/>
      <c r="J107" s="31"/>
      <c r="K107" s="31"/>
      <c r="L107" s="31"/>
      <c r="M107" s="31"/>
      <c r="N107" s="31"/>
      <c r="O107" s="31"/>
      <c r="Q107"/>
      <c r="R107"/>
      <c r="S107"/>
      <c r="T107"/>
      <c r="U107"/>
      <c r="V107"/>
      <c r="W107"/>
      <c r="X107"/>
      <c r="Y107"/>
      <c r="Z107"/>
      <c r="AA107"/>
      <c r="AB107"/>
      <c r="AC107"/>
      <c r="AD107"/>
      <c r="AE107"/>
      <c r="AF107"/>
      <c r="AG107"/>
      <c r="AH107"/>
      <c r="AI107"/>
      <c r="AJ107"/>
      <c r="AK107"/>
      <c r="AL107"/>
      <c r="AM107"/>
      <c r="AN107"/>
      <c r="AO107"/>
    </row>
    <row r="108" spans="2:41" ht="15" customHeight="1">
      <c r="B108" s="31"/>
      <c r="C108" s="31"/>
      <c r="D108" s="31"/>
      <c r="E108" s="31"/>
      <c r="F108" s="31"/>
      <c r="G108" s="31"/>
      <c r="H108" s="31"/>
      <c r="I108" s="31"/>
      <c r="J108" s="31"/>
      <c r="K108" s="31"/>
      <c r="L108" s="31"/>
      <c r="M108" s="31"/>
      <c r="N108" s="31"/>
      <c r="O108" s="31"/>
      <c r="Q108"/>
      <c r="R108"/>
      <c r="S108"/>
      <c r="T108"/>
      <c r="U108"/>
      <c r="V108"/>
      <c r="W108"/>
      <c r="X108"/>
      <c r="Y108"/>
      <c r="Z108"/>
      <c r="AA108"/>
      <c r="AB108"/>
      <c r="AC108"/>
      <c r="AD108"/>
      <c r="AE108"/>
      <c r="AF108"/>
      <c r="AG108"/>
      <c r="AH108"/>
      <c r="AI108"/>
      <c r="AJ108"/>
      <c r="AK108"/>
      <c r="AL108"/>
      <c r="AM108"/>
      <c r="AN108"/>
      <c r="AO108"/>
    </row>
    <row r="109" spans="2:41" ht="15" customHeight="1">
      <c r="B109" s="31"/>
      <c r="C109" s="31"/>
      <c r="D109" s="31"/>
      <c r="E109" s="31"/>
      <c r="F109" s="31"/>
      <c r="G109" s="31"/>
      <c r="H109" s="31"/>
      <c r="I109" s="31"/>
      <c r="J109" s="31"/>
      <c r="K109" s="31"/>
      <c r="L109" s="31"/>
      <c r="M109" s="31"/>
      <c r="N109" s="31"/>
      <c r="O109" s="31"/>
      <c r="Q109"/>
      <c r="R109"/>
      <c r="S109"/>
      <c r="T109"/>
      <c r="U109"/>
      <c r="V109"/>
      <c r="W109"/>
      <c r="X109"/>
      <c r="Y109"/>
      <c r="Z109"/>
      <c r="AA109"/>
      <c r="AB109"/>
      <c r="AC109"/>
      <c r="AD109"/>
      <c r="AE109"/>
      <c r="AF109"/>
      <c r="AG109"/>
      <c r="AH109"/>
      <c r="AI109"/>
      <c r="AJ109"/>
      <c r="AK109"/>
      <c r="AL109"/>
      <c r="AM109"/>
      <c r="AN109"/>
      <c r="AO109"/>
    </row>
  </sheetData>
  <mergeCells count="1">
    <mergeCell ref="M1:N1"/>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M1" location="'Point Grid'!A8" display="Return to Point Grid"/>
    <hyperlink ref="M1:N1" location="'Point Grid'!A1" display="Return to Point Grid"/>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101"/>
  <sheetViews>
    <sheetView workbookViewId="0"/>
  </sheetViews>
  <sheetFormatPr defaultColWidth="9.140625" defaultRowHeight="15"/>
  <cols>
    <col min="1" max="1" width="9.140625" style="21"/>
    <col min="2" max="2" width="16" style="21" bestFit="1" customWidth="1"/>
    <col min="3" max="8" width="8.7109375" style="21" customWidth="1"/>
    <col min="9" max="10" width="10.7109375" style="21" customWidth="1"/>
    <col min="11" max="11" width="8.7109375" style="21" customWidth="1"/>
    <col min="12" max="13" width="11.140625" style="21" customWidth="1"/>
    <col min="14" max="25" width="9.140625" style="21"/>
    <col min="26" max="26" width="10.7109375" style="21" customWidth="1"/>
    <col min="27" max="16384" width="9.140625" style="21"/>
  </cols>
  <sheetData>
    <row r="1" spans="1:28">
      <c r="A1" s="7">
        <v>30</v>
      </c>
      <c r="B1" s="27" t="s">
        <v>12</v>
      </c>
      <c r="C1" s="20"/>
      <c r="D1" s="20"/>
      <c r="E1" s="20"/>
      <c r="F1" s="20"/>
      <c r="G1" s="20"/>
      <c r="H1" s="20"/>
      <c r="I1" s="20"/>
      <c r="J1" s="20"/>
      <c r="K1" s="20"/>
      <c r="L1" s="886" t="s">
        <v>24</v>
      </c>
      <c r="M1" s="888"/>
      <c r="O1" s="1" t="s">
        <v>33</v>
      </c>
      <c r="P1" s="52" t="str">
        <f>VLOOKUP(A1,'Point Grid'!$L$8:$T$54,9,FALSE)</f>
        <v>Reserving - Chap 17: ULAE</v>
      </c>
      <c r="Q1"/>
      <c r="R1"/>
      <c r="S1"/>
      <c r="T1"/>
      <c r="U1"/>
      <c r="V1"/>
      <c r="W1"/>
      <c r="X1"/>
      <c r="Y1"/>
    </row>
    <row r="2" spans="1:28">
      <c r="A2" s="22"/>
      <c r="B2" s="19"/>
      <c r="C2" s="19"/>
      <c r="D2" s="19"/>
      <c r="E2" s="19"/>
      <c r="F2" s="19"/>
      <c r="G2" s="19"/>
      <c r="H2" s="19"/>
      <c r="I2" s="19"/>
      <c r="J2" s="19"/>
      <c r="K2" s="19"/>
      <c r="L2" s="19"/>
      <c r="M2" s="23"/>
      <c r="O2" s="1"/>
      <c r="P2"/>
      <c r="Q2"/>
      <c r="R2"/>
      <c r="S2"/>
      <c r="T2"/>
      <c r="U2"/>
      <c r="V2"/>
      <c r="W2"/>
      <c r="X2"/>
      <c r="Y2"/>
    </row>
    <row r="3" spans="1:28">
      <c r="A3" s="8" t="s">
        <v>13</v>
      </c>
      <c r="B3" s="17"/>
      <c r="C3" s="17"/>
      <c r="D3" s="17"/>
      <c r="E3" s="17"/>
      <c r="F3" s="17"/>
      <c r="G3" s="17"/>
      <c r="H3" s="17"/>
      <c r="I3" s="17"/>
      <c r="J3" s="17"/>
      <c r="K3" s="17"/>
      <c r="L3" s="17"/>
      <c r="M3" s="18"/>
      <c r="N3" s="31"/>
      <c r="O3" s="48" t="s">
        <v>2</v>
      </c>
      <c r="P3" t="s">
        <v>656</v>
      </c>
      <c r="Q3"/>
      <c r="R3"/>
      <c r="S3"/>
      <c r="T3"/>
      <c r="U3"/>
      <c r="V3"/>
      <c r="W3"/>
      <c r="X3"/>
      <c r="Y3"/>
    </row>
    <row r="4" spans="1:28">
      <c r="A4" s="9">
        <f>INDEX('Point Grid'!B:B,MATCH(A1,'Point Grid'!A:A,0))</f>
        <v>2.5</v>
      </c>
      <c r="B4" s="17"/>
      <c r="C4" s="17"/>
      <c r="D4" s="17"/>
      <c r="E4" s="17"/>
      <c r="F4" s="17"/>
      <c r="G4" s="17"/>
      <c r="H4" s="17"/>
      <c r="I4" s="17"/>
      <c r="J4" s="17"/>
      <c r="K4" s="17"/>
      <c r="L4" s="17"/>
      <c r="M4" s="18"/>
      <c r="N4" s="31"/>
      <c r="O4" s="48"/>
      <c r="P4" t="s">
        <v>657</v>
      </c>
      <c r="Q4"/>
      <c r="R4"/>
      <c r="S4"/>
      <c r="T4"/>
      <c r="U4"/>
      <c r="V4"/>
      <c r="W4"/>
      <c r="X4"/>
      <c r="Y4"/>
    </row>
    <row r="5" spans="1:28">
      <c r="A5" s="16"/>
      <c r="B5" s="17"/>
      <c r="C5" s="17"/>
      <c r="D5" s="17"/>
      <c r="E5" s="17"/>
      <c r="F5" s="17"/>
      <c r="G5" s="17"/>
      <c r="H5" s="17"/>
      <c r="I5" s="17"/>
      <c r="J5" s="17"/>
      <c r="K5" s="17"/>
      <c r="L5" s="17"/>
      <c r="M5" s="18"/>
      <c r="N5" s="31"/>
      <c r="O5" s="48"/>
      <c r="P5" t="s">
        <v>658</v>
      </c>
      <c r="Q5"/>
      <c r="R5"/>
      <c r="S5"/>
      <c r="T5"/>
      <c r="U5"/>
      <c r="V5"/>
      <c r="W5"/>
      <c r="X5"/>
      <c r="Y5"/>
    </row>
    <row r="6" spans="1:28">
      <c r="A6" s="25" t="s">
        <v>2</v>
      </c>
      <c r="B6" s="17" t="s">
        <v>662</v>
      </c>
      <c r="C6" s="17"/>
      <c r="D6" s="17"/>
      <c r="E6" s="17"/>
      <c r="F6" s="17"/>
      <c r="G6" s="17"/>
      <c r="H6" s="17"/>
      <c r="I6" s="17"/>
      <c r="J6" s="17"/>
      <c r="K6" s="17"/>
      <c r="L6" s="17"/>
      <c r="M6" s="18"/>
      <c r="N6" s="31"/>
      <c r="O6" s="48"/>
      <c r="P6" s="37" t="s">
        <v>659</v>
      </c>
      <c r="Q6"/>
      <c r="R6"/>
      <c r="S6"/>
      <c r="T6"/>
      <c r="U6"/>
      <c r="V6"/>
      <c r="W6"/>
      <c r="X6"/>
      <c r="Y6"/>
    </row>
    <row r="7" spans="1:28" ht="15.75" thickBot="1">
      <c r="A7" s="9">
        <f>INDEX('Point Grid'!$C$8:$I$54,MATCH($A$1,'Point Grid'!$A$8:$A$54,0),MATCH(A6,'Point Grid'!$C$7:$I$7,0))</f>
        <v>0.75</v>
      </c>
      <c r="B7" s="17" t="s">
        <v>655</v>
      </c>
      <c r="C7" s="17"/>
      <c r="D7" s="17"/>
      <c r="E7" s="17"/>
      <c r="F7" s="17"/>
      <c r="G7" s="17"/>
      <c r="H7" s="17"/>
      <c r="I7" s="17"/>
      <c r="J7" s="17"/>
      <c r="K7" s="17"/>
      <c r="L7" s="17"/>
      <c r="M7" s="18"/>
      <c r="N7" s="31"/>
      <c r="O7" s="48"/>
      <c r="P7" s="37" t="s">
        <v>660</v>
      </c>
      <c r="Q7"/>
      <c r="R7"/>
      <c r="S7"/>
      <c r="T7"/>
      <c r="U7"/>
      <c r="V7"/>
      <c r="W7"/>
      <c r="X7"/>
      <c r="Y7"/>
    </row>
    <row r="8" spans="1:28" ht="15.75" thickBot="1">
      <c r="A8" s="5"/>
      <c r="B8" s="17"/>
      <c r="C8" s="28"/>
      <c r="D8" s="28"/>
      <c r="E8" s="28"/>
      <c r="F8" s="28"/>
      <c r="G8" s="28"/>
      <c r="H8" s="28"/>
      <c r="I8" s="28"/>
      <c r="J8" s="28"/>
      <c r="K8" s="28"/>
      <c r="L8" s="28"/>
      <c r="M8" s="18"/>
      <c r="N8" s="31"/>
      <c r="O8"/>
      <c r="P8" s="37" t="s">
        <v>661</v>
      </c>
      <c r="Q8"/>
      <c r="R8"/>
      <c r="S8"/>
      <c r="T8"/>
      <c r="U8"/>
      <c r="V8"/>
      <c r="W8"/>
      <c r="X8"/>
      <c r="Y8"/>
    </row>
    <row r="9" spans="1:28">
      <c r="A9" s="25"/>
      <c r="B9" s="17"/>
      <c r="C9" s="17"/>
      <c r="D9" s="17"/>
      <c r="E9" s="17"/>
      <c r="F9" s="17"/>
      <c r="G9" s="17"/>
      <c r="H9" s="17"/>
      <c r="I9" s="17"/>
      <c r="J9" s="17"/>
      <c r="K9" s="17"/>
      <c r="L9" s="17"/>
      <c r="M9" s="18"/>
      <c r="N9" s="31"/>
      <c r="O9" s="48"/>
      <c r="P9"/>
      <c r="Q9"/>
      <c r="R9"/>
      <c r="S9"/>
      <c r="T9"/>
      <c r="U9"/>
      <c r="V9"/>
      <c r="W9"/>
    </row>
    <row r="10" spans="1:28">
      <c r="A10" s="25" t="s">
        <v>3</v>
      </c>
      <c r="B10" s="699" t="s">
        <v>602</v>
      </c>
      <c r="C10" s="711" t="s">
        <v>910</v>
      </c>
      <c r="D10" s="712"/>
      <c r="E10" s="698" t="s">
        <v>603</v>
      </c>
      <c r="F10" s="698"/>
      <c r="G10" s="698"/>
      <c r="H10" s="699" t="s">
        <v>412</v>
      </c>
      <c r="I10" s="699" t="s">
        <v>631</v>
      </c>
      <c r="J10" s="698" t="s">
        <v>336</v>
      </c>
      <c r="K10" s="473">
        <v>2024</v>
      </c>
      <c r="L10" s="17"/>
      <c r="M10" s="18"/>
      <c r="N10" s="31"/>
      <c r="O10" s="48" t="s">
        <v>3</v>
      </c>
      <c r="P10" s="156" t="s">
        <v>600</v>
      </c>
      <c r="Q10" s="37" t="str">
        <f>IF(C10="classical","  classical ULAE ratio  ==&gt;  (paid ULAE) / (paid claims)","  Kittel ULAE ratio  ==&gt;  (paid ULAE) / AVG [ (paid claims) , (incurred claims) ]")</f>
        <v xml:space="preserve">  Kittel ULAE ratio  ==&gt;  (paid ULAE) / AVG [ (paid claims) , (incurred claims) ]</v>
      </c>
      <c r="R10" s="37"/>
      <c r="S10" s="37"/>
      <c r="T10" s="37"/>
      <c r="U10" s="37"/>
      <c r="V10" s="37"/>
      <c r="W10" s="37"/>
      <c r="X10" s="37"/>
      <c r="Y10" s="37"/>
      <c r="Z10" s="37"/>
      <c r="AA10" s="37"/>
      <c r="AB10" s="37"/>
    </row>
    <row r="11" spans="1:28" ht="15.75" thickBot="1">
      <c r="A11" s="9">
        <f>INDEX('Point Grid'!$C$8:$I$54,MATCH($A$1,'Point Grid'!$A$8:$A$54,0),MATCH(A10,'Point Grid'!$C$7:$I$7,0))</f>
        <v>1.75</v>
      </c>
      <c r="B11" s="139"/>
      <c r="C11" s="139"/>
      <c r="D11" s="139"/>
      <c r="E11" s="139"/>
      <c r="F11" s="139"/>
      <c r="G11" s="139"/>
      <c r="H11" s="139"/>
      <c r="I11" s="139"/>
      <c r="J11" s="139"/>
      <c r="K11" s="139"/>
      <c r="L11" s="17"/>
      <c r="M11" s="18"/>
      <c r="N11" s="31"/>
      <c r="O11"/>
      <c r="P11" s="37"/>
      <c r="Q11" s="37"/>
      <c r="R11" s="37"/>
      <c r="S11" s="37"/>
      <c r="T11" s="37"/>
      <c r="U11" s="37"/>
      <c r="V11" s="37"/>
      <c r="W11" s="37"/>
      <c r="X11" s="37"/>
      <c r="Y11" s="37"/>
      <c r="Z11" s="37"/>
      <c r="AA11" s="37"/>
      <c r="AB11" s="37"/>
    </row>
    <row r="12" spans="1:28" ht="15.75" thickBot="1">
      <c r="A12" s="5"/>
      <c r="B12" s="139"/>
      <c r="C12" s="398" t="s">
        <v>632</v>
      </c>
      <c r="D12" s="398"/>
      <c r="E12" s="139" t="s">
        <v>911</v>
      </c>
      <c r="F12" s="139"/>
      <c r="G12" s="139"/>
      <c r="H12" s="139"/>
      <c r="I12" s="139"/>
      <c r="J12" s="139"/>
      <c r="K12" s="139"/>
      <c r="L12" s="28"/>
      <c r="M12" s="18"/>
      <c r="N12" s="31"/>
      <c r="O12"/>
      <c r="P12" s="121"/>
      <c r="Q12" s="178"/>
      <c r="R12" s="714" t="s">
        <v>413</v>
      </c>
      <c r="S12" s="179" t="str">
        <f>IF(C10="classical","paid","average")</f>
        <v>average</v>
      </c>
      <c r="T12" s="715" t="s">
        <v>631</v>
      </c>
      <c r="U12" s="121"/>
      <c r="V12" s="121"/>
      <c r="W12" s="121"/>
      <c r="X12" s="121"/>
      <c r="Y12" s="121"/>
      <c r="Z12" s="121"/>
      <c r="AA12" s="121"/>
      <c r="AB12" s="121"/>
    </row>
    <row r="13" spans="1:28">
      <c r="A13" s="25"/>
      <c r="B13" s="139"/>
      <c r="C13" s="139"/>
      <c r="D13" s="139"/>
      <c r="E13" s="139"/>
      <c r="F13" s="139"/>
      <c r="G13" s="139"/>
      <c r="H13" s="139"/>
      <c r="I13" s="139"/>
      <c r="J13" s="190"/>
      <c r="K13" s="190"/>
      <c r="L13" s="28"/>
      <c r="M13" s="18"/>
      <c r="N13" s="31"/>
      <c r="O13" s="48"/>
      <c r="P13" s="121"/>
      <c r="Q13" s="114" t="s">
        <v>336</v>
      </c>
      <c r="R13" s="716" t="s">
        <v>631</v>
      </c>
      <c r="S13" s="180" t="str">
        <f>IF(C10="classical","claims","(pd, inc)")</f>
        <v>(pd, inc)</v>
      </c>
      <c r="T13" s="717" t="s">
        <v>95</v>
      </c>
      <c r="U13" s="121"/>
      <c r="V13" s="121"/>
      <c r="W13" s="121"/>
      <c r="X13" s="121"/>
      <c r="Y13" s="121"/>
      <c r="Z13" s="121"/>
      <c r="AA13" s="121"/>
      <c r="AB13" s="121"/>
    </row>
    <row r="14" spans="1:28">
      <c r="A14" s="25"/>
      <c r="B14" s="189"/>
      <c r="C14" s="191"/>
      <c r="D14" s="732" t="s">
        <v>413</v>
      </c>
      <c r="E14" s="192" t="s">
        <v>413</v>
      </c>
      <c r="F14" s="733" t="s">
        <v>633</v>
      </c>
      <c r="G14" s="282" t="s">
        <v>912</v>
      </c>
      <c r="H14" s="139"/>
      <c r="I14" s="139"/>
      <c r="J14" s="190"/>
      <c r="K14" s="190"/>
      <c r="L14" s="28"/>
      <c r="M14" s="18"/>
      <c r="N14" s="31"/>
      <c r="O14"/>
      <c r="P14" s="121"/>
      <c r="Q14" s="181">
        <f>Q15-1</f>
        <v>2020</v>
      </c>
      <c r="R14" s="718">
        <f>D16</f>
        <v>0</v>
      </c>
      <c r="S14" s="230">
        <f>IF(C10="classical",E16,AVERAGE(E16,F16))</f>
        <v>0</v>
      </c>
      <c r="T14" s="719" t="str">
        <f>IFERROR(ROUND(R14/S14,3),"")</f>
        <v/>
      </c>
      <c r="U14" s="37"/>
      <c r="V14" s="37"/>
      <c r="W14" s="37"/>
      <c r="X14" s="37"/>
      <c r="Y14" s="37"/>
      <c r="Z14" s="37"/>
      <c r="AA14" s="121"/>
      <c r="AB14" s="121"/>
    </row>
    <row r="15" spans="1:28">
      <c r="A15" s="25"/>
      <c r="B15" s="189"/>
      <c r="C15" s="194" t="s">
        <v>336</v>
      </c>
      <c r="D15" s="734" t="s">
        <v>631</v>
      </c>
      <c r="E15" s="195" t="s">
        <v>91</v>
      </c>
      <c r="F15" s="735" t="s">
        <v>91</v>
      </c>
      <c r="G15" s="139"/>
      <c r="H15" s="139"/>
      <c r="I15" s="139"/>
      <c r="J15" s="139"/>
      <c r="K15" s="139"/>
      <c r="L15" s="28"/>
      <c r="M15" s="18"/>
      <c r="N15" s="31"/>
      <c r="O15"/>
      <c r="P15" s="121"/>
      <c r="Q15" s="181">
        <f>Q16-1</f>
        <v>2021</v>
      </c>
      <c r="R15" s="718">
        <f>D17</f>
        <v>55000</v>
      </c>
      <c r="S15" s="230">
        <f>IF(C10="classical",E17,AVERAGE(E17,F17))</f>
        <v>497000</v>
      </c>
      <c r="T15" s="719">
        <f>IFERROR(ROUND(R15/S15,3),"")</f>
        <v>0.111</v>
      </c>
      <c r="U15" s="121"/>
      <c r="V15" s="121"/>
      <c r="W15" s="720" t="s">
        <v>634</v>
      </c>
      <c r="X15" s="125"/>
      <c r="Y15" s="125"/>
      <c r="Z15" s="126"/>
      <c r="AA15" s="121"/>
      <c r="AB15" s="121"/>
    </row>
    <row r="16" spans="1:28">
      <c r="A16" s="25"/>
      <c r="B16" s="189"/>
      <c r="C16" s="199">
        <v>2020</v>
      </c>
      <c r="D16" s="140">
        <v>0</v>
      </c>
      <c r="E16" s="141">
        <v>0</v>
      </c>
      <c r="F16" s="142">
        <v>0</v>
      </c>
      <c r="G16" s="139"/>
      <c r="H16" s="139"/>
      <c r="I16" s="139"/>
      <c r="J16" s="139"/>
      <c r="K16" s="139"/>
      <c r="L16" s="28"/>
      <c r="M16" s="18"/>
      <c r="N16" s="31"/>
      <c r="O16" s="48"/>
      <c r="P16" s="121"/>
      <c r="Q16" s="181">
        <f>Q17-1</f>
        <v>2022</v>
      </c>
      <c r="R16" s="718">
        <f>D18</f>
        <v>53000</v>
      </c>
      <c r="S16" s="230">
        <f>IF(C10="classical",E18,AVERAGE(E18,F18))</f>
        <v>500500</v>
      </c>
      <c r="T16" s="719">
        <f>IFERROR(ROUND(R16/S16,3),"")</f>
        <v>0.106</v>
      </c>
      <c r="U16" s="121"/>
      <c r="V16" s="121"/>
      <c r="W16" s="127" t="s">
        <v>635</v>
      </c>
      <c r="X16" s="128"/>
      <c r="Y16" s="128"/>
      <c r="Z16" s="129"/>
      <c r="AA16" s="121"/>
      <c r="AB16" s="121"/>
    </row>
    <row r="17" spans="1:28">
      <c r="A17" s="25"/>
      <c r="B17" s="189"/>
      <c r="C17" s="199">
        <v>2021</v>
      </c>
      <c r="D17" s="140">
        <v>55000</v>
      </c>
      <c r="E17" s="141">
        <v>424000</v>
      </c>
      <c r="F17" s="142">
        <v>570000</v>
      </c>
      <c r="G17" s="139"/>
      <c r="H17" s="139"/>
      <c r="I17" s="139"/>
      <c r="J17" s="139"/>
      <c r="K17" s="139"/>
      <c r="L17" s="28"/>
      <c r="M17" s="18"/>
      <c r="N17" s="31"/>
      <c r="O17"/>
      <c r="P17" s="121"/>
      <c r="Q17" s="181">
        <f>Q18-1</f>
        <v>2023</v>
      </c>
      <c r="R17" s="718">
        <f>D19</f>
        <v>43000</v>
      </c>
      <c r="S17" s="230">
        <f>IF(C10="classical",E19,AVERAGE(E19,F19))</f>
        <v>428000</v>
      </c>
      <c r="T17" s="719">
        <f>IFERROR(ROUND(R17/S17,3),"")</f>
        <v>0.1</v>
      </c>
      <c r="U17" s="121"/>
      <c r="V17" s="121"/>
      <c r="W17" s="132" t="s">
        <v>636</v>
      </c>
      <c r="X17" s="133"/>
      <c r="Y17" s="133"/>
      <c r="Z17" s="134"/>
      <c r="AA17" s="121"/>
      <c r="AB17" s="121"/>
    </row>
    <row r="18" spans="1:28" ht="15" customHeight="1">
      <c r="A18" s="25"/>
      <c r="B18" s="189"/>
      <c r="C18" s="199">
        <v>2022</v>
      </c>
      <c r="D18" s="140">
        <v>53000</v>
      </c>
      <c r="E18" s="141">
        <v>461000</v>
      </c>
      <c r="F18" s="142">
        <v>540000</v>
      </c>
      <c r="G18" s="139"/>
      <c r="H18" s="139"/>
      <c r="I18" s="139"/>
      <c r="J18" s="139"/>
      <c r="K18" s="139"/>
      <c r="L18" s="28"/>
      <c r="M18" s="18"/>
      <c r="N18" s="31"/>
      <c r="O18"/>
      <c r="P18" s="121"/>
      <c r="Q18" s="183">
        <f>C20</f>
        <v>2024</v>
      </c>
      <c r="R18" s="716">
        <f>D20</f>
        <v>46000</v>
      </c>
      <c r="S18" s="180">
        <f>IF(C10="classical",E20,AVERAGE(E20,F20))</f>
        <v>449000</v>
      </c>
      <c r="T18" s="721">
        <f>IFERROR(ROUND(R18/S18,3),"")</f>
        <v>0.10199999999999999</v>
      </c>
      <c r="U18" s="121"/>
      <c r="V18" s="121"/>
      <c r="W18" s="121"/>
      <c r="X18" s="121"/>
      <c r="Y18" s="121"/>
      <c r="Z18" s="121"/>
      <c r="AA18" s="121"/>
      <c r="AB18" s="121"/>
    </row>
    <row r="19" spans="1:28" ht="15" customHeight="1">
      <c r="A19" s="25"/>
      <c r="B19" s="189"/>
      <c r="C19" s="199">
        <v>2023</v>
      </c>
      <c r="D19" s="140">
        <v>43000</v>
      </c>
      <c r="E19" s="141">
        <v>436000</v>
      </c>
      <c r="F19" s="142">
        <v>420000</v>
      </c>
      <c r="G19" s="139"/>
      <c r="H19" s="139"/>
      <c r="I19" s="139"/>
      <c r="J19" s="139"/>
      <c r="K19" s="139"/>
      <c r="L19" s="28"/>
      <c r="M19" s="18"/>
      <c r="N19" s="31"/>
      <c r="O19"/>
      <c r="P19" s="121"/>
      <c r="Q19" s="121"/>
      <c r="R19" s="121"/>
      <c r="S19" s="121"/>
      <c r="T19" s="722">
        <v>0.1</v>
      </c>
      <c r="U19" s="121" t="s">
        <v>1012</v>
      </c>
      <c r="V19" s="121"/>
      <c r="W19" s="121"/>
      <c r="X19" s="121"/>
      <c r="Y19" s="121"/>
      <c r="Z19" s="121"/>
      <c r="AA19" s="121"/>
      <c r="AB19" s="121"/>
    </row>
    <row r="20" spans="1:28" ht="15" customHeight="1">
      <c r="A20" s="25"/>
      <c r="B20" s="189"/>
      <c r="C20" s="203">
        <v>2024</v>
      </c>
      <c r="D20" s="147">
        <v>46000</v>
      </c>
      <c r="E20" s="148">
        <v>388000</v>
      </c>
      <c r="F20" s="149">
        <v>510000</v>
      </c>
      <c r="G20" s="139"/>
      <c r="H20" s="139"/>
      <c r="I20" s="139"/>
      <c r="J20" s="139"/>
      <c r="K20" s="139"/>
      <c r="L20" s="28"/>
      <c r="M20" s="18"/>
      <c r="N20" s="31"/>
      <c r="O20"/>
      <c r="P20" s="121"/>
      <c r="Q20" s="121"/>
      <c r="R20" s="121"/>
      <c r="S20" s="121"/>
      <c r="T20" s="121"/>
      <c r="U20" s="121"/>
      <c r="V20" s="121"/>
      <c r="W20" s="121"/>
      <c r="X20" s="121"/>
      <c r="Y20" s="121"/>
      <c r="Z20" s="121"/>
      <c r="AA20" s="121"/>
      <c r="AB20" s="121"/>
    </row>
    <row r="21" spans="1:28" ht="15" customHeight="1">
      <c r="A21" s="25"/>
      <c r="B21" s="139"/>
      <c r="C21" s="139"/>
      <c r="D21" s="139"/>
      <c r="E21" s="139"/>
      <c r="F21" s="139"/>
      <c r="G21" s="139"/>
      <c r="H21" s="139"/>
      <c r="I21" s="139"/>
      <c r="J21" s="139"/>
      <c r="K21" s="139"/>
      <c r="L21" s="28"/>
      <c r="M21" s="18"/>
      <c r="N21" s="31"/>
      <c r="O21"/>
      <c r="P21" s="156" t="s">
        <v>607</v>
      </c>
      <c r="Q21" s="121" t="s">
        <v>637</v>
      </c>
      <c r="R21" s="121"/>
      <c r="S21" s="121"/>
      <c r="T21" s="121"/>
      <c r="U21" s="121"/>
      <c r="V21" s="121"/>
      <c r="W21" s="121"/>
      <c r="X21" s="121"/>
      <c r="Y21" s="121"/>
      <c r="Z21" s="121"/>
      <c r="AA21" s="121"/>
      <c r="AB21" s="121"/>
    </row>
    <row r="22" spans="1:28" ht="15" customHeight="1">
      <c r="A22" s="25"/>
      <c r="B22" s="139"/>
      <c r="C22" s="197">
        <v>140000</v>
      </c>
      <c r="D22" s="136" t="s">
        <v>913</v>
      </c>
      <c r="E22" s="136"/>
      <c r="F22" s="136"/>
      <c r="G22" s="136"/>
      <c r="H22" s="136"/>
      <c r="I22" s="136"/>
      <c r="J22" s="137"/>
      <c r="K22" s="139"/>
      <c r="L22" s="28"/>
      <c r="M22" s="18"/>
      <c r="N22" s="31"/>
      <c r="O22"/>
      <c r="P22" s="121"/>
      <c r="Q22" s="121"/>
      <c r="R22" s="121"/>
      <c r="S22" s="121"/>
      <c r="T22" s="121"/>
      <c r="U22" s="121"/>
      <c r="V22" s="121"/>
      <c r="W22" s="121"/>
      <c r="X22" s="121"/>
      <c r="Y22" s="121"/>
      <c r="Z22" s="121"/>
      <c r="AA22" s="121"/>
      <c r="AB22" s="121"/>
    </row>
    <row r="23" spans="1:28" ht="15" customHeight="1">
      <c r="A23" s="25"/>
      <c r="B23" s="139"/>
      <c r="C23" s="200">
        <v>65000</v>
      </c>
      <c r="D23" s="141" t="s">
        <v>914</v>
      </c>
      <c r="E23" s="141"/>
      <c r="F23" s="141"/>
      <c r="G23" s="141"/>
      <c r="H23" s="141"/>
      <c r="I23" s="141"/>
      <c r="J23" s="142"/>
      <c r="K23" s="139"/>
      <c r="L23" s="28"/>
      <c r="M23" s="18"/>
      <c r="N23" s="31"/>
      <c r="O23"/>
      <c r="P23" s="121"/>
      <c r="Q23" s="723" t="s">
        <v>638</v>
      </c>
      <c r="R23" s="723"/>
      <c r="S23" s="155" t="s">
        <v>34</v>
      </c>
      <c r="T23" s="723" t="s">
        <v>639</v>
      </c>
      <c r="U23" s="723"/>
      <c r="V23" s="153" t="s">
        <v>227</v>
      </c>
      <c r="W23" s="279" t="str">
        <f>"[ "&amp;C27*100&amp;"%   x"</f>
        <v>[ 35%   x</v>
      </c>
      <c r="X23" s="152" t="s">
        <v>640</v>
      </c>
      <c r="Y23" s="153"/>
      <c r="Z23" s="153" t="s">
        <v>35</v>
      </c>
      <c r="AA23" s="153" t="s">
        <v>641</v>
      </c>
      <c r="AB23" s="121" t="s">
        <v>642</v>
      </c>
    </row>
    <row r="24" spans="1:28" ht="15" customHeight="1">
      <c r="A24" s="25"/>
      <c r="B24" s="139"/>
      <c r="C24" s="736">
        <v>0.66</v>
      </c>
      <c r="D24" s="148" t="s">
        <v>643</v>
      </c>
      <c r="E24" s="148"/>
      <c r="F24" s="148"/>
      <c r="G24" s="148"/>
      <c r="H24" s="148"/>
      <c r="I24" s="148"/>
      <c r="J24" s="149"/>
      <c r="K24" s="139"/>
      <c r="L24" s="28"/>
      <c r="M24" s="18"/>
      <c r="N24" s="31"/>
      <c r="O24"/>
      <c r="P24" s="121"/>
      <c r="Q24" s="121"/>
      <c r="R24" s="121"/>
      <c r="S24" s="121"/>
      <c r="T24" s="121"/>
      <c r="U24" s="121"/>
      <c r="V24" s="121"/>
      <c r="W24" s="121"/>
      <c r="X24" s="121"/>
      <c r="Y24" s="121"/>
      <c r="Z24" s="121"/>
      <c r="AA24" s="121"/>
      <c r="AB24" s="121"/>
    </row>
    <row r="25" spans="1:28" ht="15" customHeight="1">
      <c r="A25" s="25"/>
      <c r="B25" s="139"/>
      <c r="C25" s="139"/>
      <c r="D25" s="139"/>
      <c r="E25" s="139"/>
      <c r="F25" s="139"/>
      <c r="G25" s="139"/>
      <c r="H25" s="139"/>
      <c r="I25" s="139"/>
      <c r="J25" s="139"/>
      <c r="K25" s="139"/>
      <c r="L25" s="28"/>
      <c r="M25" s="18"/>
      <c r="N25" s="31"/>
      <c r="O25"/>
      <c r="P25" s="121"/>
      <c r="Q25" s="724" t="s">
        <v>644</v>
      </c>
      <c r="R25" s="37"/>
      <c r="S25" s="37"/>
      <c r="T25" s="37"/>
      <c r="U25" s="37"/>
      <c r="V25" s="37"/>
      <c r="W25" s="37"/>
      <c r="X25" s="37"/>
      <c r="Y25" s="37"/>
      <c r="Z25" s="37"/>
      <c r="AA25" s="121"/>
      <c r="AB25" s="121"/>
    </row>
    <row r="26" spans="1:28" ht="15" customHeight="1">
      <c r="A26" s="25"/>
      <c r="B26" s="139"/>
      <c r="C26" s="737">
        <v>0.65</v>
      </c>
      <c r="D26" s="136" t="s">
        <v>645</v>
      </c>
      <c r="E26" s="136"/>
      <c r="F26" s="136"/>
      <c r="G26" s="136"/>
      <c r="H26" s="136"/>
      <c r="I26" s="136"/>
      <c r="J26" s="137"/>
      <c r="K26" s="139"/>
      <c r="L26" s="28"/>
      <c r="M26" s="18"/>
      <c r="N26" s="31"/>
      <c r="O26"/>
      <c r="P26" s="121"/>
      <c r="Q26" s="37"/>
      <c r="R26" s="37"/>
      <c r="S26" s="37"/>
      <c r="T26" s="37"/>
      <c r="U26" s="37"/>
      <c r="V26" s="121"/>
      <c r="W26" s="121"/>
      <c r="X26" s="121"/>
      <c r="Y26" s="121"/>
      <c r="Z26" s="121"/>
      <c r="AA26" s="121"/>
      <c r="AB26" s="121"/>
    </row>
    <row r="27" spans="1:28" ht="15" customHeight="1">
      <c r="A27" s="25"/>
      <c r="B27" s="139"/>
      <c r="C27" s="736">
        <v>0.35</v>
      </c>
      <c r="D27" s="148" t="s">
        <v>915</v>
      </c>
      <c r="E27" s="148"/>
      <c r="F27" s="148"/>
      <c r="G27" s="148"/>
      <c r="H27" s="148"/>
      <c r="I27" s="148"/>
      <c r="J27" s="149"/>
      <c r="K27" s="139"/>
      <c r="L27" s="28"/>
      <c r="M27" s="18"/>
      <c r="N27" s="31"/>
      <c r="O27"/>
      <c r="P27" s="121"/>
      <c r="Q27" s="153" t="s">
        <v>646</v>
      </c>
      <c r="R27" s="153" t="s">
        <v>34</v>
      </c>
      <c r="S27" s="319">
        <f>C24</f>
        <v>0.66</v>
      </c>
      <c r="T27" s="153" t="s">
        <v>227</v>
      </c>
      <c r="U27" s="121" t="s">
        <v>647</v>
      </c>
      <c r="V27" s="121"/>
      <c r="W27" s="725" t="s">
        <v>648</v>
      </c>
      <c r="X27" s="121"/>
      <c r="Y27" s="121"/>
      <c r="Z27" s="121"/>
      <c r="AA27" s="121"/>
      <c r="AB27" s="121"/>
    </row>
    <row r="28" spans="1:28" ht="15" customHeight="1">
      <c r="A28" s="25"/>
      <c r="B28" s="17"/>
      <c r="C28" s="28"/>
      <c r="D28" s="28"/>
      <c r="E28" s="28"/>
      <c r="F28" s="28"/>
      <c r="G28" s="28"/>
      <c r="H28" s="28"/>
      <c r="I28" s="28"/>
      <c r="J28" s="28"/>
      <c r="K28" s="28"/>
      <c r="L28" s="28"/>
      <c r="M28" s="18"/>
      <c r="N28" s="31"/>
      <c r="O28"/>
      <c r="P28" s="121"/>
      <c r="Q28" s="121"/>
      <c r="R28" s="153" t="s">
        <v>34</v>
      </c>
      <c r="S28" s="319">
        <f>S27</f>
        <v>0.66</v>
      </c>
      <c r="T28" s="153" t="s">
        <v>227</v>
      </c>
      <c r="U28" s="121">
        <f>C23</f>
        <v>65000</v>
      </c>
      <c r="V28" s="121"/>
      <c r="W28" s="121"/>
      <c r="X28" s="121"/>
      <c r="Y28" s="121"/>
      <c r="Z28" s="121"/>
      <c r="AA28" s="121"/>
      <c r="AB28" s="121"/>
    </row>
    <row r="29" spans="1:28" ht="15" customHeight="1">
      <c r="A29" s="25"/>
      <c r="B29" s="17"/>
      <c r="C29" s="28"/>
      <c r="D29" s="28"/>
      <c r="E29" s="28"/>
      <c r="F29" s="28"/>
      <c r="G29" s="28"/>
      <c r="H29" s="28"/>
      <c r="I29" s="28"/>
      <c r="J29" s="28"/>
      <c r="K29" s="28"/>
      <c r="L29" s="28"/>
      <c r="M29" s="18"/>
      <c r="N29" s="31"/>
      <c r="O29"/>
      <c r="P29" s="121"/>
      <c r="Q29" s="121"/>
      <c r="R29" s="153" t="s">
        <v>34</v>
      </c>
      <c r="S29" s="153">
        <f>S28*U28</f>
        <v>42900</v>
      </c>
      <c r="T29" s="121"/>
      <c r="U29" s="121"/>
      <c r="V29" s="121"/>
      <c r="W29" s="121"/>
      <c r="X29" s="121"/>
      <c r="Y29" s="121"/>
      <c r="Z29" s="121"/>
      <c r="AA29" s="121"/>
      <c r="AB29" s="121"/>
    </row>
    <row r="30" spans="1:28" ht="15" customHeight="1" thickBot="1">
      <c r="A30" s="24"/>
      <c r="B30" s="32"/>
      <c r="C30" s="32"/>
      <c r="D30" s="32"/>
      <c r="E30" s="32"/>
      <c r="F30" s="32"/>
      <c r="G30" s="32"/>
      <c r="H30" s="32"/>
      <c r="I30" s="32"/>
      <c r="J30" s="32"/>
      <c r="K30" s="32"/>
      <c r="L30" s="32"/>
      <c r="M30" s="33"/>
      <c r="N30" s="31"/>
      <c r="O30"/>
      <c r="P30" s="121"/>
      <c r="Q30" s="121"/>
      <c r="R30" s="121"/>
      <c r="S30" s="121"/>
      <c r="T30" s="121"/>
      <c r="U30" s="121"/>
      <c r="V30" s="121"/>
      <c r="W30" s="121"/>
      <c r="X30" s="121"/>
      <c r="Y30" s="121"/>
      <c r="Z30" s="121"/>
      <c r="AA30" s="121"/>
      <c r="AB30" s="121"/>
    </row>
    <row r="31" spans="1:28" ht="15" customHeight="1">
      <c r="B31" s="31"/>
      <c r="C31" s="31"/>
      <c r="D31" s="31"/>
      <c r="E31" s="31"/>
      <c r="F31" s="31"/>
      <c r="G31" s="31"/>
      <c r="H31" s="31"/>
      <c r="I31" s="31"/>
      <c r="J31" s="31"/>
      <c r="K31" s="31"/>
      <c r="L31" s="31"/>
      <c r="M31" s="31"/>
      <c r="N31" s="31"/>
      <c r="O31"/>
      <c r="P31" s="121"/>
      <c r="Q31" s="153" t="s">
        <v>649</v>
      </c>
      <c r="R31" s="153" t="s">
        <v>34</v>
      </c>
      <c r="S31" s="121" t="s">
        <v>650</v>
      </c>
      <c r="T31" s="155" t="s">
        <v>119</v>
      </c>
      <c r="U31" s="153" t="s">
        <v>646</v>
      </c>
      <c r="V31" s="121"/>
      <c r="W31" s="725" t="s">
        <v>651</v>
      </c>
      <c r="X31" s="121"/>
      <c r="Y31" s="121"/>
      <c r="Z31" s="121"/>
      <c r="AA31" s="121"/>
      <c r="AB31" s="121"/>
    </row>
    <row r="32" spans="1:28" ht="15" customHeight="1">
      <c r="N32" s="31"/>
      <c r="O32"/>
      <c r="P32" s="121"/>
      <c r="Q32" s="121"/>
      <c r="R32" s="153" t="s">
        <v>34</v>
      </c>
      <c r="S32" s="153">
        <f>C23</f>
        <v>65000</v>
      </c>
      <c r="T32" s="155" t="s">
        <v>119</v>
      </c>
      <c r="U32" s="153">
        <f>S29</f>
        <v>42900</v>
      </c>
      <c r="V32" s="121"/>
      <c r="W32" s="121"/>
      <c r="X32" s="121"/>
      <c r="Y32" s="121"/>
      <c r="Z32" s="121"/>
      <c r="AA32" s="121"/>
      <c r="AB32" s="121"/>
    </row>
    <row r="33" spans="2:28" ht="15" customHeight="1">
      <c r="N33" s="31"/>
      <c r="O33" s="48"/>
      <c r="P33" s="121"/>
      <c r="Q33" s="121"/>
      <c r="R33" s="153" t="s">
        <v>34</v>
      </c>
      <c r="S33" s="153">
        <f>S32-U32</f>
        <v>22100</v>
      </c>
      <c r="T33" s="121"/>
      <c r="U33" s="121"/>
      <c r="V33" s="121"/>
      <c r="W33" s="121"/>
      <c r="X33" s="121"/>
      <c r="Y33" s="121"/>
      <c r="Z33" s="121"/>
      <c r="AA33" s="121"/>
      <c r="AB33" s="121"/>
    </row>
    <row r="34" spans="2:28" ht="15" customHeight="1">
      <c r="N34" s="31"/>
      <c r="O34"/>
      <c r="P34" s="121"/>
      <c r="Q34" s="121"/>
      <c r="R34" s="121"/>
      <c r="S34" s="121"/>
      <c r="T34" s="121"/>
      <c r="U34" s="121"/>
      <c r="V34" s="121"/>
      <c r="W34" s="121"/>
      <c r="X34" s="121"/>
      <c r="Y34" s="121"/>
      <c r="Z34" s="121"/>
      <c r="AA34" s="121"/>
      <c r="AB34" s="121"/>
    </row>
    <row r="35" spans="2:28" ht="15" customHeight="1">
      <c r="N35" s="31"/>
      <c r="O35" s="48"/>
      <c r="P35" s="121"/>
      <c r="Q35" s="177" t="s">
        <v>652</v>
      </c>
      <c r="R35" s="121"/>
      <c r="S35" s="121"/>
      <c r="T35" s="121"/>
      <c r="U35" s="121"/>
      <c r="V35" s="121"/>
      <c r="W35" s="121"/>
      <c r="X35" s="121"/>
      <c r="Y35" s="121"/>
      <c r="Z35" s="121"/>
      <c r="AA35" s="121"/>
      <c r="AB35" s="121"/>
    </row>
    <row r="36" spans="2:28" ht="15" customHeight="1">
      <c r="N36" s="31"/>
      <c r="O36"/>
      <c r="P36" s="121"/>
      <c r="Q36" s="121"/>
      <c r="R36" s="121"/>
      <c r="S36" s="121"/>
      <c r="T36" s="121"/>
      <c r="U36" s="121"/>
      <c r="V36" s="121"/>
      <c r="W36" s="121"/>
      <c r="X36" s="121"/>
      <c r="Y36" s="121"/>
      <c r="Z36" s="121"/>
      <c r="AA36" s="121"/>
      <c r="AB36" s="121"/>
    </row>
    <row r="37" spans="2:28" ht="15" customHeight="1">
      <c r="N37" s="31"/>
      <c r="O37"/>
      <c r="P37" s="121"/>
      <c r="Q37" s="723" t="s">
        <v>638</v>
      </c>
      <c r="R37" s="723"/>
      <c r="S37" s="155" t="s">
        <v>34</v>
      </c>
      <c r="T37" s="726">
        <f>T19</f>
        <v>0.1</v>
      </c>
      <c r="U37" s="723"/>
      <c r="V37" s="153" t="s">
        <v>227</v>
      </c>
      <c r="W37" s="279" t="str">
        <f>"[ "&amp;C27*100&amp;"%   x"</f>
        <v>[ 35%   x</v>
      </c>
      <c r="X37" s="153">
        <f>C22+S29</f>
        <v>182900</v>
      </c>
      <c r="Y37" s="153" t="s">
        <v>35</v>
      </c>
      <c r="Z37" s="153" t="s">
        <v>641</v>
      </c>
      <c r="AA37" s="153">
        <f>S33</f>
        <v>22100</v>
      </c>
      <c r="AB37" s="121" t="s">
        <v>653</v>
      </c>
    </row>
    <row r="38" spans="2:28" ht="15" customHeight="1">
      <c r="N38" s="31"/>
      <c r="O38"/>
      <c r="P38" s="121"/>
      <c r="Q38" s="727" t="s">
        <v>638</v>
      </c>
      <c r="R38" s="728"/>
      <c r="S38" s="729" t="s">
        <v>34</v>
      </c>
      <c r="T38" s="730">
        <f>T19*(C27*X37+AA37)</f>
        <v>8611.5</v>
      </c>
      <c r="U38" s="731" t="s">
        <v>654</v>
      </c>
      <c r="V38" s="121"/>
      <c r="W38" s="121"/>
      <c r="X38" s="121"/>
      <c r="Y38" s="121"/>
      <c r="Z38" s="121"/>
      <c r="AA38" s="121"/>
      <c r="AB38" s="121"/>
    </row>
    <row r="39" spans="2:28" ht="15" customHeight="1">
      <c r="N39" s="31"/>
      <c r="O39"/>
      <c r="Z39" s="108"/>
      <c r="AA39" s="153"/>
    </row>
    <row r="40" spans="2:28" ht="15" customHeight="1">
      <c r="N40" s="31"/>
      <c r="O40"/>
      <c r="Z40" s="108"/>
      <c r="AA40" s="153"/>
    </row>
    <row r="41" spans="2:28" ht="15" customHeight="1">
      <c r="N41" s="31"/>
      <c r="O41"/>
      <c r="P41" s="121"/>
      <c r="Q41" s="121"/>
      <c r="R41" s="121"/>
      <c r="S41" s="121"/>
      <c r="T41" s="121"/>
      <c r="U41" s="121"/>
      <c r="V41" s="121"/>
      <c r="W41" s="121"/>
      <c r="X41" s="121"/>
      <c r="Y41" s="121"/>
      <c r="Z41" s="108"/>
      <c r="AA41" s="153"/>
    </row>
    <row r="42" spans="2:28" ht="15" customHeight="1">
      <c r="N42" s="31"/>
      <c r="O42"/>
      <c r="P42" s="121"/>
      <c r="Q42" s="121"/>
      <c r="R42" s="121"/>
      <c r="S42" s="121"/>
      <c r="T42" s="121"/>
      <c r="U42" s="121"/>
      <c r="V42" s="121"/>
      <c r="W42" s="121"/>
      <c r="X42" s="121"/>
      <c r="Y42" s="121"/>
      <c r="Z42" s="108"/>
      <c r="AA42" s="153"/>
    </row>
    <row r="43" spans="2:28" ht="15" customHeight="1">
      <c r="N43" s="31"/>
      <c r="O43"/>
      <c r="P43" s="121"/>
      <c r="Q43" s="121"/>
      <c r="R43" s="121"/>
      <c r="S43" s="121"/>
      <c r="T43" s="121"/>
      <c r="U43" s="121"/>
      <c r="V43" s="121"/>
      <c r="W43" s="121"/>
      <c r="X43" s="121"/>
      <c r="Y43" s="121"/>
      <c r="Z43" s="108"/>
      <c r="AA43" s="153"/>
    </row>
    <row r="44" spans="2:28" ht="15" customHeight="1">
      <c r="N44" s="31"/>
      <c r="O44"/>
      <c r="P44" s="121"/>
      <c r="Q44" s="121"/>
      <c r="R44" s="121"/>
      <c r="S44" s="121"/>
      <c r="T44" s="121"/>
      <c r="U44" s="121"/>
      <c r="V44" s="121"/>
      <c r="W44" s="121"/>
      <c r="X44" s="121"/>
      <c r="Y44" s="121"/>
      <c r="Z44" s="108"/>
      <c r="AA44" s="153"/>
    </row>
    <row r="45" spans="2:28" ht="15" customHeight="1">
      <c r="N45" s="31"/>
      <c r="O45"/>
      <c r="P45" s="121"/>
      <c r="Q45" s="121"/>
      <c r="R45" s="121"/>
      <c r="S45" s="121"/>
      <c r="T45" s="121"/>
      <c r="U45" s="121"/>
      <c r="V45" s="121"/>
      <c r="W45" s="121"/>
      <c r="X45" s="121"/>
      <c r="Y45" s="121"/>
      <c r="Z45" s="108"/>
      <c r="AA45" s="153"/>
    </row>
    <row r="46" spans="2:28" ht="15" customHeight="1">
      <c r="B46" s="31"/>
      <c r="C46" s="31"/>
      <c r="D46" s="31"/>
      <c r="E46" s="31"/>
      <c r="F46" s="31"/>
      <c r="G46" s="31"/>
      <c r="H46" s="31"/>
      <c r="I46" s="31"/>
      <c r="J46" s="31"/>
      <c r="K46" s="31"/>
      <c r="L46" s="31"/>
      <c r="M46" s="31"/>
      <c r="N46" s="31"/>
      <c r="O46"/>
      <c r="P46" s="121"/>
      <c r="Q46" s="121"/>
      <c r="R46" s="121"/>
      <c r="S46" s="121"/>
      <c r="T46" s="121"/>
      <c r="U46" s="121"/>
      <c r="V46" s="121"/>
      <c r="W46" s="121"/>
      <c r="X46" s="121"/>
      <c r="Y46" s="121"/>
      <c r="Z46" s="108"/>
      <c r="AA46" s="153"/>
    </row>
    <row r="47" spans="2:28" ht="15" customHeight="1">
      <c r="B47" s="31"/>
      <c r="C47" s="31"/>
      <c r="D47" s="31"/>
      <c r="E47" s="31"/>
      <c r="F47" s="31"/>
      <c r="G47" s="31"/>
      <c r="H47" s="31"/>
      <c r="I47" s="31"/>
      <c r="J47" s="31"/>
      <c r="K47" s="31"/>
      <c r="L47" s="31"/>
      <c r="M47" s="31"/>
      <c r="N47" s="31"/>
      <c r="O47"/>
      <c r="P47" s="121"/>
      <c r="Q47" s="121"/>
      <c r="R47" s="121"/>
      <c r="S47" s="121"/>
      <c r="T47" s="121"/>
      <c r="U47" s="121"/>
      <c r="V47" s="121"/>
      <c r="W47" s="121"/>
      <c r="X47" s="121"/>
      <c r="Y47" s="121"/>
      <c r="Z47" s="108"/>
      <c r="AA47" s="153"/>
    </row>
    <row r="48" spans="2:28" ht="15" customHeight="1">
      <c r="B48" s="31"/>
      <c r="C48" s="31"/>
      <c r="D48" s="31"/>
      <c r="E48" s="31"/>
      <c r="F48" s="31"/>
      <c r="G48" s="31"/>
      <c r="H48" s="31"/>
      <c r="I48" s="31"/>
      <c r="J48" s="31"/>
      <c r="K48" s="31"/>
      <c r="L48" s="31"/>
      <c r="M48" s="31"/>
      <c r="N48" s="31"/>
      <c r="O48"/>
      <c r="P48" s="121"/>
      <c r="Q48" s="121"/>
      <c r="R48" s="121"/>
      <c r="S48" s="121"/>
      <c r="T48" s="121"/>
      <c r="U48" s="121"/>
      <c r="V48" s="121"/>
      <c r="W48" s="121"/>
      <c r="X48" s="121"/>
      <c r="Y48" s="121"/>
      <c r="Z48" s="108"/>
      <c r="AA48" s="153"/>
    </row>
    <row r="49" spans="2:27" ht="15" customHeight="1">
      <c r="B49" s="31"/>
      <c r="C49" s="31"/>
      <c r="D49" s="31"/>
      <c r="E49" s="31"/>
      <c r="F49" s="31"/>
      <c r="G49" s="31"/>
      <c r="H49" s="31"/>
      <c r="I49" s="31"/>
      <c r="J49" s="31"/>
      <c r="K49" s="31"/>
      <c r="L49" s="31"/>
      <c r="M49" s="31"/>
      <c r="N49" s="31"/>
      <c r="O49"/>
      <c r="P49" s="121"/>
      <c r="Q49" s="121"/>
      <c r="R49" s="121"/>
      <c r="S49" s="121"/>
      <c r="T49" s="121"/>
      <c r="U49" s="121"/>
      <c r="V49" s="121"/>
      <c r="W49" s="121"/>
      <c r="X49" s="121"/>
      <c r="Y49" s="121"/>
      <c r="Z49" s="108"/>
      <c r="AA49" s="153"/>
    </row>
    <row r="50" spans="2:27" ht="15" customHeight="1">
      <c r="B50" s="31"/>
      <c r="C50" s="31"/>
      <c r="D50" s="31"/>
      <c r="E50" s="31"/>
      <c r="F50" s="31"/>
      <c r="G50" s="31"/>
      <c r="H50" s="31"/>
      <c r="I50" s="31"/>
      <c r="J50" s="31"/>
      <c r="K50" s="31"/>
      <c r="L50" s="31"/>
      <c r="M50" s="31"/>
      <c r="N50" s="31"/>
      <c r="O50"/>
      <c r="P50" s="121"/>
      <c r="Q50" s="121"/>
      <c r="R50" s="121"/>
      <c r="S50" s="121"/>
      <c r="T50" s="121"/>
      <c r="U50" s="121"/>
      <c r="V50" s="121"/>
      <c r="W50" s="121"/>
      <c r="X50" s="121"/>
      <c r="Y50" s="121"/>
      <c r="Z50" s="108"/>
      <c r="AA50" s="153"/>
    </row>
    <row r="51" spans="2:27" ht="15" customHeight="1">
      <c r="B51" s="31"/>
      <c r="C51" s="31"/>
      <c r="D51" s="31"/>
      <c r="E51" s="31"/>
      <c r="F51" s="31"/>
      <c r="G51" s="31"/>
      <c r="H51" s="31"/>
      <c r="I51" s="31"/>
      <c r="J51" s="31"/>
      <c r="K51" s="31"/>
      <c r="L51" s="31"/>
      <c r="M51" s="31"/>
      <c r="N51" s="31"/>
      <c r="P51" s="121"/>
      <c r="Q51" s="121"/>
      <c r="R51" s="121"/>
      <c r="S51" s="121"/>
      <c r="T51" s="121"/>
      <c r="U51" s="121"/>
      <c r="V51" s="121"/>
      <c r="W51" s="121"/>
      <c r="X51" s="121"/>
      <c r="Y51" s="121"/>
      <c r="Z51" s="108"/>
      <c r="AA51" s="153"/>
    </row>
    <row r="52" spans="2:27" ht="15" customHeight="1">
      <c r="B52" s="31"/>
      <c r="C52" s="31"/>
      <c r="D52" s="31"/>
      <c r="E52" s="31"/>
      <c r="F52" s="31"/>
      <c r="G52" s="31"/>
      <c r="H52" s="31"/>
      <c r="I52" s="31"/>
      <c r="J52" s="31"/>
      <c r="K52" s="31"/>
      <c r="L52" s="31"/>
      <c r="M52" s="31"/>
      <c r="N52" s="31"/>
    </row>
    <row r="53" spans="2:27" ht="15" customHeight="1">
      <c r="B53" s="31"/>
      <c r="C53" s="31"/>
      <c r="D53" s="31"/>
      <c r="E53" s="31"/>
      <c r="F53" s="31"/>
      <c r="G53" s="31"/>
      <c r="H53" s="31"/>
      <c r="I53" s="31"/>
      <c r="J53" s="31"/>
      <c r="K53" s="31"/>
      <c r="L53" s="31"/>
      <c r="M53" s="31"/>
      <c r="N53" s="31"/>
    </row>
    <row r="54" spans="2:27" ht="15" customHeight="1">
      <c r="B54" s="31"/>
      <c r="C54" s="31"/>
      <c r="D54" s="31"/>
      <c r="E54" s="31"/>
      <c r="F54" s="31"/>
      <c r="G54" s="31"/>
      <c r="H54" s="31"/>
      <c r="I54" s="31"/>
      <c r="J54" s="31"/>
      <c r="K54" s="31"/>
      <c r="L54" s="31"/>
      <c r="M54" s="31"/>
      <c r="N54" s="31"/>
    </row>
    <row r="55" spans="2:27" ht="15" customHeight="1">
      <c r="B55" s="31"/>
      <c r="C55" s="31"/>
      <c r="D55" s="31"/>
      <c r="E55" s="31"/>
      <c r="F55" s="31"/>
      <c r="G55" s="31"/>
      <c r="H55" s="31"/>
      <c r="I55" s="31"/>
      <c r="J55" s="31"/>
      <c r="K55" s="31"/>
      <c r="L55" s="31"/>
      <c r="M55" s="31"/>
      <c r="N55" s="31"/>
    </row>
    <row r="56" spans="2:27" ht="15" customHeight="1">
      <c r="B56" s="31"/>
      <c r="C56" s="31"/>
      <c r="D56" s="31"/>
      <c r="E56" s="31"/>
      <c r="F56" s="31"/>
      <c r="G56" s="31"/>
      <c r="H56" s="31"/>
      <c r="I56" s="31"/>
      <c r="J56" s="31"/>
      <c r="K56" s="31"/>
      <c r="L56" s="31"/>
      <c r="M56" s="31"/>
      <c r="N56" s="31"/>
    </row>
    <row r="57" spans="2:27" ht="15" customHeight="1">
      <c r="B57" s="31"/>
      <c r="C57" s="31"/>
      <c r="D57" s="31"/>
      <c r="E57" s="31"/>
      <c r="F57" s="31"/>
      <c r="G57" s="31"/>
      <c r="H57" s="31"/>
      <c r="I57" s="31"/>
      <c r="J57" s="31"/>
      <c r="K57" s="31"/>
      <c r="L57" s="31"/>
      <c r="M57" s="31"/>
      <c r="N57" s="31"/>
    </row>
    <row r="58" spans="2:27" ht="15" customHeight="1">
      <c r="B58" s="31"/>
      <c r="C58" s="31"/>
      <c r="D58" s="31"/>
      <c r="E58" s="31"/>
      <c r="F58" s="31"/>
      <c r="G58" s="31"/>
      <c r="H58" s="31"/>
      <c r="I58" s="31"/>
      <c r="J58" s="31"/>
      <c r="K58" s="31"/>
      <c r="L58" s="31"/>
      <c r="M58" s="31"/>
      <c r="N58" s="31"/>
    </row>
    <row r="59" spans="2:27" ht="15" customHeight="1">
      <c r="B59" s="31"/>
      <c r="C59" s="31"/>
      <c r="D59" s="31"/>
      <c r="E59" s="31"/>
      <c r="F59" s="31"/>
      <c r="G59" s="31"/>
      <c r="H59" s="31"/>
      <c r="I59" s="31"/>
      <c r="J59" s="31"/>
      <c r="K59" s="31"/>
      <c r="L59" s="31"/>
      <c r="M59" s="31"/>
      <c r="N59" s="31"/>
    </row>
    <row r="60" spans="2:27" ht="15" customHeight="1">
      <c r="B60" s="31"/>
      <c r="C60" s="31"/>
      <c r="D60" s="31"/>
      <c r="E60" s="31"/>
      <c r="F60" s="31"/>
      <c r="G60" s="31"/>
      <c r="H60" s="31"/>
      <c r="I60" s="31"/>
      <c r="J60" s="31"/>
      <c r="K60" s="31"/>
      <c r="L60" s="31"/>
      <c r="M60" s="31"/>
      <c r="N60" s="31"/>
    </row>
    <row r="61" spans="2:27" ht="15" customHeight="1">
      <c r="B61" s="31"/>
      <c r="C61" s="31"/>
      <c r="D61" s="31"/>
      <c r="E61" s="31"/>
      <c r="F61" s="31"/>
      <c r="G61" s="31"/>
      <c r="H61" s="31"/>
      <c r="I61" s="31"/>
      <c r="J61" s="31"/>
      <c r="K61" s="31"/>
      <c r="L61" s="31"/>
      <c r="M61" s="31"/>
      <c r="N61" s="31"/>
    </row>
    <row r="62" spans="2:27" ht="15" customHeight="1">
      <c r="B62" s="31"/>
      <c r="C62" s="31"/>
      <c r="D62" s="31"/>
      <c r="E62" s="31"/>
      <c r="F62" s="31"/>
      <c r="G62" s="31"/>
      <c r="H62" s="31"/>
      <c r="I62" s="31"/>
      <c r="J62" s="31"/>
      <c r="K62" s="31"/>
      <c r="L62" s="31"/>
      <c r="M62" s="31"/>
      <c r="N62" s="31"/>
    </row>
    <row r="63" spans="2:27" ht="15" customHeight="1">
      <c r="B63" s="31"/>
      <c r="C63" s="31"/>
      <c r="D63" s="31"/>
      <c r="E63" s="31"/>
      <c r="F63" s="31"/>
      <c r="G63" s="31"/>
      <c r="H63" s="31"/>
      <c r="I63" s="31"/>
      <c r="J63" s="31"/>
      <c r="K63" s="31"/>
      <c r="L63" s="31"/>
      <c r="M63" s="31"/>
      <c r="N63" s="31"/>
    </row>
    <row r="64" spans="2:27" ht="15" customHeight="1">
      <c r="B64" s="31"/>
      <c r="C64" s="31"/>
      <c r="D64" s="31"/>
      <c r="E64" s="31"/>
      <c r="F64" s="31"/>
      <c r="G64" s="31"/>
      <c r="H64" s="31"/>
      <c r="I64" s="31"/>
      <c r="J64" s="31"/>
      <c r="K64" s="31"/>
      <c r="L64" s="31"/>
      <c r="M64" s="31"/>
      <c r="N64" s="31"/>
    </row>
    <row r="65" spans="2:14" ht="15" customHeight="1">
      <c r="B65" s="31"/>
      <c r="C65" s="31"/>
      <c r="D65" s="31"/>
      <c r="E65" s="31"/>
      <c r="F65" s="31"/>
      <c r="G65" s="31"/>
      <c r="H65" s="31"/>
      <c r="I65" s="31"/>
      <c r="J65" s="31"/>
      <c r="K65" s="31"/>
      <c r="L65" s="31"/>
      <c r="M65" s="31"/>
      <c r="N65" s="31"/>
    </row>
    <row r="66" spans="2:14" ht="15" customHeight="1">
      <c r="B66" s="31"/>
      <c r="C66" s="31"/>
      <c r="D66" s="31"/>
      <c r="E66" s="31"/>
      <c r="F66" s="31"/>
      <c r="G66" s="31"/>
      <c r="H66" s="31"/>
      <c r="I66" s="31"/>
      <c r="J66" s="31"/>
      <c r="K66" s="31"/>
      <c r="L66" s="31"/>
      <c r="M66" s="31"/>
      <c r="N66" s="31"/>
    </row>
    <row r="67" spans="2:14" ht="15" customHeight="1">
      <c r="B67" s="31"/>
      <c r="C67" s="31"/>
      <c r="D67" s="31"/>
      <c r="E67" s="31"/>
      <c r="F67" s="31"/>
      <c r="G67" s="31"/>
      <c r="H67" s="31"/>
      <c r="I67" s="31"/>
      <c r="J67" s="31"/>
      <c r="K67" s="31"/>
      <c r="L67" s="31"/>
      <c r="M67" s="31"/>
      <c r="N67" s="31"/>
    </row>
    <row r="68" spans="2:14" ht="15" customHeight="1">
      <c r="B68" s="31"/>
      <c r="C68" s="31"/>
      <c r="D68" s="31"/>
      <c r="E68" s="31"/>
      <c r="F68" s="31"/>
      <c r="G68" s="31"/>
      <c r="H68" s="31"/>
      <c r="I68" s="31"/>
      <c r="J68" s="31"/>
      <c r="K68" s="31"/>
      <c r="L68" s="31"/>
      <c r="M68" s="31"/>
      <c r="N68" s="31"/>
    </row>
    <row r="69" spans="2:14" ht="15" customHeight="1">
      <c r="B69" s="31"/>
      <c r="C69" s="31"/>
      <c r="D69" s="31"/>
      <c r="E69" s="31"/>
      <c r="F69" s="31"/>
      <c r="G69" s="31"/>
      <c r="H69" s="31"/>
      <c r="I69" s="31"/>
      <c r="J69" s="31"/>
      <c r="K69" s="31"/>
      <c r="L69" s="31"/>
      <c r="M69" s="31"/>
      <c r="N69" s="31"/>
    </row>
    <row r="70" spans="2:14" ht="15" customHeight="1">
      <c r="B70" s="31"/>
      <c r="C70" s="31"/>
      <c r="D70" s="31"/>
      <c r="E70" s="31"/>
      <c r="F70" s="31"/>
      <c r="G70" s="31"/>
      <c r="H70" s="31"/>
      <c r="I70" s="31"/>
      <c r="J70" s="31"/>
      <c r="K70" s="31"/>
      <c r="L70" s="31"/>
      <c r="M70" s="31"/>
      <c r="N70" s="31"/>
    </row>
    <row r="71" spans="2:14" ht="15" customHeight="1">
      <c r="B71" s="31"/>
      <c r="C71" s="31"/>
      <c r="D71" s="31"/>
      <c r="E71" s="31"/>
      <c r="F71" s="31"/>
      <c r="G71" s="31"/>
      <c r="H71" s="31"/>
      <c r="I71" s="31"/>
      <c r="J71" s="31"/>
      <c r="K71" s="31"/>
      <c r="L71" s="31"/>
      <c r="M71" s="31"/>
      <c r="N71" s="31"/>
    </row>
    <row r="72" spans="2:14" ht="15" customHeight="1">
      <c r="B72" s="31"/>
      <c r="C72" s="31"/>
      <c r="D72" s="31"/>
      <c r="E72" s="31"/>
      <c r="F72" s="31"/>
      <c r="G72" s="31"/>
      <c r="H72" s="31"/>
      <c r="I72" s="31"/>
      <c r="J72" s="31"/>
      <c r="K72" s="31"/>
      <c r="L72" s="31"/>
      <c r="M72" s="31"/>
      <c r="N72" s="31"/>
    </row>
    <row r="73" spans="2:14" ht="15" customHeight="1">
      <c r="B73" s="31"/>
      <c r="C73" s="31"/>
      <c r="D73" s="31"/>
      <c r="E73" s="31"/>
      <c r="F73" s="31"/>
      <c r="G73" s="31"/>
      <c r="H73" s="31"/>
      <c r="I73" s="31"/>
      <c r="J73" s="31"/>
      <c r="K73" s="31"/>
      <c r="L73" s="31"/>
      <c r="M73" s="31"/>
      <c r="N73" s="31"/>
    </row>
    <row r="74" spans="2:14" ht="15" customHeight="1">
      <c r="B74" s="31"/>
      <c r="C74" s="31"/>
      <c r="D74" s="31"/>
      <c r="E74" s="31"/>
      <c r="F74" s="31"/>
      <c r="G74" s="31"/>
      <c r="H74" s="31"/>
      <c r="I74" s="31"/>
      <c r="J74" s="31"/>
      <c r="K74" s="31"/>
      <c r="L74" s="31"/>
      <c r="M74" s="31"/>
      <c r="N74" s="31"/>
    </row>
    <row r="75" spans="2:14" ht="15" customHeight="1">
      <c r="B75" s="31"/>
      <c r="C75" s="31"/>
      <c r="D75" s="31"/>
      <c r="E75" s="31"/>
      <c r="F75" s="31"/>
      <c r="G75" s="31"/>
      <c r="H75" s="31"/>
      <c r="I75" s="31"/>
      <c r="J75" s="31"/>
      <c r="K75" s="31"/>
      <c r="L75" s="31"/>
      <c r="M75" s="31"/>
      <c r="N75" s="31"/>
    </row>
    <row r="76" spans="2:14" ht="15" customHeight="1">
      <c r="B76" s="31"/>
      <c r="C76" s="31"/>
      <c r="D76" s="31"/>
      <c r="E76" s="31"/>
      <c r="F76" s="31"/>
      <c r="G76" s="31"/>
      <c r="H76" s="31"/>
      <c r="I76" s="31"/>
      <c r="J76" s="31"/>
      <c r="K76" s="31"/>
      <c r="L76" s="31"/>
      <c r="M76" s="31"/>
      <c r="N76" s="31"/>
    </row>
    <row r="77" spans="2:14" ht="15" customHeight="1">
      <c r="B77" s="31"/>
      <c r="C77" s="31"/>
      <c r="D77" s="31"/>
      <c r="E77" s="31"/>
      <c r="F77" s="31"/>
      <c r="G77" s="31"/>
      <c r="H77" s="31"/>
      <c r="I77" s="31"/>
      <c r="J77" s="31"/>
      <c r="K77" s="31"/>
      <c r="L77" s="31"/>
      <c r="M77" s="31"/>
      <c r="N77" s="31"/>
    </row>
    <row r="78" spans="2:14" ht="15" customHeight="1">
      <c r="B78" s="31"/>
      <c r="C78" s="31"/>
      <c r="D78" s="31"/>
      <c r="E78" s="31"/>
      <c r="F78" s="31"/>
      <c r="G78" s="31"/>
      <c r="H78" s="31"/>
      <c r="I78" s="31"/>
      <c r="J78" s="31"/>
      <c r="K78" s="31"/>
      <c r="L78" s="31"/>
      <c r="M78" s="31"/>
      <c r="N78" s="31"/>
    </row>
    <row r="79" spans="2:14" ht="15" customHeight="1">
      <c r="B79" s="31"/>
      <c r="C79" s="31"/>
      <c r="D79" s="31"/>
      <c r="E79" s="31"/>
      <c r="F79" s="31"/>
      <c r="G79" s="31"/>
      <c r="H79" s="31"/>
      <c r="I79" s="31"/>
      <c r="J79" s="31"/>
      <c r="K79" s="31"/>
      <c r="L79" s="31"/>
      <c r="M79" s="31"/>
      <c r="N79" s="31"/>
    </row>
    <row r="80" spans="2:14" ht="15" customHeight="1">
      <c r="B80" s="31"/>
      <c r="C80" s="31"/>
      <c r="D80" s="31"/>
      <c r="E80" s="31"/>
      <c r="F80" s="31"/>
      <c r="G80" s="31"/>
      <c r="H80" s="31"/>
      <c r="I80" s="31"/>
      <c r="J80" s="31"/>
      <c r="K80" s="31"/>
      <c r="L80" s="31"/>
      <c r="M80" s="31"/>
      <c r="N80" s="31"/>
    </row>
    <row r="81" spans="2:14" ht="15" customHeight="1">
      <c r="B81" s="31"/>
      <c r="C81" s="31"/>
      <c r="D81" s="31"/>
      <c r="E81" s="31"/>
      <c r="F81" s="31"/>
      <c r="G81" s="31"/>
      <c r="H81" s="31"/>
      <c r="I81" s="31"/>
      <c r="J81" s="31"/>
      <c r="K81" s="31"/>
      <c r="L81" s="31"/>
      <c r="M81" s="31"/>
      <c r="N81" s="31"/>
    </row>
    <row r="82" spans="2:14" ht="15" customHeight="1">
      <c r="B82" s="31"/>
      <c r="C82" s="31"/>
      <c r="D82" s="31"/>
      <c r="E82" s="31"/>
      <c r="F82" s="31"/>
      <c r="G82" s="31"/>
      <c r="H82" s="31"/>
      <c r="I82" s="31"/>
      <c r="J82" s="31"/>
      <c r="K82" s="31"/>
      <c r="L82" s="31"/>
      <c r="M82" s="31"/>
      <c r="N82" s="31"/>
    </row>
    <row r="83" spans="2:14" ht="15" customHeight="1">
      <c r="B83" s="31"/>
      <c r="C83" s="31"/>
      <c r="D83" s="31"/>
      <c r="E83" s="31"/>
      <c r="F83" s="31"/>
      <c r="G83" s="31"/>
      <c r="H83" s="31"/>
      <c r="I83" s="31"/>
      <c r="J83" s="31"/>
      <c r="K83" s="31"/>
      <c r="L83" s="31"/>
      <c r="M83" s="31"/>
      <c r="N83" s="31"/>
    </row>
    <row r="84" spans="2:14" ht="15" customHeight="1">
      <c r="B84" s="31"/>
      <c r="C84" s="31"/>
      <c r="D84" s="31"/>
      <c r="E84" s="31"/>
      <c r="F84" s="31"/>
      <c r="G84" s="31"/>
      <c r="H84" s="31"/>
      <c r="I84" s="31"/>
      <c r="J84" s="31"/>
      <c r="K84" s="31"/>
      <c r="L84" s="31"/>
      <c r="M84" s="31"/>
      <c r="N84" s="31"/>
    </row>
    <row r="85" spans="2:14" ht="15" customHeight="1">
      <c r="B85" s="31"/>
      <c r="C85" s="31"/>
      <c r="D85" s="31"/>
      <c r="E85" s="31"/>
      <c r="F85" s="31"/>
      <c r="G85" s="31"/>
      <c r="H85" s="31"/>
      <c r="I85" s="31"/>
      <c r="J85" s="31"/>
      <c r="K85" s="31"/>
      <c r="L85" s="31"/>
      <c r="M85" s="31"/>
      <c r="N85" s="31"/>
    </row>
    <row r="86" spans="2:14" ht="15" customHeight="1">
      <c r="B86" s="31"/>
      <c r="C86" s="31"/>
      <c r="D86" s="31"/>
      <c r="E86" s="31"/>
      <c r="F86" s="31"/>
      <c r="G86" s="31"/>
      <c r="H86" s="31"/>
      <c r="I86" s="31"/>
      <c r="J86" s="31"/>
      <c r="K86" s="31"/>
      <c r="L86" s="31"/>
      <c r="M86" s="31"/>
      <c r="N86" s="31"/>
    </row>
    <row r="87" spans="2:14" ht="15" customHeight="1">
      <c r="B87" s="31"/>
      <c r="C87" s="31"/>
      <c r="D87" s="31"/>
      <c r="E87" s="31"/>
      <c r="F87" s="31"/>
      <c r="G87" s="31"/>
      <c r="H87" s="31"/>
      <c r="I87" s="31"/>
      <c r="J87" s="31"/>
      <c r="K87" s="31"/>
      <c r="L87" s="31"/>
      <c r="M87" s="31"/>
      <c r="N87" s="31"/>
    </row>
    <row r="88" spans="2:14" ht="15" customHeight="1">
      <c r="B88" s="31"/>
      <c r="C88" s="31"/>
      <c r="D88" s="31"/>
      <c r="E88" s="31"/>
      <c r="F88" s="31"/>
      <c r="G88" s="31"/>
      <c r="H88" s="31"/>
      <c r="I88" s="31"/>
      <c r="J88" s="31"/>
      <c r="K88" s="31"/>
      <c r="L88" s="31"/>
      <c r="M88" s="31"/>
      <c r="N88" s="31"/>
    </row>
    <row r="89" spans="2:14" ht="15" customHeight="1">
      <c r="B89" s="31"/>
      <c r="C89" s="31"/>
      <c r="D89" s="31"/>
      <c r="E89" s="31"/>
      <c r="F89" s="31"/>
      <c r="G89" s="31"/>
      <c r="H89" s="31"/>
      <c r="I89" s="31"/>
      <c r="J89" s="31"/>
      <c r="K89" s="31"/>
      <c r="L89" s="31"/>
      <c r="M89" s="31"/>
      <c r="N89" s="31"/>
    </row>
    <row r="90" spans="2:14" ht="15" customHeight="1">
      <c r="B90" s="31"/>
      <c r="C90" s="31"/>
      <c r="D90" s="31"/>
      <c r="E90" s="31"/>
      <c r="F90" s="31"/>
      <c r="G90" s="31"/>
      <c r="H90" s="31"/>
      <c r="I90" s="31"/>
      <c r="J90" s="31"/>
      <c r="K90" s="31"/>
      <c r="L90" s="31"/>
      <c r="M90" s="31"/>
      <c r="N90" s="31"/>
    </row>
    <row r="91" spans="2:14" ht="15" customHeight="1">
      <c r="B91" s="31"/>
      <c r="C91" s="31"/>
      <c r="D91" s="31"/>
      <c r="E91" s="31"/>
      <c r="F91" s="31"/>
      <c r="G91" s="31"/>
      <c r="H91" s="31"/>
      <c r="I91" s="31"/>
      <c r="J91" s="31"/>
      <c r="K91" s="31"/>
      <c r="L91" s="31"/>
      <c r="M91" s="31"/>
      <c r="N91" s="31"/>
    </row>
    <row r="92" spans="2:14" ht="15" customHeight="1">
      <c r="B92" s="31"/>
      <c r="C92" s="31"/>
      <c r="D92" s="31"/>
      <c r="E92" s="31"/>
      <c r="F92" s="31"/>
      <c r="G92" s="31"/>
      <c r="H92" s="31"/>
      <c r="I92" s="31"/>
      <c r="J92" s="31"/>
      <c r="K92" s="31"/>
      <c r="L92" s="31"/>
      <c r="M92" s="31"/>
      <c r="N92" s="31"/>
    </row>
    <row r="93" spans="2:14" ht="15" customHeight="1">
      <c r="B93" s="31"/>
      <c r="C93" s="31"/>
      <c r="D93" s="31"/>
      <c r="E93" s="31"/>
      <c r="F93" s="31"/>
      <c r="G93" s="31"/>
      <c r="H93" s="31"/>
      <c r="I93" s="31"/>
      <c r="J93" s="31"/>
      <c r="K93" s="31"/>
      <c r="L93" s="31"/>
      <c r="M93" s="31"/>
      <c r="N93" s="31"/>
    </row>
    <row r="94" spans="2:14" ht="15" customHeight="1">
      <c r="B94" s="31"/>
      <c r="C94" s="31"/>
      <c r="D94" s="31"/>
      <c r="E94" s="31"/>
      <c r="F94" s="31"/>
      <c r="G94" s="31"/>
      <c r="H94" s="31"/>
      <c r="I94" s="31"/>
      <c r="J94" s="31"/>
      <c r="K94" s="31"/>
      <c r="L94" s="31"/>
      <c r="M94" s="31"/>
      <c r="N94" s="31"/>
    </row>
    <row r="95" spans="2:14" ht="15" customHeight="1">
      <c r="B95" s="31"/>
      <c r="C95" s="31"/>
      <c r="D95" s="31"/>
      <c r="E95" s="31"/>
      <c r="F95" s="31"/>
      <c r="G95" s="31"/>
      <c r="H95" s="31"/>
      <c r="I95" s="31"/>
      <c r="J95" s="31"/>
      <c r="K95" s="31"/>
      <c r="L95" s="31"/>
      <c r="M95" s="31"/>
      <c r="N95" s="31"/>
    </row>
    <row r="96" spans="2:14" ht="15" customHeight="1">
      <c r="B96" s="31"/>
      <c r="C96" s="31"/>
      <c r="D96" s="31"/>
      <c r="E96" s="31"/>
      <c r="F96" s="31"/>
      <c r="G96" s="31"/>
      <c r="H96" s="31"/>
      <c r="I96" s="31"/>
      <c r="J96" s="31"/>
      <c r="K96" s="31"/>
      <c r="L96" s="31"/>
      <c r="M96" s="31"/>
      <c r="N96" s="31"/>
    </row>
    <row r="97" spans="2:14" ht="15" customHeight="1">
      <c r="B97" s="31"/>
      <c r="C97" s="31"/>
      <c r="D97" s="31"/>
      <c r="E97" s="31"/>
      <c r="F97" s="31"/>
      <c r="G97" s="31"/>
      <c r="H97" s="31"/>
      <c r="I97" s="31"/>
      <c r="J97" s="31"/>
      <c r="K97" s="31"/>
      <c r="L97" s="31"/>
      <c r="M97" s="31"/>
      <c r="N97" s="31"/>
    </row>
    <row r="98" spans="2:14" ht="15" customHeight="1">
      <c r="B98" s="31"/>
      <c r="C98" s="31"/>
      <c r="D98" s="31"/>
      <c r="E98" s="31"/>
      <c r="F98" s="31"/>
      <c r="G98" s="31"/>
      <c r="H98" s="31"/>
      <c r="I98" s="31"/>
      <c r="J98" s="31"/>
      <c r="K98" s="31"/>
      <c r="L98" s="31"/>
      <c r="M98" s="31"/>
      <c r="N98" s="31"/>
    </row>
    <row r="99" spans="2:14" ht="15" customHeight="1">
      <c r="B99" s="31"/>
      <c r="C99" s="31"/>
      <c r="D99" s="31"/>
      <c r="E99" s="31"/>
      <c r="F99" s="31"/>
      <c r="G99" s="31"/>
      <c r="H99" s="31"/>
      <c r="I99" s="31"/>
      <c r="J99" s="31"/>
      <c r="K99" s="31"/>
      <c r="L99" s="31"/>
      <c r="M99" s="31"/>
      <c r="N99" s="31"/>
    </row>
    <row r="100" spans="2:14" ht="15" customHeight="1">
      <c r="B100" s="31"/>
      <c r="C100" s="31"/>
      <c r="D100" s="31"/>
      <c r="E100" s="31"/>
      <c r="F100" s="31"/>
      <c r="G100" s="31"/>
      <c r="H100" s="31"/>
      <c r="I100" s="31"/>
      <c r="J100" s="31"/>
      <c r="K100" s="31"/>
      <c r="L100" s="31"/>
      <c r="M100" s="31"/>
      <c r="N100" s="31"/>
    </row>
    <row r="101" spans="2:14" ht="15" customHeight="1">
      <c r="B101" s="31"/>
      <c r="C101" s="31"/>
      <c r="D101" s="31"/>
      <c r="E101" s="31"/>
      <c r="F101" s="31"/>
      <c r="G101" s="31"/>
      <c r="H101" s="31"/>
      <c r="I101" s="31"/>
      <c r="J101" s="31"/>
      <c r="K101" s="31"/>
      <c r="L101" s="31"/>
      <c r="M101" s="31"/>
      <c r="N101" s="31"/>
    </row>
  </sheetData>
  <mergeCells count="1">
    <mergeCell ref="L1:M1"/>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L1" location="'Point Grid'!A8" display="Return to Point Grid"/>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2021-10-02T06:02:13Z</cp:lastPrinted>
  <dcterms:created xsi:type="dcterms:W3CDTF">2020-12-22T11:57:29Z</dcterms:created>
  <dcterms:modified xsi:type="dcterms:W3CDTF">2024-04-18T10:49:52Z</dcterms:modified>
</cp:coreProperties>
</file>