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pratice exams\BA_Exam_B_01\"/>
    </mc:Choice>
  </mc:AlternateContent>
  <bookViews>
    <workbookView xWindow="0" yWindow="0" windowWidth="24000" windowHeight="9735" tabRatio="681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69" r:id="rId28"/>
    <sheet name="27" sheetId="68" r:id="rId29"/>
    <sheet name="28" sheetId="67" r:id="rId30"/>
    <sheet name="29" sheetId="66" r:id="rId31"/>
    <sheet name="30" sheetId="65" r:id="rId3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9" i="69" l="1"/>
  <c r="Y48" i="69"/>
  <c r="X48" i="69"/>
  <c r="Z47" i="69"/>
  <c r="Y47" i="69"/>
  <c r="X47" i="69"/>
  <c r="AA46" i="69"/>
  <c r="Z46" i="69"/>
  <c r="Y46" i="69"/>
  <c r="X46" i="69"/>
  <c r="S37" i="1" l="1" a="1"/>
  <c r="S37" i="1" s="1"/>
  <c r="R37" i="1" a="1"/>
  <c r="R37" i="1" s="1"/>
  <c r="Q37" i="1" a="1"/>
  <c r="Q37" i="1" s="1"/>
  <c r="P37" i="1" a="1"/>
  <c r="P37" i="1" s="1"/>
  <c r="O37" i="1" a="1"/>
  <c r="O37" i="1" s="1"/>
  <c r="N37" i="1"/>
  <c r="N37" i="1" a="1"/>
  <c r="M37" i="1" a="1"/>
  <c r="M37" i="1" s="1"/>
  <c r="S36" i="1" a="1"/>
  <c r="S36" i="1" s="1"/>
  <c r="R36" i="1" a="1"/>
  <c r="R36" i="1" s="1"/>
  <c r="Q36" i="1" a="1"/>
  <c r="Q36" i="1" s="1"/>
  <c r="P36" i="1" a="1"/>
  <c r="P36" i="1" s="1"/>
  <c r="O36" i="1" a="1"/>
  <c r="O36" i="1" s="1"/>
  <c r="N36" i="1" a="1"/>
  <c r="N36" i="1" s="1"/>
  <c r="M36" i="1"/>
  <c r="M36" i="1" a="1"/>
  <c r="S35" i="1" a="1"/>
  <c r="S35" i="1" s="1"/>
  <c r="R35" i="1" a="1"/>
  <c r="R35" i="1" s="1"/>
  <c r="Q35" i="1" a="1"/>
  <c r="Q35" i="1" s="1"/>
  <c r="P35" i="1" a="1"/>
  <c r="P35" i="1" s="1"/>
  <c r="O35" i="1" a="1"/>
  <c r="O35" i="1" s="1"/>
  <c r="N35" i="1" a="1"/>
  <c r="N35" i="1" s="1"/>
  <c r="M35" i="1" a="1"/>
  <c r="M35" i="1" s="1"/>
  <c r="S34" i="1"/>
  <c r="S34" i="1" a="1"/>
  <c r="R34" i="1" a="1"/>
  <c r="R34" i="1" s="1"/>
  <c r="Q34" i="1" a="1"/>
  <c r="Q34" i="1" s="1"/>
  <c r="P34" i="1" a="1"/>
  <c r="P34" i="1" s="1"/>
  <c r="O34" i="1" a="1"/>
  <c r="O34" i="1" s="1"/>
  <c r="N34" i="1" a="1"/>
  <c r="N34" i="1" s="1"/>
  <c r="M34" i="1"/>
  <c r="M34" i="1" a="1"/>
  <c r="S33" i="1" a="1"/>
  <c r="S33" i="1" s="1"/>
  <c r="R33" i="1"/>
  <c r="R33" i="1" a="1"/>
  <c r="Q33" i="1" a="1"/>
  <c r="Q33" i="1" s="1"/>
  <c r="P33" i="1" a="1"/>
  <c r="P33" i="1" s="1"/>
  <c r="O33" i="1" a="1"/>
  <c r="O33" i="1" s="1"/>
  <c r="N33" i="1" a="1"/>
  <c r="N33" i="1" s="1"/>
  <c r="M33" i="1" a="1"/>
  <c r="M33" i="1" s="1"/>
  <c r="S32" i="1" a="1"/>
  <c r="S32" i="1" s="1"/>
  <c r="R32" i="1" a="1"/>
  <c r="R32" i="1" s="1"/>
  <c r="Q32" i="1"/>
  <c r="Q32" i="1" a="1"/>
  <c r="P32" i="1" a="1"/>
  <c r="P32" i="1" s="1"/>
  <c r="O32" i="1" a="1"/>
  <c r="O32" i="1" s="1"/>
  <c r="N32" i="1" a="1"/>
  <c r="N32" i="1" s="1"/>
  <c r="M32" i="1" a="1"/>
  <c r="M32" i="1" s="1"/>
  <c r="S31" i="1" a="1"/>
  <c r="S31" i="1" s="1"/>
  <c r="R31" i="1" a="1"/>
  <c r="R31" i="1" s="1"/>
  <c r="Q31" i="1" a="1"/>
  <c r="Q31" i="1" s="1"/>
  <c r="P31" i="1"/>
  <c r="P31" i="1" a="1"/>
  <c r="O31" i="1" a="1"/>
  <c r="O31" i="1" s="1"/>
  <c r="N31" i="1" a="1"/>
  <c r="N31" i="1" s="1"/>
  <c r="M31" i="1" a="1"/>
  <c r="M31" i="1" s="1"/>
  <c r="S30" i="1" a="1"/>
  <c r="S30" i="1" s="1"/>
  <c r="R30" i="1" a="1"/>
  <c r="R30" i="1" s="1"/>
  <c r="Q30" i="1" a="1"/>
  <c r="Q30" i="1" s="1"/>
  <c r="P30" i="1" a="1"/>
  <c r="P30" i="1" s="1"/>
  <c r="O30" i="1"/>
  <c r="O30" i="1" a="1"/>
  <c r="N30" i="1" a="1"/>
  <c r="N30" i="1" s="1"/>
  <c r="M30" i="1" a="1"/>
  <c r="M30" i="1" s="1"/>
  <c r="S29" i="1" a="1"/>
  <c r="S29" i="1" s="1"/>
  <c r="R29" i="1" a="1"/>
  <c r="R29" i="1" s="1"/>
  <c r="Q29" i="1" a="1"/>
  <c r="Q29" i="1" s="1"/>
  <c r="P29" i="1"/>
  <c r="P29" i="1" a="1"/>
  <c r="O29" i="1" a="1"/>
  <c r="O29" i="1" s="1"/>
  <c r="N29" i="1"/>
  <c r="N29" i="1" a="1"/>
  <c r="M29" i="1" a="1"/>
  <c r="M29" i="1" s="1"/>
  <c r="S28" i="1" a="1"/>
  <c r="S28" i="1" s="1"/>
  <c r="R28" i="1" a="1"/>
  <c r="R28" i="1" s="1"/>
  <c r="Q28" i="1" a="1"/>
  <c r="Q28" i="1" s="1"/>
  <c r="P28" i="1" a="1"/>
  <c r="P28" i="1" s="1"/>
  <c r="O28" i="1"/>
  <c r="O28" i="1" a="1"/>
  <c r="N28" i="1" a="1"/>
  <c r="N28" i="1" s="1"/>
  <c r="M28" i="1"/>
  <c r="M28" i="1" a="1"/>
  <c r="S27" i="1" a="1"/>
  <c r="S27" i="1" s="1"/>
  <c r="R27" i="1" a="1"/>
  <c r="R27" i="1" s="1"/>
  <c r="Q27" i="1" a="1"/>
  <c r="Q27" i="1" s="1"/>
  <c r="P27" i="1" a="1"/>
  <c r="P27" i="1" s="1"/>
  <c r="O27" i="1" a="1"/>
  <c r="O27" i="1" s="1"/>
  <c r="N27" i="1" a="1"/>
  <c r="N27" i="1" s="1"/>
  <c r="M27" i="1" a="1"/>
  <c r="M27" i="1" s="1"/>
  <c r="S26" i="1"/>
  <c r="S26" i="1" a="1"/>
  <c r="R26" i="1" a="1"/>
  <c r="R26" i="1" s="1"/>
  <c r="Q26" i="1" a="1"/>
  <c r="Q26" i="1" s="1"/>
  <c r="P26" i="1" a="1"/>
  <c r="P26" i="1" s="1"/>
  <c r="O26" i="1" a="1"/>
  <c r="O26" i="1" s="1"/>
  <c r="N26" i="1" a="1"/>
  <c r="N26" i="1" s="1"/>
  <c r="M26" i="1" a="1"/>
  <c r="M26" i="1" s="1"/>
  <c r="S25" i="1" a="1"/>
  <c r="S25" i="1" s="1"/>
  <c r="R25" i="1"/>
  <c r="R25" i="1" a="1"/>
  <c r="Q25" i="1" a="1"/>
  <c r="Q25" i="1" s="1"/>
  <c r="P25" i="1" a="1"/>
  <c r="P25" i="1" s="1"/>
  <c r="O25" i="1" a="1"/>
  <c r="O25" i="1" s="1"/>
  <c r="N25" i="1" a="1"/>
  <c r="N25" i="1" s="1"/>
  <c r="M25" i="1" a="1"/>
  <c r="M25" i="1" s="1"/>
  <c r="S24" i="1" a="1"/>
  <c r="S24" i="1" s="1"/>
  <c r="R24" i="1" a="1"/>
  <c r="R24" i="1" s="1"/>
  <c r="Q24" i="1"/>
  <c r="Q24" i="1" a="1"/>
  <c r="P24" i="1" a="1"/>
  <c r="P24" i="1" s="1"/>
  <c r="O24" i="1" a="1"/>
  <c r="O24" i="1" s="1"/>
  <c r="N24" i="1" a="1"/>
  <c r="N24" i="1" s="1"/>
  <c r="M24" i="1" a="1"/>
  <c r="M24" i="1" s="1"/>
  <c r="S23" i="1" a="1"/>
  <c r="S23" i="1" s="1"/>
  <c r="R23" i="1" a="1"/>
  <c r="R23" i="1" s="1"/>
  <c r="Q23" i="1" a="1"/>
  <c r="Q23" i="1" s="1"/>
  <c r="P23" i="1"/>
  <c r="P23" i="1" a="1"/>
  <c r="O23" i="1" a="1"/>
  <c r="O23" i="1" s="1"/>
  <c r="N23" i="1" a="1"/>
  <c r="N23" i="1" s="1"/>
  <c r="M23" i="1" a="1"/>
  <c r="M23" i="1" s="1"/>
  <c r="S22" i="1" a="1"/>
  <c r="S22" i="1" s="1"/>
  <c r="R22" i="1" a="1"/>
  <c r="R22" i="1" s="1"/>
  <c r="Q22" i="1" a="1"/>
  <c r="Q22" i="1" s="1"/>
  <c r="P22" i="1" a="1"/>
  <c r="P22" i="1" s="1"/>
  <c r="O22" i="1"/>
  <c r="O22" i="1" a="1"/>
  <c r="N22" i="1" a="1"/>
  <c r="N22" i="1" s="1"/>
  <c r="M22" i="1" a="1"/>
  <c r="M22" i="1" s="1"/>
  <c r="S21" i="1" a="1"/>
  <c r="S21" i="1" s="1"/>
  <c r="R21" i="1" a="1"/>
  <c r="R21" i="1" s="1"/>
  <c r="Q21" i="1" a="1"/>
  <c r="Q21" i="1" s="1"/>
  <c r="P21" i="1" a="1"/>
  <c r="P21" i="1" s="1"/>
  <c r="O21" i="1" a="1"/>
  <c r="O21" i="1" s="1"/>
  <c r="N21" i="1"/>
  <c r="N21" i="1" a="1"/>
  <c r="M21" i="1" a="1"/>
  <c r="M21" i="1" s="1"/>
  <c r="S20" i="1" a="1"/>
  <c r="S20" i="1" s="1"/>
  <c r="R20" i="1" a="1"/>
  <c r="R20" i="1" s="1"/>
  <c r="Q20" i="1" a="1"/>
  <c r="Q20" i="1" s="1"/>
  <c r="P20" i="1" a="1"/>
  <c r="P20" i="1" s="1"/>
  <c r="O20" i="1"/>
  <c r="O20" i="1" a="1"/>
  <c r="N20" i="1" a="1"/>
  <c r="N20" i="1" s="1"/>
  <c r="M20" i="1"/>
  <c r="M20" i="1" a="1"/>
  <c r="S19" i="1" a="1"/>
  <c r="S19" i="1" s="1"/>
  <c r="R19" i="1" a="1"/>
  <c r="R19" i="1" s="1"/>
  <c r="Q19" i="1" a="1"/>
  <c r="Q19" i="1" s="1"/>
  <c r="P19" i="1" a="1"/>
  <c r="P19" i="1" s="1"/>
  <c r="O19" i="1" a="1"/>
  <c r="O19" i="1" s="1"/>
  <c r="N19" i="1"/>
  <c r="N19" i="1" a="1"/>
  <c r="M19" i="1" a="1"/>
  <c r="M19" i="1" s="1"/>
  <c r="S18" i="1"/>
  <c r="S18" i="1" a="1"/>
  <c r="R18" i="1" a="1"/>
  <c r="R18" i="1" s="1"/>
  <c r="Q18" i="1" a="1"/>
  <c r="Q18" i="1" s="1"/>
  <c r="P18" i="1" a="1"/>
  <c r="P18" i="1" s="1"/>
  <c r="O18" i="1" a="1"/>
  <c r="O18" i="1" s="1"/>
  <c r="N18" i="1" a="1"/>
  <c r="N18" i="1" s="1"/>
  <c r="M18" i="1"/>
  <c r="M18" i="1" a="1"/>
  <c r="S17" i="1" a="1"/>
  <c r="S17" i="1" s="1"/>
  <c r="R17" i="1"/>
  <c r="R17" i="1" a="1"/>
  <c r="Q17" i="1" a="1"/>
  <c r="Q17" i="1" s="1"/>
  <c r="P17" i="1" a="1"/>
  <c r="P17" i="1" s="1"/>
  <c r="O17" i="1" a="1"/>
  <c r="O17" i="1" s="1"/>
  <c r="N17" i="1" a="1"/>
  <c r="N17" i="1" s="1"/>
  <c r="M17" i="1" a="1"/>
  <c r="M17" i="1" s="1"/>
  <c r="S16" i="1"/>
  <c r="S16" i="1" a="1"/>
  <c r="R16" i="1" a="1"/>
  <c r="R16" i="1" s="1"/>
  <c r="Q16" i="1"/>
  <c r="Q16" i="1" a="1"/>
  <c r="P16" i="1" a="1"/>
  <c r="P16" i="1" s="1"/>
  <c r="O16" i="1" a="1"/>
  <c r="O16" i="1" s="1"/>
  <c r="N16" i="1" a="1"/>
  <c r="N16" i="1" s="1"/>
  <c r="M16" i="1" a="1"/>
  <c r="M16" i="1" s="1"/>
  <c r="S15" i="1" a="1"/>
  <c r="S15" i="1" s="1"/>
  <c r="R15" i="1"/>
  <c r="R15" i="1" a="1"/>
  <c r="Q15" i="1" a="1"/>
  <c r="Q15" i="1" s="1"/>
  <c r="P15" i="1"/>
  <c r="P15" i="1" a="1"/>
  <c r="O15" i="1" a="1"/>
  <c r="O15" i="1" s="1"/>
  <c r="N15" i="1" a="1"/>
  <c r="N15" i="1" s="1"/>
  <c r="M15" i="1" a="1"/>
  <c r="M15" i="1" s="1"/>
  <c r="S14" i="1" a="1"/>
  <c r="S14" i="1" s="1"/>
  <c r="R14" i="1" a="1"/>
  <c r="R14" i="1" s="1"/>
  <c r="Q14" i="1"/>
  <c r="Q14" i="1" a="1"/>
  <c r="P14" i="1" a="1"/>
  <c r="P14" i="1" s="1"/>
  <c r="O14" i="1"/>
  <c r="O14" i="1" a="1"/>
  <c r="N14" i="1" a="1"/>
  <c r="N14" i="1" s="1"/>
  <c r="M14" i="1" a="1"/>
  <c r="M14" i="1" s="1"/>
  <c r="S13" i="1" a="1"/>
  <c r="S13" i="1" s="1"/>
  <c r="R13" i="1" a="1"/>
  <c r="R13" i="1" s="1"/>
  <c r="Q13" i="1"/>
  <c r="Q13" i="1" a="1"/>
  <c r="P13" i="1" a="1"/>
  <c r="P13" i="1" s="1"/>
  <c r="O13" i="1"/>
  <c r="O13" i="1" a="1"/>
  <c r="N13" i="1" a="1"/>
  <c r="N13" i="1" s="1"/>
  <c r="M13" i="1"/>
  <c r="M13" i="1" a="1"/>
  <c r="S12" i="1" a="1"/>
  <c r="S12" i="1" s="1"/>
  <c r="R12" i="1"/>
  <c r="R12" i="1" a="1"/>
  <c r="Q12" i="1" a="1"/>
  <c r="Q12" i="1" s="1"/>
  <c r="P12" i="1"/>
  <c r="P12" i="1" a="1"/>
  <c r="O12" i="1" a="1"/>
  <c r="O12" i="1" s="1"/>
  <c r="N12" i="1"/>
  <c r="N12" i="1" a="1"/>
  <c r="M12" i="1" a="1"/>
  <c r="M12" i="1" s="1"/>
  <c r="S11" i="1"/>
  <c r="S11" i="1" a="1"/>
  <c r="R11" i="1" a="1"/>
  <c r="R11" i="1" s="1"/>
  <c r="Q11" i="1"/>
  <c r="Q11" i="1" a="1"/>
  <c r="P11" i="1" a="1"/>
  <c r="P11" i="1" s="1"/>
  <c r="O11" i="1"/>
  <c r="O11" i="1" a="1"/>
  <c r="N11" i="1" a="1"/>
  <c r="N11" i="1" s="1"/>
  <c r="M11" i="1"/>
  <c r="M11" i="1" a="1"/>
  <c r="S10" i="1" a="1"/>
  <c r="S10" i="1" s="1"/>
  <c r="R10" i="1"/>
  <c r="R10" i="1" a="1"/>
  <c r="Q10" i="1" a="1"/>
  <c r="Q10" i="1" s="1"/>
  <c r="P10" i="1"/>
  <c r="P10" i="1" a="1"/>
  <c r="O10" i="1" a="1"/>
  <c r="O10" i="1" s="1"/>
  <c r="N10" i="1"/>
  <c r="N10" i="1" a="1"/>
  <c r="M10" i="1" a="1"/>
  <c r="M10" i="1" s="1"/>
  <c r="S9" i="1"/>
  <c r="S9" i="1" a="1"/>
  <c r="R9" i="1" a="1"/>
  <c r="R9" i="1" s="1"/>
  <c r="Q9" i="1"/>
  <c r="Q9" i="1" a="1"/>
  <c r="P9" i="1" a="1"/>
  <c r="P9" i="1" s="1"/>
  <c r="O9" i="1"/>
  <c r="O9" i="1" a="1"/>
  <c r="N9" i="1" a="1"/>
  <c r="N9" i="1" s="1"/>
  <c r="M9" i="1"/>
  <c r="M9" i="1" a="1"/>
  <c r="S8" i="1" a="1"/>
  <c r="S8" i="1" s="1"/>
  <c r="R8" i="1"/>
  <c r="R8" i="1" a="1"/>
  <c r="Q8" i="1" a="1"/>
  <c r="Q8" i="1" s="1"/>
  <c r="P8" i="1"/>
  <c r="P8" i="1" a="1"/>
  <c r="O8" i="1" a="1"/>
  <c r="O8" i="1" s="1"/>
  <c r="N8" i="1"/>
  <c r="N8" i="1" a="1"/>
  <c r="M8" i="1"/>
  <c r="M2" i="1" l="1" a="1"/>
  <c r="M2" i="1" s="1"/>
  <c r="R104" i="40" l="1"/>
  <c r="W102" i="40"/>
  <c r="U102" i="40"/>
  <c r="X101" i="40"/>
  <c r="U101" i="40"/>
  <c r="S101" i="40"/>
  <c r="O19" i="42" l="1"/>
  <c r="P19" i="42" s="1"/>
  <c r="N19" i="42"/>
  <c r="M19" i="42"/>
  <c r="Q19" i="42" s="1"/>
  <c r="L19" i="42"/>
  <c r="P18" i="42"/>
  <c r="O18" i="42"/>
  <c r="N18" i="42"/>
  <c r="M18" i="42"/>
  <c r="Q18" i="42" s="1"/>
  <c r="L18" i="42"/>
  <c r="O17" i="42"/>
  <c r="P17" i="42" s="1"/>
  <c r="N17" i="42"/>
  <c r="M17" i="42"/>
  <c r="Q17" i="42" s="1"/>
  <c r="L17" i="42"/>
  <c r="O16" i="42"/>
  <c r="P16" i="42" s="1"/>
  <c r="N16" i="42"/>
  <c r="M16" i="42"/>
  <c r="Q16" i="42" s="1"/>
  <c r="L16" i="42"/>
  <c r="O15" i="42"/>
  <c r="P15" i="42" s="1"/>
  <c r="N15" i="42"/>
  <c r="M15" i="42"/>
  <c r="Q15" i="42" s="1"/>
  <c r="L15" i="42"/>
  <c r="P14" i="42"/>
  <c r="R14" i="42" s="1"/>
  <c r="O14" i="42"/>
  <c r="N14" i="42"/>
  <c r="M14" i="42"/>
  <c r="Q14" i="42" s="1"/>
  <c r="L14" i="42"/>
  <c r="O13" i="42"/>
  <c r="O20" i="42" s="1"/>
  <c r="N13" i="42"/>
  <c r="M13" i="42"/>
  <c r="L13" i="42"/>
  <c r="O12" i="42"/>
  <c r="P12" i="42" s="1"/>
  <c r="N12" i="42"/>
  <c r="N20" i="42" s="1"/>
  <c r="M12" i="42"/>
  <c r="L12" i="42"/>
  <c r="R15" i="42" l="1"/>
  <c r="R16" i="42"/>
  <c r="R17" i="42"/>
  <c r="Q12" i="42"/>
  <c r="Q13" i="42"/>
  <c r="R18" i="42"/>
  <c r="R19" i="42"/>
  <c r="P13" i="42"/>
  <c r="M20" i="42"/>
  <c r="R13" i="42" l="1"/>
  <c r="Q20" i="42"/>
  <c r="R12" i="42"/>
  <c r="P20" i="42"/>
  <c r="R20" i="42" s="1"/>
  <c r="A11" i="37" l="1"/>
  <c r="P84" i="40"/>
  <c r="P83" i="40"/>
  <c r="U76" i="40"/>
  <c r="U77" i="40" s="1"/>
  <c r="P75" i="40"/>
  <c r="P74" i="40"/>
  <c r="P73" i="40"/>
  <c r="P72" i="40"/>
  <c r="P71" i="40"/>
  <c r="Q67" i="40"/>
  <c r="Q84" i="40" s="1"/>
  <c r="P67" i="40"/>
  <c r="R66" i="40"/>
  <c r="Q66" i="40"/>
  <c r="P66" i="40"/>
  <c r="S65" i="40"/>
  <c r="R65" i="40"/>
  <c r="Q65" i="40"/>
  <c r="P65" i="40"/>
  <c r="T64" i="40"/>
  <c r="S64" i="40"/>
  <c r="R64" i="40"/>
  <c r="Q72" i="40" s="1"/>
  <c r="Q64" i="40"/>
  <c r="P64" i="40"/>
  <c r="U63" i="40"/>
  <c r="T63" i="40"/>
  <c r="S63" i="40"/>
  <c r="R63" i="40"/>
  <c r="Q63" i="40"/>
  <c r="P63" i="40"/>
  <c r="R62" i="40"/>
  <c r="S62" i="40" s="1"/>
  <c r="T62" i="40" s="1"/>
  <c r="U62" i="40" s="1"/>
  <c r="Q57" i="40"/>
  <c r="Q56" i="40"/>
  <c r="P56" i="40"/>
  <c r="P57" i="40" s="1"/>
  <c r="P49" i="40"/>
  <c r="P46" i="40"/>
  <c r="Y43" i="40"/>
  <c r="W43" i="40"/>
  <c r="T43" i="40"/>
  <c r="R43" i="40"/>
  <c r="Y38" i="40"/>
  <c r="T38" i="40"/>
  <c r="R38" i="40"/>
  <c r="W38" i="40" s="1"/>
  <c r="P36" i="40"/>
  <c r="V33" i="40"/>
  <c r="R33" i="40"/>
  <c r="R34" i="40" s="1"/>
  <c r="W32" i="40"/>
  <c r="S32" i="40"/>
  <c r="W29" i="40"/>
  <c r="R29" i="40"/>
  <c r="W28" i="40"/>
  <c r="R28" i="40"/>
  <c r="W26" i="40"/>
  <c r="S26" i="40"/>
  <c r="O26" i="40"/>
  <c r="X13" i="40"/>
  <c r="T13" i="40"/>
  <c r="P13" i="40"/>
  <c r="AN6" i="40"/>
  <c r="AM6" i="40"/>
  <c r="Y6" i="40" s="1"/>
  <c r="AL6" i="40"/>
  <c r="X6" i="40" s="1"/>
  <c r="Z6" i="40"/>
  <c r="AN5" i="40"/>
  <c r="AM5" i="40"/>
  <c r="R5" i="40"/>
  <c r="I6" i="40"/>
  <c r="U3" i="40" s="1"/>
  <c r="X5" i="40" s="1"/>
  <c r="AL5" i="40" s="1"/>
  <c r="I10" i="40"/>
  <c r="A15" i="40"/>
  <c r="P1" i="39"/>
  <c r="R72" i="40" l="1"/>
  <c r="Q73" i="40"/>
  <c r="Q74" i="40"/>
  <c r="R44" i="40"/>
  <c r="X50" i="40" s="1"/>
  <c r="Q71" i="40"/>
  <c r="S72" i="40"/>
  <c r="R73" i="40"/>
  <c r="Q83" i="40"/>
  <c r="T71" i="40"/>
  <c r="T76" i="40" s="1"/>
  <c r="T77" i="40" s="1"/>
  <c r="S71" i="40"/>
  <c r="P41" i="40"/>
  <c r="R9" i="40"/>
  <c r="S56" i="40" s="1"/>
  <c r="Q76" i="40"/>
  <c r="V50" i="40"/>
  <c r="V47" i="40"/>
  <c r="R39" i="40"/>
  <c r="X47" i="40" s="1"/>
  <c r="R71" i="40"/>
  <c r="R76" i="40" s="1"/>
  <c r="A7" i="39"/>
  <c r="O58" i="39"/>
  <c r="R57" i="39"/>
  <c r="O57" i="39"/>
  <c r="R52" i="39"/>
  <c r="R51" i="39"/>
  <c r="R46" i="39"/>
  <c r="P58" i="39" s="1"/>
  <c r="R45" i="39"/>
  <c r="P45" i="39"/>
  <c r="Z40" i="39"/>
  <c r="V40" i="39"/>
  <c r="S40" i="39"/>
  <c r="Z39" i="39"/>
  <c r="V39" i="39"/>
  <c r="R39" i="39"/>
  <c r="P37" i="39"/>
  <c r="X35" i="39"/>
  <c r="V35" i="39"/>
  <c r="T35" i="39"/>
  <c r="V33" i="39"/>
  <c r="R35" i="39" s="1"/>
  <c r="P33" i="39"/>
  <c r="Y31" i="39"/>
  <c r="W31" i="39"/>
  <c r="Y30" i="39"/>
  <c r="W30" i="39"/>
  <c r="Y29" i="39"/>
  <c r="V26" i="39"/>
  <c r="Q26" i="39"/>
  <c r="O20" i="39"/>
  <c r="O19" i="39"/>
  <c r="O18" i="39"/>
  <c r="O17" i="39"/>
  <c r="O16" i="39"/>
  <c r="AA8" i="39"/>
  <c r="Y5" i="39"/>
  <c r="Z50" i="40" l="1"/>
  <c r="R57" i="40" s="1"/>
  <c r="T57" i="40"/>
  <c r="U92" i="40" s="1"/>
  <c r="S83" i="40"/>
  <c r="S57" i="40"/>
  <c r="S84" i="40"/>
  <c r="S76" i="40"/>
  <c r="S77" i="40" s="1"/>
  <c r="R77" i="40" s="1"/>
  <c r="Z47" i="40"/>
  <c r="R56" i="40" s="1"/>
  <c r="T56" i="40" s="1"/>
  <c r="R92" i="40" s="1"/>
  <c r="P19" i="39"/>
  <c r="Z35" i="39"/>
  <c r="T26" i="39" s="1"/>
  <c r="Q27" i="39" s="1"/>
  <c r="Y4" i="39" s="1"/>
  <c r="R41" i="39"/>
  <c r="Y6" i="39" s="1"/>
  <c r="R58" i="39"/>
  <c r="R48" i="39" s="1"/>
  <c r="U52" i="39" s="1"/>
  <c r="P18" i="39"/>
  <c r="Q14" i="39"/>
  <c r="Q16" i="39"/>
  <c r="P16" i="39"/>
  <c r="P20" i="39"/>
  <c r="P15" i="39"/>
  <c r="P17" i="39"/>
  <c r="R83" i="40" l="1"/>
  <c r="T83" i="40" s="1"/>
  <c r="R91" i="40" s="1"/>
  <c r="Q77" i="40"/>
  <c r="R84" i="40" s="1"/>
  <c r="T84" i="40" s="1"/>
  <c r="U91" i="40" s="1"/>
  <c r="R94" i="40"/>
  <c r="Q19" i="39"/>
  <c r="Q17" i="39"/>
  <c r="U17" i="39" s="1"/>
  <c r="Q20" i="39"/>
  <c r="U20" i="39" s="1"/>
  <c r="Q18" i="39"/>
  <c r="R18" i="39" s="1"/>
  <c r="S18" i="39" s="1"/>
  <c r="R53" i="39"/>
  <c r="Y7" i="39" s="1"/>
  <c r="R16" i="39"/>
  <c r="S16" i="39" s="1"/>
  <c r="U16" i="39"/>
  <c r="R20" i="39"/>
  <c r="S20" i="39" s="1"/>
  <c r="U18" i="39"/>
  <c r="U19" i="39" l="1"/>
  <c r="R19" i="39"/>
  <c r="S19" i="39" s="1"/>
  <c r="R17" i="39"/>
  <c r="S17" i="39" s="1"/>
  <c r="S21" i="39"/>
  <c r="Y3" i="39" s="1"/>
  <c r="Y8" i="39" s="1"/>
  <c r="Y9" i="39" s="1"/>
  <c r="T19" i="65" l="1"/>
  <c r="S18" i="65"/>
  <c r="S17" i="65"/>
  <c r="S16" i="65"/>
  <c r="S15" i="65"/>
  <c r="S14" i="65"/>
  <c r="V30" i="66"/>
  <c r="T30" i="66"/>
  <c r="V29" i="66"/>
  <c r="T29" i="66"/>
  <c r="V28" i="66"/>
  <c r="T28" i="66"/>
  <c r="V27" i="66"/>
  <c r="T27" i="66"/>
  <c r="V18" i="66"/>
  <c r="V19" i="66" s="1"/>
  <c r="R17" i="66"/>
  <c r="X14" i="66"/>
  <c r="V13" i="66"/>
  <c r="U13" i="66"/>
  <c r="T13" i="66"/>
  <c r="S13" i="66"/>
  <c r="S9" i="66"/>
  <c r="R9" i="66"/>
  <c r="R30" i="66" s="1"/>
  <c r="T8" i="66"/>
  <c r="S8" i="66"/>
  <c r="R8" i="66"/>
  <c r="R29" i="66" s="1"/>
  <c r="U7" i="66"/>
  <c r="T7" i="66"/>
  <c r="S7" i="66"/>
  <c r="V6" i="66"/>
  <c r="U6" i="66"/>
  <c r="T6" i="66"/>
  <c r="S6" i="66"/>
  <c r="T14" i="66" l="1"/>
  <c r="S15" i="66"/>
  <c r="S16" i="66"/>
  <c r="R16" i="66"/>
  <c r="S14" i="66"/>
  <c r="S18" i="66" s="1"/>
  <c r="U14" i="66"/>
  <c r="U18" i="66" s="1"/>
  <c r="U19" i="66" s="1"/>
  <c r="T15" i="66"/>
  <c r="R7" i="66"/>
  <c r="U20" i="66"/>
  <c r="S28" i="66" s="1"/>
  <c r="U28" i="66" s="1"/>
  <c r="W28" i="66" s="1"/>
  <c r="V20" i="66"/>
  <c r="S27" i="66" s="1"/>
  <c r="U27" i="66" s="1"/>
  <c r="W27" i="66" s="1"/>
  <c r="R28" i="66" l="1"/>
  <c r="R6" i="66"/>
  <c r="R15" i="66"/>
  <c r="T18" i="66"/>
  <c r="T19" i="66" s="1"/>
  <c r="T20" i="66" s="1"/>
  <c r="S29" i="66" s="1"/>
  <c r="U29" i="66" s="1"/>
  <c r="W29" i="66" s="1"/>
  <c r="R27" i="66" l="1"/>
  <c r="R14" i="66"/>
  <c r="S19" i="66"/>
  <c r="S20" i="66" s="1"/>
  <c r="S30" i="66" s="1"/>
  <c r="U30" i="66" s="1"/>
  <c r="W30" i="66" s="1"/>
  <c r="W31" i="66" s="1"/>
  <c r="T36" i="68" l="1"/>
  <c r="S36" i="68"/>
  <c r="R36" i="68"/>
  <c r="Q36" i="68"/>
  <c r="Q33" i="68"/>
  <c r="Q32" i="68"/>
  <c r="Q31" i="68"/>
  <c r="Q30" i="68"/>
  <c r="U24" i="68"/>
  <c r="T24" i="68"/>
  <c r="S24" i="68"/>
  <c r="R24" i="68"/>
  <c r="U23" i="68"/>
  <c r="T23" i="68"/>
  <c r="S23" i="68"/>
  <c r="R23" i="68"/>
  <c r="U22" i="68"/>
  <c r="T22" i="68"/>
  <c r="S22" i="68"/>
  <c r="R22" i="68"/>
  <c r="U18" i="68"/>
  <c r="U19" i="68" s="1"/>
  <c r="Q17" i="68"/>
  <c r="R15" i="68"/>
  <c r="W14" i="68"/>
  <c r="S14" i="68"/>
  <c r="U13" i="68"/>
  <c r="T13" i="68"/>
  <c r="S13" i="68"/>
  <c r="R13" i="68"/>
  <c r="R9" i="68"/>
  <c r="Q9" i="68"/>
  <c r="Q8" i="68" s="1"/>
  <c r="S8" i="68"/>
  <c r="R16" i="68" s="1"/>
  <c r="R8" i="68"/>
  <c r="T7" i="68"/>
  <c r="S7" i="68"/>
  <c r="R7" i="68"/>
  <c r="U6" i="68"/>
  <c r="T14" i="68" s="1"/>
  <c r="T18" i="68" s="1"/>
  <c r="T19" i="68" s="1"/>
  <c r="T6" i="68"/>
  <c r="S6" i="68"/>
  <c r="R14" i="68" s="1"/>
  <c r="R6" i="68"/>
  <c r="R18" i="68" l="1"/>
  <c r="Q16" i="68"/>
  <c r="Q7" i="68"/>
  <c r="T20" i="68"/>
  <c r="R31" i="68" s="1"/>
  <c r="S31" i="68" s="1"/>
  <c r="U20" i="68"/>
  <c r="R30" i="68" s="1"/>
  <c r="S15" i="68"/>
  <c r="S18" i="68" s="1"/>
  <c r="S19" i="68" s="1"/>
  <c r="S20" i="68" s="1"/>
  <c r="R32" i="68" s="1"/>
  <c r="S32" i="68" s="1"/>
  <c r="S30" i="68" l="1"/>
  <c r="Q15" i="68"/>
  <c r="Q6" i="68"/>
  <c r="Q14" i="68" s="1"/>
  <c r="R19" i="68"/>
  <c r="R20" i="68" s="1"/>
  <c r="R33" i="68" s="1"/>
  <c r="S33" i="68" s="1"/>
  <c r="V36" i="68" s="1"/>
  <c r="R34" i="68" l="1"/>
  <c r="S34" i="68"/>
  <c r="A48" i="69" l="1"/>
  <c r="A23" i="69"/>
  <c r="R92" i="69"/>
  <c r="T89" i="69"/>
  <c r="E50" i="69"/>
  <c r="S84" i="69"/>
  <c r="Q84" i="69"/>
  <c r="AA80" i="69"/>
  <c r="U80" i="69"/>
  <c r="R80" i="69"/>
  <c r="U79" i="69"/>
  <c r="AA79" i="69" s="1"/>
  <c r="T79" i="69"/>
  <c r="Z79" i="69" s="1"/>
  <c r="S79" i="69"/>
  <c r="Y79" i="69" s="1"/>
  <c r="R79" i="69"/>
  <c r="X79" i="69" s="1"/>
  <c r="AA76" i="69"/>
  <c r="U76" i="69"/>
  <c r="Z73" i="69"/>
  <c r="Y73" i="69"/>
  <c r="T73" i="69"/>
  <c r="S73" i="69"/>
  <c r="Z72" i="69"/>
  <c r="T72" i="69"/>
  <c r="Q70" i="69"/>
  <c r="Q71" i="69" s="1"/>
  <c r="Q72" i="69" s="1"/>
  <c r="Q73" i="69" s="1"/>
  <c r="Y69" i="69"/>
  <c r="Y76" i="69" s="1"/>
  <c r="X69" i="69"/>
  <c r="X76" i="69" s="1"/>
  <c r="T69" i="69"/>
  <c r="T76" i="69" s="1"/>
  <c r="S69" i="69"/>
  <c r="S76" i="69" s="1"/>
  <c r="R69" i="69"/>
  <c r="R76" i="69" s="1"/>
  <c r="X61" i="69"/>
  <c r="X80" i="69" s="1"/>
  <c r="R61" i="69"/>
  <c r="Y60" i="69"/>
  <c r="S60" i="69"/>
  <c r="S80" i="69" s="1"/>
  <c r="Z59" i="69"/>
  <c r="Z80" i="69" s="1"/>
  <c r="W59" i="69"/>
  <c r="W60" i="69" s="1"/>
  <c r="W61" i="69" s="1"/>
  <c r="T59" i="69"/>
  <c r="T80" i="69" s="1"/>
  <c r="Q59" i="69"/>
  <c r="Q60" i="69" s="1"/>
  <c r="Q61" i="69" s="1"/>
  <c r="AA58" i="69"/>
  <c r="U58" i="69"/>
  <c r="Q47" i="69"/>
  <c r="Q48" i="69" s="1"/>
  <c r="Q49" i="69" s="1"/>
  <c r="W46" i="69"/>
  <c r="W47" i="69" s="1"/>
  <c r="W48" i="69" s="1"/>
  <c r="W49" i="69" s="1"/>
  <c r="Q46" i="69"/>
  <c r="R39" i="69"/>
  <c r="R40" i="69" s="1"/>
  <c r="S38" i="69"/>
  <c r="S40" i="69" s="1"/>
  <c r="R38" i="69"/>
  <c r="T37" i="69"/>
  <c r="T40" i="69" s="1"/>
  <c r="S37" i="69"/>
  <c r="R37" i="69"/>
  <c r="U36" i="69"/>
  <c r="U40" i="69" s="1"/>
  <c r="U46" i="69" s="1"/>
  <c r="T36" i="69"/>
  <c r="S36" i="69"/>
  <c r="R36" i="69"/>
  <c r="Q36" i="69"/>
  <c r="Q37" i="69" s="1"/>
  <c r="Q38" i="69" s="1"/>
  <c r="Q39" i="69" s="1"/>
  <c r="A19" i="69"/>
  <c r="V9" i="69"/>
  <c r="U22" i="69"/>
  <c r="V17" i="69"/>
  <c r="U17" i="69"/>
  <c r="T17" i="69"/>
  <c r="S17" i="69"/>
  <c r="V16" i="69"/>
  <c r="U16" i="69"/>
  <c r="T16" i="69"/>
  <c r="S16" i="69"/>
  <c r="V13" i="69"/>
  <c r="V12" i="69"/>
  <c r="U12" i="69"/>
  <c r="T12" i="69"/>
  <c r="S12" i="69"/>
  <c r="S7" i="69"/>
  <c r="T6" i="69"/>
  <c r="S6" i="69"/>
  <c r="U5" i="69"/>
  <c r="U9" i="69" s="1"/>
  <c r="T5" i="69"/>
  <c r="T9" i="69" s="1"/>
  <c r="S5" i="69"/>
  <c r="S9" i="69" s="1"/>
  <c r="R5" i="69"/>
  <c r="R6" i="69" s="1"/>
  <c r="R7" i="69" s="1"/>
  <c r="R8" i="69" s="1"/>
  <c r="U4" i="69"/>
  <c r="T4" i="69"/>
  <c r="S4" i="69"/>
  <c r="C13" i="69"/>
  <c r="C14" i="69" s="1"/>
  <c r="C12" i="69"/>
  <c r="T51" i="69" l="1"/>
  <c r="R48" i="69"/>
  <c r="R47" i="69"/>
  <c r="R49" i="69"/>
  <c r="R46" i="69"/>
  <c r="T47" i="69"/>
  <c r="T46" i="69"/>
  <c r="S48" i="69"/>
  <c r="S47" i="69"/>
  <c r="T52" i="69"/>
  <c r="S46" i="69"/>
  <c r="Z69" i="69"/>
  <c r="Z76" i="69" s="1"/>
  <c r="Y80" i="69"/>
  <c r="W70" i="69"/>
  <c r="W71" i="69" s="1"/>
  <c r="W72" i="69" s="1"/>
  <c r="W73" i="69" s="1"/>
  <c r="V18" i="69"/>
  <c r="U13" i="69"/>
  <c r="T13" i="69" s="1"/>
  <c r="S13" i="69" s="1"/>
  <c r="S18" i="69" s="1"/>
  <c r="S22" i="69" s="1"/>
  <c r="S23" i="69" s="1"/>
  <c r="A28" i="27"/>
  <c r="P61" i="27"/>
  <c r="N61" i="27"/>
  <c r="M57" i="27"/>
  <c r="M58" i="27" s="1"/>
  <c r="M59" i="27" s="1"/>
  <c r="M56" i="27"/>
  <c r="V46" i="27"/>
  <c r="M44" i="27"/>
  <c r="M45" i="27" s="1"/>
  <c r="M46" i="27" s="1"/>
  <c r="R43" i="27"/>
  <c r="O56" i="27" s="1"/>
  <c r="M43" i="27"/>
  <c r="W36" i="27"/>
  <c r="W35" i="27"/>
  <c r="M35" i="27"/>
  <c r="M36" i="27" s="1"/>
  <c r="M37" i="27" s="1"/>
  <c r="W34" i="27"/>
  <c r="P34" i="27"/>
  <c r="P37" i="27" s="1"/>
  <c r="M34" i="27"/>
  <c r="N28" i="27"/>
  <c r="X43" i="27" s="1"/>
  <c r="O27" i="27"/>
  <c r="W26" i="27"/>
  <c r="P26" i="27"/>
  <c r="M26" i="27"/>
  <c r="M27" i="27" s="1"/>
  <c r="M28" i="27" s="1"/>
  <c r="Q25" i="27"/>
  <c r="M25" i="27"/>
  <c r="Q19" i="27"/>
  <c r="P19" i="27"/>
  <c r="U28" i="27" s="1"/>
  <c r="W18" i="27"/>
  <c r="S18" i="27" s="1"/>
  <c r="U18" i="27"/>
  <c r="N18" i="27"/>
  <c r="W17" i="27"/>
  <c r="U17" i="27"/>
  <c r="S17" i="27"/>
  <c r="O17" i="27"/>
  <c r="N17" i="27"/>
  <c r="W16" i="27"/>
  <c r="U16" i="27"/>
  <c r="S16" i="27" s="1"/>
  <c r="P16" i="27"/>
  <c r="O16" i="27"/>
  <c r="O19" i="27" s="1"/>
  <c r="N16" i="27"/>
  <c r="N19" i="27" s="1"/>
  <c r="U26" i="27" s="1"/>
  <c r="S26" i="27" s="1"/>
  <c r="M16" i="27"/>
  <c r="M17" i="27" s="1"/>
  <c r="M18" i="27" s="1"/>
  <c r="M19" i="27" s="1"/>
  <c r="N10" i="27"/>
  <c r="O9" i="27"/>
  <c r="N36" i="27" s="1"/>
  <c r="N9" i="27"/>
  <c r="P8" i="27"/>
  <c r="O35" i="27" s="1"/>
  <c r="O8" i="27"/>
  <c r="N8" i="27"/>
  <c r="Q7" i="27"/>
  <c r="U36" i="27" s="1"/>
  <c r="S36" i="27" s="1"/>
  <c r="P7" i="27"/>
  <c r="O34" i="27" s="1"/>
  <c r="O37" i="27" s="1"/>
  <c r="O7" i="27"/>
  <c r="U34" i="27" s="1"/>
  <c r="S34" i="27" s="1"/>
  <c r="N7" i="27"/>
  <c r="N56" i="27" s="1"/>
  <c r="M7" i="27"/>
  <c r="M8" i="27" s="1"/>
  <c r="M9" i="27" s="1"/>
  <c r="M10" i="27" s="1"/>
  <c r="B19" i="27"/>
  <c r="B20" i="27" s="1"/>
  <c r="B21" i="27" s="1"/>
  <c r="B12" i="27"/>
  <c r="B13" i="27" s="1"/>
  <c r="B14" i="27" s="1"/>
  <c r="X60" i="69" l="1"/>
  <c r="X72" i="69" s="1"/>
  <c r="R60" i="69"/>
  <c r="R72" i="69" s="1"/>
  <c r="R65" i="69"/>
  <c r="Z58" i="69"/>
  <c r="T58" i="69"/>
  <c r="Y65" i="69"/>
  <c r="Y58" i="69"/>
  <c r="S58" i="69"/>
  <c r="X59" i="69"/>
  <c r="R59" i="69"/>
  <c r="R52" i="69"/>
  <c r="R51" i="69"/>
  <c r="T18" i="69"/>
  <c r="U18" i="69"/>
  <c r="Q26" i="27"/>
  <c r="R44" i="27" s="1"/>
  <c r="U27" i="27"/>
  <c r="P27" i="27"/>
  <c r="Q27" i="27" s="1"/>
  <c r="R45" i="27" s="1"/>
  <c r="N57" i="27"/>
  <c r="P45" i="27"/>
  <c r="V44" i="27"/>
  <c r="V45" i="27"/>
  <c r="Q45" i="27"/>
  <c r="Q44" i="27"/>
  <c r="O57" i="27" s="1"/>
  <c r="R61" i="27"/>
  <c r="N34" i="27"/>
  <c r="N37" i="27" s="1"/>
  <c r="U35" i="27"/>
  <c r="S35" i="27" s="1"/>
  <c r="N35" i="27"/>
  <c r="O28" i="27"/>
  <c r="R81" i="28"/>
  <c r="S69" i="28"/>
  <c r="S68" i="28"/>
  <c r="S65" i="28"/>
  <c r="R65" i="28" s="1"/>
  <c r="S64" i="28"/>
  <c r="P59" i="28"/>
  <c r="O57" i="28"/>
  <c r="O58" i="28" s="1"/>
  <c r="O59" i="28" s="1"/>
  <c r="O60" i="28" s="1"/>
  <c r="P51" i="28"/>
  <c r="P69" i="28" s="1"/>
  <c r="Q50" i="28"/>
  <c r="Q69" i="28" s="1"/>
  <c r="P50" i="28"/>
  <c r="R49" i="28"/>
  <c r="R69" i="28" s="1"/>
  <c r="Q49" i="28"/>
  <c r="P58" i="28" s="1"/>
  <c r="P49" i="28"/>
  <c r="O49" i="28"/>
  <c r="O50" i="28" s="1"/>
  <c r="O51" i="28" s="1"/>
  <c r="S48" i="28"/>
  <c r="R57" i="28" s="1"/>
  <c r="R61" i="28" s="1"/>
  <c r="R48" i="28"/>
  <c r="Q57" i="28" s="1"/>
  <c r="Q48" i="28"/>
  <c r="P57" i="28" s="1"/>
  <c r="P48" i="28"/>
  <c r="S41" i="28"/>
  <c r="R41" i="28"/>
  <c r="R42" i="28" s="1"/>
  <c r="R74" i="28" s="1"/>
  <c r="Q41" i="28"/>
  <c r="P41" i="28"/>
  <c r="S40" i="28"/>
  <c r="R40" i="28"/>
  <c r="R68" i="28" s="1"/>
  <c r="Q40" i="28"/>
  <c r="Q68" i="28" s="1"/>
  <c r="P40" i="28"/>
  <c r="P68" i="28" s="1"/>
  <c r="S37" i="28"/>
  <c r="S36" i="28"/>
  <c r="R36" i="28"/>
  <c r="R64" i="28" s="1"/>
  <c r="Q36" i="28"/>
  <c r="Q64" i="28" s="1"/>
  <c r="P36" i="28"/>
  <c r="P64" i="28" s="1"/>
  <c r="P31" i="28"/>
  <c r="Q30" i="28"/>
  <c r="P30" i="28"/>
  <c r="R29" i="28"/>
  <c r="R33" i="28" s="1"/>
  <c r="R37" i="28" s="1"/>
  <c r="Q29" i="28"/>
  <c r="Q33" i="28" s="1"/>
  <c r="P29" i="28"/>
  <c r="P33" i="28" s="1"/>
  <c r="O29" i="28"/>
  <c r="O30" i="28" s="1"/>
  <c r="O31" i="28" s="1"/>
  <c r="O32" i="28" s="1"/>
  <c r="R28" i="28"/>
  <c r="R56" i="28" s="1"/>
  <c r="Q28" i="28"/>
  <c r="Q56" i="28" s="1"/>
  <c r="P28" i="28"/>
  <c r="P56" i="28" s="1"/>
  <c r="S34" i="29"/>
  <c r="R31" i="29"/>
  <c r="P34" i="29" s="1"/>
  <c r="R25" i="29"/>
  <c r="T28" i="29" s="1"/>
  <c r="Q22" i="29"/>
  <c r="O22" i="29"/>
  <c r="S22" i="29" s="1"/>
  <c r="N22" i="29"/>
  <c r="Q21" i="29"/>
  <c r="O21" i="29"/>
  <c r="S21" i="29" s="1"/>
  <c r="N21" i="29"/>
  <c r="Q20" i="29"/>
  <c r="O20" i="29"/>
  <c r="S20" i="29" s="1"/>
  <c r="N20" i="29"/>
  <c r="Q14" i="29"/>
  <c r="S14" i="29" s="1"/>
  <c r="O14" i="29"/>
  <c r="Q13" i="29"/>
  <c r="S13" i="29" s="1"/>
  <c r="O13" i="29"/>
  <c r="N13" i="29"/>
  <c r="N14" i="29" s="1"/>
  <c r="Q12" i="29"/>
  <c r="S12" i="29" s="1"/>
  <c r="O12" i="29"/>
  <c r="R64" i="69" l="1"/>
  <c r="Y59" i="69"/>
  <c r="S59" i="69"/>
  <c r="Y64" i="69"/>
  <c r="X65" i="69"/>
  <c r="Y70" i="69"/>
  <c r="Z70" i="69"/>
  <c r="Z74" i="69" s="1"/>
  <c r="X58" i="69"/>
  <c r="X63" i="69" s="1"/>
  <c r="R58" i="69"/>
  <c r="Q63" i="69" s="1"/>
  <c r="Y63" i="69"/>
  <c r="R63" i="69"/>
  <c r="S70" i="69"/>
  <c r="Q65" i="69"/>
  <c r="T70" i="69"/>
  <c r="T74" i="69" s="1"/>
  <c r="U74" i="69" s="1"/>
  <c r="U77" i="69" s="1"/>
  <c r="O58" i="27"/>
  <c r="X44" i="27"/>
  <c r="P28" i="27"/>
  <c r="W27" i="27"/>
  <c r="S27" i="27" s="1"/>
  <c r="P46" i="27"/>
  <c r="T44" i="27"/>
  <c r="O46" i="27"/>
  <c r="V43" i="27"/>
  <c r="T43" i="27" s="1"/>
  <c r="N58" i="27"/>
  <c r="S70" i="28"/>
  <c r="S75" i="28" s="1"/>
  <c r="S42" i="28"/>
  <c r="S74" i="28" s="1"/>
  <c r="S76" i="28" s="1"/>
  <c r="Q37" i="28"/>
  <c r="P37" i="28" s="1"/>
  <c r="P42" i="28" s="1"/>
  <c r="P74" i="28" s="1"/>
  <c r="R70" i="28"/>
  <c r="R75" i="28" s="1"/>
  <c r="R76" i="28" s="1"/>
  <c r="P61" i="28"/>
  <c r="Q58" i="28"/>
  <c r="Q61" i="28" s="1"/>
  <c r="Q65" i="28" s="1"/>
  <c r="S23" i="29"/>
  <c r="R28" i="29" s="1"/>
  <c r="S15" i="29"/>
  <c r="P28" i="29" s="1"/>
  <c r="P29" i="29" s="1"/>
  <c r="U34" i="29" s="1"/>
  <c r="T27" i="29"/>
  <c r="W34" i="29"/>
  <c r="X70" i="69" l="1"/>
  <c r="AA74" i="69"/>
  <c r="AA77" i="69" s="1"/>
  <c r="S71" i="69"/>
  <c r="S74" i="69" s="1"/>
  <c r="Q64" i="69"/>
  <c r="R71" i="69"/>
  <c r="T77" i="69"/>
  <c r="U81" i="69"/>
  <c r="X71" i="69"/>
  <c r="X74" i="69" s="1"/>
  <c r="X64" i="69"/>
  <c r="Y71" i="69"/>
  <c r="Y74" i="69" s="1"/>
  <c r="R70" i="69"/>
  <c r="Q28" i="27"/>
  <c r="X45" i="27"/>
  <c r="T45" i="27" s="1"/>
  <c r="W28" i="27"/>
  <c r="S28" i="27" s="1"/>
  <c r="Q46" i="27"/>
  <c r="Q42" i="28"/>
  <c r="Q74" i="28" s="1"/>
  <c r="P65" i="28"/>
  <c r="P70" i="28" s="1"/>
  <c r="P75" i="28" s="1"/>
  <c r="Q70" i="28"/>
  <c r="Q75" i="28" s="1"/>
  <c r="Q76" i="28" s="1"/>
  <c r="P76" i="28"/>
  <c r="P81" i="28" s="1"/>
  <c r="P82" i="28" s="1"/>
  <c r="P35" i="29"/>
  <c r="Z77" i="69" l="1"/>
  <c r="AA81" i="69"/>
  <c r="Y77" i="69"/>
  <c r="Z81" i="69"/>
  <c r="R74" i="69"/>
  <c r="S77" i="69"/>
  <c r="T81" i="69"/>
  <c r="R46" i="27"/>
  <c r="O59" i="27" s="1"/>
  <c r="X46" i="27"/>
  <c r="T46" i="27" s="1"/>
  <c r="R77" i="69" l="1"/>
  <c r="R81" i="69" s="1"/>
  <c r="U83" i="69" s="1"/>
  <c r="S81" i="69"/>
  <c r="X77" i="69"/>
  <c r="X81" i="69" s="1"/>
  <c r="U84" i="69" s="1"/>
  <c r="Y81" i="69"/>
  <c r="N59" i="27"/>
  <c r="U51" i="30"/>
  <c r="T44" i="30"/>
  <c r="S46" i="30" s="1"/>
  <c r="S41" i="30"/>
  <c r="S36" i="30"/>
  <c r="Q36" i="30"/>
  <c r="S31" i="30"/>
  <c r="Q31" i="30"/>
  <c r="U24" i="30"/>
  <c r="T17" i="30"/>
  <c r="S19" i="30" s="1"/>
  <c r="S14" i="30"/>
  <c r="S9" i="30"/>
  <c r="Q10" i="30" s="1"/>
  <c r="Q14" i="30" s="1"/>
  <c r="Q15" i="30" s="1"/>
  <c r="Q19" i="30" s="1"/>
  <c r="Q20" i="30" s="1"/>
  <c r="Q24" i="30" s="1"/>
  <c r="Q25" i="30" s="1"/>
  <c r="Q9" i="30"/>
  <c r="AB86" i="69" l="1"/>
  <c r="T90" i="69"/>
  <c r="Q32" i="30"/>
  <c r="U36" i="30" s="1"/>
  <c r="Q37" i="30" s="1"/>
  <c r="Q41" i="30" s="1"/>
  <c r="Q42" i="30" s="1"/>
  <c r="Q46" i="30" s="1"/>
  <c r="Q47" i="30" s="1"/>
  <c r="Q51" i="30" s="1"/>
  <c r="Q52" i="30" s="1"/>
  <c r="P18" i="23" l="1"/>
  <c r="Q17" i="23"/>
  <c r="P17" i="23"/>
  <c r="R16" i="23"/>
  <c r="Q16" i="23"/>
  <c r="P16" i="23"/>
  <c r="S15" i="23"/>
  <c r="R15" i="23"/>
  <c r="Q15" i="23"/>
  <c r="P15" i="23"/>
  <c r="T14" i="23"/>
  <c r="S14" i="23"/>
  <c r="R14" i="23"/>
  <c r="Q14" i="23"/>
  <c r="P14" i="23"/>
  <c r="U13" i="23"/>
  <c r="T13" i="23"/>
  <c r="S13" i="23"/>
  <c r="R13" i="23"/>
  <c r="Q13" i="23"/>
  <c r="P13" i="23"/>
  <c r="D13" i="23"/>
  <c r="E13" i="23" s="1"/>
  <c r="F13" i="23" s="1"/>
  <c r="G13" i="23" s="1"/>
  <c r="H13" i="23" s="1"/>
  <c r="B15" i="23"/>
  <c r="B16" i="23"/>
  <c r="B17" i="23"/>
  <c r="B18" i="23" s="1"/>
  <c r="B19" i="23" s="1"/>
  <c r="D22" i="23"/>
  <c r="E22" i="23"/>
  <c r="F22" i="23" s="1"/>
  <c r="G22" i="23" s="1"/>
  <c r="H22" i="23" s="1"/>
  <c r="R38" i="22" l="1"/>
  <c r="S38" i="22" s="1"/>
  <c r="R29" i="22"/>
  <c r="S29" i="22" s="1"/>
  <c r="W20" i="22"/>
  <c r="X20" i="22" s="1"/>
  <c r="R20" i="22"/>
  <c r="S20" i="22" s="1"/>
  <c r="Q12" i="22"/>
  <c r="Q13" i="22" s="1"/>
  <c r="T11" i="22"/>
  <c r="R21" i="22" s="1"/>
  <c r="Y30" i="22" s="1"/>
  <c r="Y31" i="22" s="1"/>
  <c r="Q11" i="22"/>
  <c r="W11" i="22" s="1"/>
  <c r="X21" i="22" s="1"/>
  <c r="V7" i="22"/>
  <c r="T7" i="22"/>
  <c r="R7" i="22"/>
  <c r="P23" i="22" l="1"/>
  <c r="U13" i="22"/>
  <c r="S13" i="22"/>
  <c r="R13" i="22"/>
  <c r="Q14" i="22"/>
  <c r="T13" i="22"/>
  <c r="W13" i="22"/>
  <c r="V23" i="22" s="1"/>
  <c r="V13" i="22"/>
  <c r="Q23" i="22" s="1"/>
  <c r="Q32" i="22" s="1"/>
  <c r="Q41" i="22" s="1"/>
  <c r="U12" i="22"/>
  <c r="V22" i="22" s="1"/>
  <c r="R12" i="22"/>
  <c r="R11" i="22"/>
  <c r="Q21" i="22" s="1"/>
  <c r="V11" i="22"/>
  <c r="S21" i="22" s="1"/>
  <c r="AA31" i="22" s="1"/>
  <c r="S12" i="22"/>
  <c r="W12" i="22"/>
  <c r="W22" i="22" s="1"/>
  <c r="U11" i="22"/>
  <c r="W21" i="22" s="1"/>
  <c r="V12" i="22"/>
  <c r="R22" i="22" s="1"/>
  <c r="P21" i="22"/>
  <c r="P22" i="22"/>
  <c r="S11" i="22"/>
  <c r="V21" i="22" s="1"/>
  <c r="T12" i="22"/>
  <c r="Q22" i="22" s="1"/>
  <c r="S30" i="22" l="1"/>
  <c r="R30" i="22"/>
  <c r="W30" i="22"/>
  <c r="W31" i="22" s="1"/>
  <c r="Q30" i="22"/>
  <c r="Q39" i="22" s="1"/>
  <c r="Q31" i="22"/>
  <c r="Q40" i="22" s="1"/>
  <c r="R31" i="22"/>
  <c r="R40" i="22" s="1"/>
  <c r="U22" i="22"/>
  <c r="P31" i="22"/>
  <c r="P40" i="22" s="1"/>
  <c r="P30" i="22"/>
  <c r="P39" i="22" s="1"/>
  <c r="U21" i="22"/>
  <c r="P24" i="22"/>
  <c r="V14" i="22"/>
  <c r="R14" i="22"/>
  <c r="T14" i="22"/>
  <c r="W14" i="22"/>
  <c r="S14" i="22"/>
  <c r="U14" i="22"/>
  <c r="P32" i="22"/>
  <c r="P41" i="22" s="1"/>
  <c r="U23" i="22"/>
  <c r="P33" i="22" l="1"/>
  <c r="P42" i="22" s="1"/>
  <c r="U24" i="22"/>
  <c r="U30" i="22"/>
  <c r="R39" i="22"/>
  <c r="S39" i="22"/>
  <c r="U31" i="22"/>
  <c r="O15" i="20" l="1"/>
  <c r="S9" i="20"/>
  <c r="Q8" i="20"/>
  <c r="O8" i="20"/>
  <c r="U8" i="20" s="1"/>
  <c r="O9" i="20" s="1"/>
  <c r="U9" i="20" s="1"/>
  <c r="O6" i="20"/>
  <c r="O5" i="20"/>
  <c r="O20" i="20" l="1"/>
  <c r="S37" i="54" l="1"/>
  <c r="T31" i="54"/>
  <c r="P31" i="54"/>
  <c r="P32" i="54" s="1"/>
  <c r="Q37" i="54" s="1"/>
  <c r="R24" i="54"/>
  <c r="X18" i="54"/>
  <c r="W18" i="54"/>
  <c r="R18" i="54"/>
  <c r="Q18" i="54"/>
  <c r="X17" i="54"/>
  <c r="R25" i="54" s="1"/>
  <c r="W17" i="54"/>
  <c r="R17" i="54"/>
  <c r="Q17" i="54"/>
  <c r="A11" i="36"/>
  <c r="R26" i="54" l="1"/>
  <c r="V37" i="54" s="1"/>
  <c r="P38" i="54" s="1"/>
  <c r="N19" i="38"/>
  <c r="S14" i="38"/>
  <c r="O14" i="38"/>
  <c r="P14" i="38" s="1"/>
  <c r="N14" i="38"/>
  <c r="R14" i="38" s="1"/>
  <c r="S13" i="38"/>
  <c r="O13" i="38"/>
  <c r="P13" i="38" s="1"/>
  <c r="N13" i="38"/>
  <c r="R13" i="38" s="1"/>
  <c r="S12" i="38"/>
  <c r="O12" i="38"/>
  <c r="P12" i="38" s="1"/>
  <c r="N12" i="38"/>
  <c r="N15" i="38" s="1"/>
  <c r="Q12" i="38" l="1"/>
  <c r="R12" i="38"/>
  <c r="O15" i="38"/>
  <c r="P15" i="38" s="1"/>
  <c r="Q15" i="38" s="1"/>
  <c r="S15" i="38"/>
  <c r="T15" i="38" s="1"/>
  <c r="Q13" i="38" l="1"/>
  <c r="Q14" i="38"/>
  <c r="T13" i="38"/>
  <c r="U12" i="38"/>
  <c r="T14" i="38"/>
  <c r="T12" i="38"/>
  <c r="U14" i="38" l="1"/>
  <c r="U13" i="38"/>
  <c r="U15" i="38"/>
  <c r="N33" i="38" s="1"/>
  <c r="R33" i="38" l="1"/>
  <c r="O33" i="38"/>
  <c r="N36" i="38"/>
  <c r="N34" i="38"/>
  <c r="N35" i="38"/>
  <c r="R34" i="38" l="1"/>
  <c r="O34" i="38"/>
  <c r="R36" i="38"/>
  <c r="O36" i="38"/>
  <c r="P36" i="38" s="1"/>
  <c r="R35" i="38"/>
  <c r="O35" i="38"/>
  <c r="P35" i="38" l="1"/>
  <c r="P34" i="38"/>
  <c r="P33" i="38"/>
  <c r="Q19" i="41" l="1"/>
  <c r="O19" i="41"/>
  <c r="S19" i="41" s="1"/>
  <c r="U19" i="41" s="1"/>
  <c r="Q18" i="41"/>
  <c r="O18" i="41"/>
  <c r="S18" i="41" s="1"/>
  <c r="U18" i="41" s="1"/>
  <c r="Q17" i="41"/>
  <c r="O17" i="41"/>
  <c r="S17" i="41" s="1"/>
  <c r="U17" i="41" s="1"/>
  <c r="Q16" i="41"/>
  <c r="O16" i="41"/>
  <c r="S16" i="41" s="1"/>
  <c r="S20" i="41" l="1"/>
  <c r="O25" i="41" s="1"/>
  <c r="U16" i="41"/>
  <c r="U20" i="41" s="1"/>
  <c r="Q25" i="41" s="1"/>
  <c r="O26" i="41" l="1"/>
  <c r="N6" i="42" l="1"/>
  <c r="L3" i="51" l="1"/>
  <c r="W24" i="52" l="1"/>
  <c r="U24" i="52"/>
  <c r="S24" i="52"/>
  <c r="Q24" i="52"/>
  <c r="P24" i="52"/>
  <c r="Y24" i="52" s="1"/>
  <c r="O24" i="52"/>
  <c r="AA24" i="52" s="1"/>
  <c r="W23" i="52"/>
  <c r="U23" i="52"/>
  <c r="S23" i="52"/>
  <c r="Q23" i="52"/>
  <c r="P23" i="52"/>
  <c r="Y23" i="52" s="1"/>
  <c r="O23" i="52"/>
  <c r="AA23" i="52" s="1"/>
  <c r="W22" i="52"/>
  <c r="U22" i="52"/>
  <c r="S22" i="52"/>
  <c r="Q22" i="52"/>
  <c r="P22" i="52"/>
  <c r="Y22" i="52" s="1"/>
  <c r="O22" i="52"/>
  <c r="AA22" i="52" s="1"/>
  <c r="W21" i="52"/>
  <c r="U21" i="52"/>
  <c r="S21" i="52"/>
  <c r="Q21" i="52"/>
  <c r="P21" i="52"/>
  <c r="Y21" i="52" s="1"/>
  <c r="O21" i="52"/>
  <c r="AA21" i="52" s="1"/>
  <c r="W20" i="52"/>
  <c r="U20" i="52"/>
  <c r="S20" i="52"/>
  <c r="Q20" i="52"/>
  <c r="P20" i="52"/>
  <c r="Y20" i="52" s="1"/>
  <c r="O20" i="52"/>
  <c r="AA20" i="52" s="1"/>
  <c r="W19" i="52"/>
  <c r="U19" i="52"/>
  <c r="S19" i="52"/>
  <c r="Q19" i="52"/>
  <c r="P19" i="52"/>
  <c r="Y19" i="52" s="1"/>
  <c r="O19" i="52"/>
  <c r="AA19" i="52" s="1"/>
  <c r="W18" i="52"/>
  <c r="U18" i="52"/>
  <c r="S18" i="52"/>
  <c r="Q18" i="52"/>
  <c r="P18" i="52"/>
  <c r="Y18" i="52" s="1"/>
  <c r="O18" i="52"/>
  <c r="AA18" i="52" s="1"/>
  <c r="W17" i="52"/>
  <c r="U17" i="52"/>
  <c r="S17" i="52"/>
  <c r="Q17" i="52"/>
  <c r="P17" i="52"/>
  <c r="Y17" i="52" s="1"/>
  <c r="O17" i="52"/>
  <c r="AA17" i="52" s="1"/>
  <c r="W16" i="52"/>
  <c r="U16" i="52"/>
  <c r="S16" i="52"/>
  <c r="Q16" i="52"/>
  <c r="P16" i="52"/>
  <c r="Y16" i="52" s="1"/>
  <c r="O16" i="52"/>
  <c r="AA16" i="52" s="1"/>
  <c r="W15" i="52"/>
  <c r="U15" i="52"/>
  <c r="S15" i="52"/>
  <c r="Q15" i="52"/>
  <c r="P15" i="52"/>
  <c r="Y15" i="52" s="1"/>
  <c r="O15" i="52"/>
  <c r="AA15" i="52" s="1"/>
  <c r="W14" i="52"/>
  <c r="U14" i="52"/>
  <c r="S14" i="52"/>
  <c r="Q14" i="52"/>
  <c r="P14" i="52"/>
  <c r="Y14" i="52" s="1"/>
  <c r="O14" i="52"/>
  <c r="AA14" i="52" s="1"/>
  <c r="W13" i="52"/>
  <c r="U13" i="52"/>
  <c r="S13" i="52"/>
  <c r="Q13" i="52"/>
  <c r="P13" i="52"/>
  <c r="Y13" i="52" s="1"/>
  <c r="O13" i="52"/>
  <c r="AA13" i="52" s="1"/>
  <c r="W12" i="52"/>
  <c r="U12" i="52"/>
  <c r="S12" i="52"/>
  <c r="Q12" i="52"/>
  <c r="P12" i="52"/>
  <c r="Y12" i="52" s="1"/>
  <c r="O12" i="52"/>
  <c r="W11" i="52"/>
  <c r="U11" i="52"/>
  <c r="S11" i="52"/>
  <c r="Q11" i="52"/>
  <c r="P11" i="52"/>
  <c r="Y11" i="52" s="1"/>
  <c r="O11" i="52"/>
  <c r="AA11" i="52" s="1"/>
  <c r="Z4" i="52"/>
  <c r="AA12" i="52" l="1"/>
  <c r="AA25" i="52" s="1"/>
  <c r="W37" i="65" l="1"/>
  <c r="T37" i="65"/>
  <c r="S32" i="65"/>
  <c r="U28" i="65"/>
  <c r="S27" i="65"/>
  <c r="S28" i="65" s="1"/>
  <c r="W23" i="65"/>
  <c r="R18" i="65"/>
  <c r="T18" i="65" s="1"/>
  <c r="Q18" i="65"/>
  <c r="Q17" i="65" s="1"/>
  <c r="Q16" i="65" s="1"/>
  <c r="Q15" i="65" s="1"/>
  <c r="Q14" i="65" s="1"/>
  <c r="R17" i="65"/>
  <c r="R16" i="65"/>
  <c r="R15" i="65"/>
  <c r="R14" i="65"/>
  <c r="S13" i="65"/>
  <c r="S12" i="65"/>
  <c r="Q10" i="65"/>
  <c r="R43" i="67"/>
  <c r="M43" i="67"/>
  <c r="M35" i="67"/>
  <c r="R32" i="67"/>
  <c r="R31" i="67"/>
  <c r="M31" i="67"/>
  <c r="R28" i="67"/>
  <c r="R36" i="67" s="1"/>
  <c r="P37" i="67" s="1"/>
  <c r="P28" i="67"/>
  <c r="P27" i="67"/>
  <c r="T23" i="67"/>
  <c r="R27" i="67" s="1"/>
  <c r="P23" i="67"/>
  <c r="N23" i="67"/>
  <c r="T17" i="65" l="1"/>
  <c r="T14" i="65"/>
  <c r="T16" i="65"/>
  <c r="T15" i="65"/>
  <c r="S29" i="65"/>
  <c r="U32" i="65" s="1"/>
  <c r="S33" i="65" s="1"/>
  <c r="AA37" i="65" s="1"/>
  <c r="X37" i="65"/>
  <c r="P29" i="67"/>
  <c r="P32" i="67" s="1"/>
  <c r="P33" i="67" s="1"/>
  <c r="P50" i="67" s="1"/>
  <c r="T50" i="67"/>
  <c r="R44" i="67"/>
  <c r="P45" i="67" s="1"/>
  <c r="V50" i="67" s="1"/>
  <c r="R35" i="67"/>
  <c r="V23" i="67"/>
  <c r="T38" i="65" l="1"/>
  <c r="M39" i="67"/>
  <c r="P49" i="67" s="1"/>
  <c r="R40" i="67"/>
  <c r="P41" i="67" s="1"/>
  <c r="R50" i="67" s="1"/>
  <c r="P51" i="67" s="1"/>
  <c r="R39" i="67"/>
  <c r="U47" i="35" l="1"/>
  <c r="S43" i="35"/>
  <c r="Q43" i="35"/>
  <c r="O39" i="35"/>
  <c r="N32" i="35"/>
  <c r="M32" i="35"/>
  <c r="P32" i="35" s="1"/>
  <c r="Q32" i="35" s="1"/>
  <c r="O31" i="35"/>
  <c r="N31" i="35"/>
  <c r="P31" i="35" s="1"/>
  <c r="Q31" i="35" s="1"/>
  <c r="M31" i="35"/>
  <c r="A19" i="35"/>
  <c r="O32" i="35" l="1"/>
  <c r="Q33" i="35" s="1"/>
  <c r="Q39" i="35" s="1"/>
  <c r="O40" i="35" s="1"/>
  <c r="O43" i="35" s="1"/>
  <c r="O44" i="35" s="1"/>
  <c r="M23" i="42" l="1"/>
  <c r="P11" i="42"/>
  <c r="A7" i="51" l="1"/>
  <c r="A7" i="53"/>
  <c r="A7" i="5"/>
  <c r="A7" i="4"/>
  <c r="A11" i="65"/>
  <c r="A26" i="67"/>
  <c r="A22" i="67"/>
  <c r="A11" i="28"/>
  <c r="A11" i="29"/>
  <c r="A11" i="30"/>
  <c r="A11" i="54"/>
  <c r="A15" i="35"/>
  <c r="A11" i="35"/>
  <c r="A11" i="40"/>
  <c r="A11" i="41"/>
  <c r="A11" i="42"/>
  <c r="A21" i="49"/>
  <c r="A18" i="50"/>
  <c r="A11" i="50"/>
  <c r="A7" i="2" l="1"/>
  <c r="J35" i="1"/>
  <c r="J34" i="1"/>
  <c r="J33" i="1"/>
  <c r="J36" i="1"/>
  <c r="J37" i="1"/>
  <c r="A7" i="52" l="1"/>
  <c r="A7" i="50" l="1"/>
  <c r="A7" i="49" l="1"/>
  <c r="A7" i="42" l="1"/>
  <c r="A7" i="41" l="1"/>
  <c r="A7" i="40" l="1"/>
  <c r="A7" i="38" l="1"/>
  <c r="A7" i="37" l="1"/>
  <c r="A7" i="36" l="1"/>
  <c r="A7" i="35" l="1"/>
  <c r="A7" i="54" l="1"/>
  <c r="P2" i="1"/>
  <c r="A7" i="20" l="1"/>
  <c r="B9" i="1"/>
  <c r="B10" i="1"/>
  <c r="B11" i="1"/>
  <c r="B12" i="1"/>
  <c r="B13" i="1"/>
  <c r="B14" i="1"/>
  <c r="B15" i="1"/>
  <c r="B16" i="1"/>
  <c r="B17" i="1"/>
  <c r="B18" i="1"/>
  <c r="B19" i="1"/>
  <c r="A4" i="39" s="1"/>
  <c r="B20" i="1"/>
  <c r="B21" i="1"/>
  <c r="B22" i="1"/>
  <c r="B23" i="1"/>
  <c r="B24" i="1"/>
  <c r="B25" i="1"/>
  <c r="B26" i="1"/>
  <c r="B8" i="1"/>
  <c r="A4" i="53" l="1"/>
  <c r="A4" i="50"/>
  <c r="A4" i="5"/>
  <c r="A4" i="51"/>
  <c r="A4" i="4"/>
  <c r="A4" i="52"/>
  <c r="A4" i="21"/>
  <c r="A4" i="20"/>
  <c r="A4" i="54"/>
  <c r="A4" i="35"/>
  <c r="A4" i="36"/>
  <c r="A4" i="37"/>
  <c r="A4" i="38"/>
  <c r="A4" i="40"/>
  <c r="A4" i="41"/>
  <c r="A4" i="42"/>
  <c r="A4" i="49"/>
  <c r="A7" i="21"/>
  <c r="A7" i="22" l="1"/>
  <c r="B27" i="1"/>
  <c r="L26" i="1"/>
  <c r="L32" i="1"/>
  <c r="L31" i="1"/>
  <c r="L30" i="1"/>
  <c r="L29" i="1"/>
  <c r="L28" i="1"/>
  <c r="L27" i="1"/>
  <c r="J20" i="1"/>
  <c r="J17" i="1"/>
  <c r="J32" i="1"/>
  <c r="J31" i="1"/>
  <c r="J21" i="1"/>
  <c r="J28" i="1"/>
  <c r="J9" i="1"/>
  <c r="J14" i="1"/>
  <c r="J11" i="1"/>
  <c r="J26" i="1"/>
  <c r="J13" i="1"/>
  <c r="J27" i="1"/>
  <c r="J22" i="1"/>
  <c r="J30" i="1"/>
  <c r="J19" i="1"/>
  <c r="J25" i="1"/>
  <c r="J12" i="1"/>
  <c r="J24" i="1"/>
  <c r="J18" i="1"/>
  <c r="J15" i="1"/>
  <c r="J29" i="1"/>
  <c r="J23" i="1"/>
  <c r="J10" i="1"/>
  <c r="J16" i="1"/>
  <c r="A4" i="22" l="1"/>
  <c r="A7" i="23"/>
  <c r="B2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J8" i="1"/>
  <c r="L1" i="5" l="1"/>
  <c r="L1" i="50"/>
  <c r="P1" i="40"/>
  <c r="L1" i="36"/>
  <c r="L1" i="21"/>
  <c r="M1" i="29"/>
  <c r="P1" i="68"/>
  <c r="L1" i="53"/>
  <c r="L1" i="49"/>
  <c r="L1" i="35"/>
  <c r="O1" i="22"/>
  <c r="M1" i="28"/>
  <c r="L1" i="67"/>
  <c r="L1" i="2"/>
  <c r="P1" i="52"/>
  <c r="L1" i="42"/>
  <c r="L1" i="38"/>
  <c r="M1" i="54"/>
  <c r="O1" i="23"/>
  <c r="L1" i="27"/>
  <c r="Q1" i="66"/>
  <c r="L1" i="4"/>
  <c r="L1" i="51"/>
  <c r="L1" i="41"/>
  <c r="M1" i="37"/>
  <c r="L1" i="20"/>
  <c r="O1" i="30"/>
  <c r="P1" i="69"/>
  <c r="P1" i="65"/>
  <c r="A4" i="23"/>
  <c r="A7" i="30"/>
  <c r="B29" i="1"/>
  <c r="A4" i="30" s="1"/>
  <c r="A4" i="2"/>
  <c r="A7" i="29" l="1"/>
  <c r="B30" i="1"/>
  <c r="A4" i="29" l="1"/>
  <c r="A7" i="28"/>
  <c r="B31" i="1"/>
  <c r="A4" i="28" l="1"/>
  <c r="A7" i="27"/>
  <c r="B32" i="1"/>
  <c r="A4" i="27" l="1"/>
  <c r="A7" i="69"/>
  <c r="B33" i="1"/>
  <c r="A4" i="69" l="1"/>
  <c r="A7" i="68"/>
  <c r="B34" i="1"/>
  <c r="A4" i="68" l="1"/>
  <c r="A7" i="67"/>
  <c r="B35" i="1"/>
  <c r="A4" i="67" l="1"/>
  <c r="A7" i="66"/>
  <c r="B36" i="1"/>
  <c r="A4" i="66" l="1"/>
  <c r="A7" i="65"/>
  <c r="B37" i="1"/>
  <c r="A4" i="65" l="1"/>
  <c r="M3" i="1" l="1"/>
</calcChain>
</file>

<file path=xl/sharedStrings.xml><?xml version="1.0" encoding="utf-8"?>
<sst xmlns="http://schemas.openxmlformats.org/spreadsheetml/2006/main" count="2402" uniqueCount="1107">
  <si>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</si>
  <si>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</si>
  <si>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</si>
  <si>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</si>
  <si>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</si>
  <si>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</si>
  <si>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</si>
  <si>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</si>
  <si>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</si>
  <si>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</si>
  <si>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</si>
  <si>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</si>
  <si>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</si>
  <si>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</si>
  <si>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</si>
  <si>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</si>
  <si>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</si>
  <si>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</si>
  <si>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</si>
  <si>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</si>
  <si>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</si>
  <si>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</si>
  <si>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</si>
  <si>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</si>
  <si>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</si>
  <si>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</si>
  <si>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</si>
  <si>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</si>
  <si>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</si>
  <si>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</si>
  <si>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</si>
  <si>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</si>
  <si>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Answers:</t>
  </si>
  <si>
    <t>=</t>
  </si>
  <si>
    <t>+</t>
  </si>
  <si>
    <t>/</t>
  </si>
  <si>
    <t>Answer:</t>
  </si>
  <si>
    <t>Select the best answer to the following question.</t>
  </si>
  <si>
    <t xml:space="preserve">(B)    </t>
  </si>
  <si>
    <t xml:space="preserve">(A)    </t>
  </si>
  <si>
    <t xml:space="preserve">(C)    </t>
  </si>
  <si>
    <t xml:space="preserve">(D)    </t>
  </si>
  <si>
    <t>General Pricing</t>
  </si>
  <si>
    <t>General Reserving</t>
  </si>
  <si>
    <t>Reserving  - Chap 2: The Claims Process</t>
  </si>
  <si>
    <t>Enter your answer in the space provided.</t>
  </si>
  <si>
    <t>counts</t>
  </si>
  <si>
    <t>Exposures (X)</t>
  </si>
  <si>
    <t>Losses (L)</t>
  </si>
  <si>
    <t>Earned Premium (EP)</t>
  </si>
  <si>
    <t>Written Premium (WP)</t>
  </si>
  <si>
    <t>Loss Adjustment Expense (LAE)</t>
  </si>
  <si>
    <t>Comm, Other, TLF</t>
  </si>
  <si>
    <t>General Expense</t>
  </si>
  <si>
    <t># of policies renewed</t>
  </si>
  <si>
    <t># of potential renewals</t>
  </si>
  <si>
    <t># of accepted quotes</t>
  </si>
  <si>
    <t># of quotes</t>
  </si>
  <si>
    <t>Calculate the following quantities:</t>
  </si>
  <si>
    <t>(i)</t>
  </si>
  <si>
    <t>(ii)</t>
  </si>
  <si>
    <t>(c-i)</t>
  </si>
  <si>
    <t>(c-ii)</t>
  </si>
  <si>
    <t>Pricing - Chap 3,4: Data, Exposures</t>
  </si>
  <si>
    <t>Pricing - Chap 5: Premiums</t>
  </si>
  <si>
    <t>EP 2020 @ CRL</t>
  </si>
  <si>
    <t>EP 2021 @ CRL</t>
  </si>
  <si>
    <t>There are 2 rate levels indicated by the labels 1 and 2. They are separated by the red diagonal.</t>
  </si>
  <si>
    <t>CRL</t>
  </si>
  <si>
    <t>A1</t>
  </si>
  <si>
    <t>A2</t>
  </si>
  <si>
    <t>A3</t>
  </si>
  <si>
    <t>A4</t>
  </si>
  <si>
    <t>=  product of all rate changes</t>
  </si>
  <si>
    <t>=  Σ [ area x (rate level) ]</t>
  </si>
  <si>
    <r>
      <t>= CRL / ARL</t>
    </r>
    <r>
      <rPr>
        <vertAlign val="subscript"/>
        <sz val="11"/>
        <color theme="1"/>
        <rFont val="Calibri"/>
        <family val="2"/>
        <scheme val="minor"/>
      </rPr>
      <t>CY</t>
    </r>
  </si>
  <si>
    <r>
      <t>ARL</t>
    </r>
    <r>
      <rPr>
        <vertAlign val="subscript"/>
        <sz val="11"/>
        <color theme="1"/>
        <rFont val="Calibri"/>
        <family val="2"/>
        <scheme val="minor"/>
      </rPr>
      <t>CY</t>
    </r>
  </si>
  <si>
    <r>
      <t>CRLF</t>
    </r>
    <r>
      <rPr>
        <vertAlign val="subscript"/>
        <sz val="11"/>
        <color theme="1"/>
        <rFont val="Calibri"/>
        <family val="2"/>
        <scheme val="minor"/>
      </rPr>
      <t>CY</t>
    </r>
  </si>
  <si>
    <r>
      <t>ARL</t>
    </r>
    <r>
      <rPr>
        <vertAlign val="subscript"/>
        <sz val="11"/>
        <color theme="1"/>
        <rFont val="Calibri"/>
        <family val="2"/>
        <scheme val="minor"/>
      </rPr>
      <t>20</t>
    </r>
  </si>
  <si>
    <r>
      <t>ARL</t>
    </r>
    <r>
      <rPr>
        <vertAlign val="subscript"/>
        <sz val="11"/>
        <color theme="1"/>
        <rFont val="Calibri"/>
        <family val="2"/>
        <scheme val="minor"/>
      </rPr>
      <t>21</t>
    </r>
  </si>
  <si>
    <r>
      <t>CRLF</t>
    </r>
    <r>
      <rPr>
        <vertAlign val="subscript"/>
        <sz val="11"/>
        <color theme="1"/>
        <rFont val="Calibri"/>
        <family val="2"/>
        <scheme val="minor"/>
      </rPr>
      <t>20</t>
    </r>
  </si>
  <si>
    <r>
      <t>CRLF</t>
    </r>
    <r>
      <rPr>
        <vertAlign val="subscript"/>
        <sz val="11"/>
        <color theme="1"/>
        <rFont val="Calibri"/>
        <family val="2"/>
        <scheme val="minor"/>
      </rPr>
      <t>21</t>
    </r>
  </si>
  <si>
    <r>
      <t>The relevant areas within each square (CY) are labelled A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.</t>
    </r>
  </si>
  <si>
    <t>AY</t>
  </si>
  <si>
    <t>reported</t>
  </si>
  <si>
    <t>losses</t>
  </si>
  <si>
    <t># of</t>
  </si>
  <si>
    <t>excess</t>
  </si>
  <si>
    <t>claims</t>
  </si>
  <si>
    <t>ground-up</t>
  </si>
  <si>
    <t>Total</t>
  </si>
  <si>
    <t>Reported</t>
  </si>
  <si>
    <t>Loss</t>
  </si>
  <si>
    <t># of Excess</t>
  </si>
  <si>
    <t>Claims</t>
  </si>
  <si>
    <t>Ground-up</t>
  </si>
  <si>
    <t>Excess Losses</t>
  </si>
  <si>
    <t>Pricing - Chap 6: Loss &amp; LAE</t>
  </si>
  <si>
    <t>excess loss factor:</t>
  </si>
  <si>
    <t>Given the following loss information, calculate the excess loss factor (excess ratio) for AY 2025.</t>
  </si>
  <si>
    <t>excess of</t>
  </si>
  <si>
    <t>non</t>
  </si>
  <si>
    <t>ratio</t>
  </si>
  <si>
    <t>(1)</t>
  </si>
  <si>
    <t>(2)</t>
  </si>
  <si>
    <t>(3)</t>
  </si>
  <si>
    <t>(4)</t>
  </si>
  <si>
    <t>(5)</t>
  </si>
  <si>
    <t>(6)</t>
  </si>
  <si>
    <t>Totals</t>
  </si>
  <si>
    <t>Large Loss Threshold:</t>
  </si>
  <si>
    <t>(4)  =  (3) -</t>
  </si>
  <si>
    <t>(5)  =  (1) - (4)</t>
  </si>
  <si>
    <t>(6)  =  (4) / (5)</t>
  </si>
  <si>
    <t>Total Excess Loss Factor (Totals row)  =  (Total 4) / (Total 5)</t>
  </si>
  <si>
    <t>(1), (2), (3) are given information</t>
  </si>
  <si>
    <t>Pricing - Chap 7: Other Expenses</t>
  </si>
  <si>
    <t>loss</t>
  </si>
  <si>
    <t>LAE</t>
  </si>
  <si>
    <t>Step 1</t>
  </si>
  <si>
    <t>Step 2</t>
  </si>
  <si>
    <t>(1 - V - QT)</t>
  </si>
  <si>
    <t>(final answer)</t>
  </si>
  <si>
    <t>-</t>
  </si>
  <si>
    <t>Pricing - Chap 8: Indication</t>
  </si>
  <si>
    <t>months</t>
  </si>
  <si>
    <t>year</t>
  </si>
  <si>
    <t>month</t>
  </si>
  <si>
    <t>day</t>
  </si>
  <si>
    <t>07</t>
  </si>
  <si>
    <t>Ultimate</t>
  </si>
  <si>
    <t>LDF</t>
  </si>
  <si>
    <t>A</t>
  </si>
  <si>
    <t>B</t>
  </si>
  <si>
    <t>C</t>
  </si>
  <si>
    <t>D</t>
  </si>
  <si>
    <t>level</t>
  </si>
  <si>
    <t>of</t>
  </si>
  <si>
    <t>variable</t>
  </si>
  <si>
    <t>EE</t>
  </si>
  <si>
    <t>L + ALAE</t>
  </si>
  <si>
    <t>pure</t>
  </si>
  <si>
    <t>indicated</t>
  </si>
  <si>
    <t>premium</t>
  </si>
  <si>
    <t>relativity</t>
  </si>
  <si>
    <t>(final answers in green)</t>
  </si>
  <si>
    <t>= (3) / (2)</t>
  </si>
  <si>
    <t>= (4) / (Tot4)</t>
  </si>
  <si>
    <t>Pricing - Chap 9: Risk Classification</t>
  </si>
  <si>
    <t>Pricing - Chap 10: Multivariate Analysis</t>
  </si>
  <si>
    <t>x</t>
  </si>
  <si>
    <t>at</t>
  </si>
  <si>
    <t>Step 3</t>
  </si>
  <si>
    <t>Pricing - Chap 11: Special Classification</t>
  </si>
  <si>
    <t>Define the term "Insurance-to-Value" as given in the Werner and Modlin text.</t>
  </si>
  <si>
    <t>Insurance-to-Value indicates how the level of insurance chosen relates to the overall value or</t>
  </si>
  <si>
    <t>replacement cost of the item.</t>
  </si>
  <si>
    <t>(In other words, it's the ratio of AOI to replacement value, where AOI is Amount of Insurance.)</t>
  </si>
  <si>
    <t>The Werner &amp; Modlin source text discusses different way insurers can encourage customers to properly</t>
  </si>
  <si>
    <t>insure their properties. In other words, to buy a policy with a face value equal to the value of the</t>
  </si>
  <si>
    <t>properly. The source text calls these ITV-initiatives. Identify and briefly describe 3 of these initiatives.</t>
  </si>
  <si>
    <t>→ allows replacement cost to exceed the policy limit if the property is 100% insured to value</t>
  </si>
  <si>
    <t>insurers use more sophisticated property estimation tools</t>
  </si>
  <si>
    <t>→ so insurers know more accurately whether a property is appropriately insured</t>
  </si>
  <si>
    <t>insurers educate customers:</t>
  </si>
  <si>
    <t>insurers inspect property and use indexation clauses</t>
  </si>
  <si>
    <t>→ more information allows insurers to better price a policy</t>
  </si>
  <si>
    <t>→ indexation clauses ensure the face value of a policy keeps up with the value of the home</t>
  </si>
  <si>
    <t>insurers use a coinsurance clause</t>
  </si>
  <si>
    <t>→ assigns a penalty if the coinsurance requirement is not met</t>
  </si>
  <si>
    <r>
      <t>insurers offer GRC </t>
    </r>
    <r>
      <rPr>
        <b/>
        <i/>
        <sz val="11"/>
        <color rgb="FF222222"/>
        <rFont val="Calibri"/>
        <family val="2"/>
        <scheme val="minor"/>
      </rPr>
      <t>(Guaranteed Replacement cost)</t>
    </r>
  </si>
  <si>
    <r>
      <t>→ coverage is better if F/V is closer to 100% </t>
    </r>
    <r>
      <rPr>
        <i/>
        <sz val="11"/>
        <color rgb="FF222222"/>
        <rFont val="Calibri"/>
        <family val="2"/>
        <scheme val="minor"/>
      </rPr>
      <t>(for both insurer and insureds)</t>
    </r>
  </si>
  <si>
    <r>
      <t xml:space="preserve">A coinsurance penalty clause </t>
    </r>
    <r>
      <rPr>
        <u/>
        <sz val="11"/>
        <color theme="1"/>
        <rFont val="Calibri"/>
        <family val="2"/>
        <scheme val="minor"/>
      </rPr>
      <t>corrects for inequity</t>
    </r>
    <r>
      <rPr>
        <sz val="11"/>
        <color theme="1"/>
        <rFont val="Calibri"/>
        <family val="2"/>
        <scheme val="minor"/>
      </rPr>
      <t xml:space="preserve"> caused by two homes being insured to different levels of ITV</t>
    </r>
  </si>
  <si>
    <r>
      <rPr>
        <u/>
        <sz val="11"/>
        <color theme="1"/>
        <rFont val="Calibri"/>
        <family val="2"/>
        <scheme val="minor"/>
      </rPr>
      <t>by adjusting the indemnity payment</t>
    </r>
    <r>
      <rPr>
        <sz val="11"/>
        <color theme="1"/>
        <rFont val="Calibri"/>
        <family val="2"/>
        <scheme val="minor"/>
      </rPr>
      <t xml:space="preserve"> in the event of a loss.</t>
    </r>
  </si>
  <si>
    <t>(For the full 0.5 pts, your answer requires something similar to the underlined phrases above.)</t>
  </si>
  <si>
    <t>Briefly explain the concept of a "coninsurance penalty".</t>
  </si>
  <si>
    <t>Any 3 of there ITV initiatives:</t>
  </si>
  <si>
    <t>Calculate the rate per $1,000 of coverage.</t>
  </si>
  <si>
    <t>value of home</t>
  </si>
  <si>
    <t>AOI</t>
  </si>
  <si>
    <t>frequency of loss</t>
  </si>
  <si>
    <t>The severity of loss is uniformly distributed between 0 and the value of the home.</t>
  </si>
  <si>
    <t xml:space="preserve"> calculate the average expected payment subject to the maximum payment of AOI</t>
  </si>
  <si>
    <t>average</t>
  </si>
  <si>
    <t>size of loss</t>
  </si>
  <si>
    <t>dist.</t>
  </si>
  <si>
    <t>payment</t>
  </si>
  <si>
    <r>
      <t xml:space="preserve"> </t>
    </r>
    <r>
      <rPr>
        <b/>
        <i/>
        <sz val="11"/>
        <color theme="1"/>
        <rFont val="Calibri"/>
        <family val="2"/>
        <scheme val="minor"/>
      </rPr>
      <t>&lt;==</t>
    </r>
    <r>
      <rPr>
        <i/>
        <sz val="11"/>
        <color theme="1"/>
        <rFont val="Calibri"/>
        <family val="2"/>
        <scheme val="minor"/>
      </rPr>
      <t xml:space="preserve"> weighted by loss distribution</t>
    </r>
  </si>
  <si>
    <t xml:space="preserve"> calculate the pure premium and the premium rate per $1,000</t>
  </si>
  <si>
    <t>pure premium</t>
  </si>
  <si>
    <t>frequency</t>
  </si>
  <si>
    <t>severity</t>
  </si>
  <si>
    <t>rate per $1,000</t>
  </si>
  <si>
    <t>pure prem</t>
  </si>
  <si>
    <t>/      (</t>
  </si>
  <si>
    <t>)</t>
  </si>
  <si>
    <t>Note</t>
  </si>
  <si>
    <r>
      <t xml:space="preserve"> If the home is insured to </t>
    </r>
    <r>
      <rPr>
        <u/>
        <sz val="11"/>
        <color theme="1"/>
        <rFont val="Calibri"/>
        <family val="2"/>
        <scheme val="minor"/>
      </rPr>
      <t>full value</t>
    </r>
    <r>
      <rPr>
        <sz val="11"/>
        <color theme="1"/>
        <rFont val="Calibri"/>
        <family val="2"/>
        <scheme val="minor"/>
      </rPr>
      <t>, the rate per $1,000 of coverage would be:</t>
    </r>
  </si>
  <si>
    <t>Pricing - Chap 14: Implementation</t>
  </si>
  <si>
    <t>Identify and briefly describe 3 distinct non-pricing solutions for rebalancing the Fundamental</t>
  </si>
  <si>
    <t>Insurance Equation.</t>
  </si>
  <si>
    <t>Each main bullet point, and 1 further point under each is required for full credit.</t>
  </si>
  <si>
    <t>reduce losses</t>
  </si>
  <si>
    <t>→ tighten U/W requirements to eliminate policies that are underpriced</t>
  </si>
  <si>
    <t>reduce LAE</t>
  </si>
  <si>
    <t>→ Ex: reduce staffing levels in claims department</t>
  </si>
  <si>
    <t>reduce U/W expenses</t>
  </si>
  <si>
    <t>→ Ex: reduce agent commission</t>
  </si>
  <si>
    <r>
      <t>→ reduce coverage levels </t>
    </r>
    <r>
      <rPr>
        <i/>
        <sz val="11"/>
        <color rgb="FF222222"/>
        <rFont val="Calibri"/>
        <family val="2"/>
        <scheme val="minor"/>
      </rPr>
      <t>(Ex: reduce limits or insert coverage exclusions)</t>
    </r>
  </si>
  <si>
    <r>
      <t>→ implement better loss controls </t>
    </r>
    <r>
      <rPr>
        <i/>
        <sz val="11"/>
        <color rgb="FF222222"/>
        <rFont val="Calibri"/>
        <family val="2"/>
        <scheme val="minor"/>
      </rPr>
      <t>(Ex: safety programs for WC)</t>
    </r>
  </si>
  <si>
    <t>expense</t>
  </si>
  <si>
    <t>Step 2a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</si>
  <si>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</t>
    </r>
  </si>
  <si>
    <t>(</t>
  </si>
  <si>
    <t>Reserving - Chap 1: Overview</t>
  </si>
  <si>
    <t>Given the triangles shown further down, compute the following quantities:</t>
  </si>
  <si>
    <t>Amounts</t>
  </si>
  <si>
    <t>Paid Loss</t>
  </si>
  <si>
    <t>Development Age</t>
  </si>
  <si>
    <t>CY</t>
  </si>
  <si>
    <t>Rptd Loss</t>
  </si>
  <si>
    <t>Reserving - Chap 5: Triangles</t>
  </si>
  <si>
    <t>Reserving - Chap 7: Development Method</t>
  </si>
  <si>
    <t>Reserving - Chap 10: Cape Cod Method</t>
  </si>
  <si>
    <t>Reserving - Chap 11: Frequency/Severity Methods</t>
  </si>
  <si>
    <t>Reserving - Chap 9: Bornhuetter Ferguson Method</t>
  </si>
  <si>
    <t>Reserving - Chap 12: Case O/S Methods</t>
  </si>
  <si>
    <t>Reserving - Chap 13: Berquist-Sherman Methods</t>
  </si>
  <si>
    <t>Reserving - Chap 14: Recoveries</t>
  </si>
  <si>
    <t>Reserving - Chap 15: Evaluation of Methods</t>
  </si>
  <si>
    <t>Reserving - Chap 16: ALAE</t>
  </si>
  <si>
    <t>Reserving - Chap 17: ULAE</t>
  </si>
  <si>
    <t>Step A</t>
  </si>
  <si>
    <t>=====&gt;</t>
  </si>
  <si>
    <t>link ratios for paid claim triangle</t>
  </si>
  <si>
    <t>48-ult</t>
  </si>
  <si>
    <r>
      <rPr>
        <b/>
        <sz val="11"/>
        <color rgb="FFFF0000"/>
        <rFont val="Calibri"/>
        <family val="2"/>
        <scheme val="minor"/>
      </rPr>
      <t>Tail Factor: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The triangle is fully developed as of</t>
    </r>
  </si>
  <si>
    <r>
      <t xml:space="preserve">48 months. That means the 48-ult </t>
    </r>
    <r>
      <rPr>
        <u/>
        <sz val="11"/>
        <rFont val="Calibri"/>
        <family val="2"/>
        <scheme val="minor"/>
      </rPr>
      <t>tail factor</t>
    </r>
  </si>
  <si>
    <t>is equal to 1.0</t>
  </si>
  <si>
    <t>Step B</t>
  </si>
  <si>
    <t>selected</t>
  </si>
  <si>
    <t>Step C</t>
  </si>
  <si>
    <t>calculate age-to-ultimate LDFs</t>
  </si>
  <si>
    <t>age -&gt; ult</t>
  </si>
  <si>
    <t>&lt;======</t>
  </si>
  <si>
    <r>
      <t>(</t>
    </r>
    <r>
      <rPr>
        <b/>
        <sz val="11"/>
        <color rgb="FF00B050"/>
        <rFont val="Calibri"/>
        <family val="2"/>
        <scheme val="minor"/>
      </rPr>
      <t>selected</t>
    </r>
    <r>
      <rPr>
        <sz val="11"/>
        <rFont val="Calibri"/>
        <family val="2"/>
        <scheme val="minor"/>
      </rPr>
      <t>)  x  (prior [age -&gt; ult])</t>
    </r>
  </si>
  <si>
    <t>(calculate from right-to-left)</t>
  </si>
  <si>
    <t>Step D</t>
  </si>
  <si>
    <t>calculate ultimate losses based on latest paid losses</t>
  </si>
  <si>
    <t>diagonal</t>
  </si>
  <si>
    <t>ultimate</t>
  </si>
  <si>
    <r>
      <t>(</t>
    </r>
    <r>
      <rPr>
        <b/>
        <sz val="11"/>
        <color theme="5" tint="-0.249977111117893"/>
        <rFont val="Calibri"/>
        <family val="2"/>
        <scheme val="minor"/>
      </rPr>
      <t>diagonal</t>
    </r>
    <r>
      <rPr>
        <sz val="11"/>
        <rFont val="Calibri"/>
        <family val="2"/>
        <scheme val="minor"/>
      </rPr>
      <t>)  x  (</t>
    </r>
    <r>
      <rPr>
        <sz val="11"/>
        <color rgb="FF0070C0"/>
        <rFont val="Calibri"/>
        <family val="2"/>
        <scheme val="minor"/>
      </rPr>
      <t>age -&gt; ult</t>
    </r>
    <r>
      <rPr>
        <sz val="11"/>
        <rFont val="Calibri"/>
        <family val="2"/>
        <scheme val="minor"/>
      </rPr>
      <t>)</t>
    </r>
  </si>
  <si>
    <t>unreported (or unpaid) claims will emerge in accordance with expected claims</t>
  </si>
  <si>
    <t>Identify the key assumption of the Bornhuetter-Ferguson method for estimating unpaid claims.</t>
  </si>
  <si>
    <t>ECR</t>
  </si>
  <si>
    <t>EP</t>
  </si>
  <si>
    <t xml:space="preserve">Calculate the </t>
  </si>
  <si>
    <t>for AY</t>
  </si>
  <si>
    <t>Step 2b</t>
  </si>
  <si>
    <t>(1 - 1/CDF)</t>
  </si>
  <si>
    <t>Final</t>
  </si>
  <si>
    <t>unpaid</t>
  </si>
  <si>
    <t>paid</t>
  </si>
  <si>
    <t>Disadvantages: any 1 of..</t>
  </si>
  <si>
    <t>Advantage:</t>
  </si>
  <si>
    <r>
      <t xml:space="preserve"> calculate the adjusted reported losses </t>
    </r>
    <r>
      <rPr>
        <i/>
        <sz val="11"/>
        <rFont val="Calibri"/>
        <family val="2"/>
        <scheme val="minor"/>
      </rPr>
      <t>(do not apply CDFs to the losses - we are not calculating the ultimate here)</t>
    </r>
  </si>
  <si>
    <t>rptd clms</t>
  </si>
  <si>
    <t>PP trend</t>
  </si>
  <si>
    <t>adjusted reported claims</t>
  </si>
  <si>
    <t>using the reported Cape Cod method.</t>
  </si>
  <si>
    <t>CDF</t>
  </si>
  <si>
    <t>trend</t>
  </si>
  <si>
    <t xml:space="preserve"> calculate the used-up-premium (UUP)</t>
  </si>
  <si>
    <t>CY/AY</t>
  </si>
  <si>
    <t>UUP</t>
  </si>
  <si>
    <t>* no rate level adjustments</t>
  </si>
  <si>
    <t>* no premium trend</t>
  </si>
  <si>
    <r>
      <t xml:space="preserve"> calculate the adjusted ECR </t>
    </r>
    <r>
      <rPr>
        <u/>
        <sz val="11"/>
        <color theme="1"/>
        <rFont val="Calibri"/>
        <family val="2"/>
        <scheme val="minor"/>
      </rPr>
      <t>at the level</t>
    </r>
    <r>
      <rPr>
        <sz val="11"/>
        <color theme="1"/>
        <rFont val="Calibri"/>
        <family val="2"/>
        <scheme val="minor"/>
      </rPr>
      <t>:</t>
    </r>
  </si>
  <si>
    <t>(you must back out the pure premium trend)</t>
  </si>
  <si>
    <t>Step 4</t>
  </si>
  <si>
    <t xml:space="preserve"> calculate the ultimate using the data for:</t>
  </si>
  <si>
    <t>( 1 -     1 /</t>
  </si>
  <si>
    <t>CDF )</t>
  </si>
  <si>
    <r>
      <t xml:space="preserve">  &lt;==  </t>
    </r>
    <r>
      <rPr>
        <i/>
        <sz val="11"/>
        <color rgb="FFFF0000"/>
        <rFont val="Calibri"/>
        <family val="2"/>
        <scheme val="minor"/>
      </rPr>
      <t>final answer</t>
    </r>
  </si>
  <si>
    <t>Advantages: any 1 of..</t>
  </si>
  <si>
    <t>(paid data is not affected by changes in case strength)</t>
  </si>
  <si>
    <r>
      <rPr>
        <b/>
        <sz val="11"/>
        <color rgb="FFFF0000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aid data only may be used which is an advantage if case strength/adequacy is changing</t>
    </r>
  </si>
  <si>
    <r>
      <rPr>
        <b/>
        <sz val="11"/>
        <color rgb="FFFF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nflation can be explicitly reflected</t>
    </r>
  </si>
  <si>
    <r>
      <t>I</t>
    </r>
    <r>
      <rPr>
        <sz val="11"/>
        <color rgb="FF222222"/>
        <rFont val="Calibri"/>
        <family val="2"/>
        <scheme val="minor"/>
      </rPr>
      <t>nsight into the claims process since frequency, severity, and disposal rates are explicitly considered</t>
    </r>
  </si>
  <si>
    <t xml:space="preserve">  - more calculations means small inaccuracies can propagate, and also judgmental selections</t>
  </si>
  <si>
    <t xml:space="preserve">    are required in multiple steps</t>
  </si>
  <si>
    <t xml:space="preserve">  - disadvantage if settlement rates are changing because paid data may be distorted</t>
  </si>
  <si>
    <t xml:space="preserve">  - final result is very sensitive to inflation assumption</t>
  </si>
  <si>
    <r>
      <rPr>
        <b/>
        <sz val="11"/>
        <color rgb="FFFF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nflation:</t>
    </r>
  </si>
  <si>
    <r>
      <rPr>
        <b/>
        <sz val="11"/>
        <color rgb="FFFF0000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aid data:</t>
    </r>
  </si>
  <si>
    <r>
      <rPr>
        <b/>
        <sz val="11"/>
        <color rgb="FFFF0000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omplexity:</t>
    </r>
  </si>
  <si>
    <t>?</t>
  </si>
  <si>
    <t>--</t>
  </si>
  <si>
    <t>Identify 1 advantage and 1 disadvantage of frequency-severity methods.</t>
  </si>
  <si>
    <t>- ultimate</t>
  </si>
  <si>
    <t xml:space="preserve"> CDF</t>
  </si>
  <si>
    <t>Step 1a</t>
  </si>
  <si>
    <t>Ex:</t>
  </si>
  <si>
    <t>Step 1b</t>
  </si>
  <si>
    <t>Step 3b</t>
  </si>
  <si>
    <t>LDFs</t>
  </si>
  <si>
    <t>CDFs</t>
  </si>
  <si>
    <t>Ults.</t>
  </si>
  <si>
    <t xml:space="preserve"> &lt;-- final answer</t>
  </si>
  <si>
    <t xml:space="preserve"> determine the 12-month period containing the period you're given</t>
  </si>
  <si>
    <t>period</t>
  </si>
  <si>
    <t>to</t>
  </si>
  <si>
    <t>is contained in period</t>
  </si>
  <si>
    <t xml:space="preserve"> calculate the quantites required in the emergence formula (for step 3)</t>
  </si>
  <si>
    <t>Here is the current information for a particular AY:</t>
  </si>
  <si>
    <t xml:space="preserve"> calculate the emergence in the 12-month period using the results from step 2</t>
  </si>
  <si>
    <t>12-mth emergence</t>
  </si>
  <si>
    <t xml:space="preserve">x        ( </t>
  </si>
  <si>
    <t xml:space="preserve"> )        /</t>
  </si>
  <si>
    <t>Calculate the emergence of paid claims in the period</t>
  </si>
  <si>
    <t xml:space="preserve">  months.</t>
  </si>
  <si>
    <t>Step 1:</t>
  </si>
  <si>
    <t>Use the</t>
  </si>
  <si>
    <t>additive</t>
  </si>
  <si>
    <t>approach to estimate the</t>
  </si>
  <si>
    <t>cumulative paid claims:</t>
  </si>
  <si>
    <t>Step 2:</t>
  </si>
  <si>
    <r>
      <t xml:space="preserve">  &lt;</t>
    </r>
    <r>
      <rPr>
        <b/>
        <sz val="11"/>
        <color rgb="FFFF0000"/>
        <rFont val="Calibri"/>
        <family val="2"/>
        <scheme val="minor"/>
      </rPr>
      <t>===</t>
    </r>
  </si>
  <si>
    <t>ult clms</t>
  </si>
  <si>
    <t>cum</t>
  </si>
  <si>
    <t>Ult Ratio</t>
  </si>
  <si>
    <t xml:space="preserve">  &lt;===</t>
  </si>
  <si>
    <t>given information</t>
  </si>
  <si>
    <t>When selecting development factors, you may select a SIMPLE AVERAGE in this problem.</t>
  </si>
  <si>
    <t>(repeated here for convenience)</t>
  </si>
  <si>
    <t>Step 3:</t>
  </si>
  <si>
    <t>(Ultimate Ratio)</t>
  </si>
  <si>
    <t>(Ultimate Claims)</t>
  </si>
  <si>
    <t>Step 4:</t>
  </si>
  <si>
    <t>final answer</t>
  </si>
  <si>
    <t>classical</t>
  </si>
  <si>
    <t>ULAE</t>
  </si>
  <si>
    <t>occurrence</t>
  </si>
  <si>
    <t>incurred</t>
  </si>
  <si>
    <r>
      <t xml:space="preserve">Sometimes there is a </t>
    </r>
    <r>
      <rPr>
        <sz val="11"/>
        <color rgb="FFFF0000"/>
        <rFont val="Calibri"/>
        <family val="2"/>
        <scheme val="minor"/>
      </rPr>
      <t>trend</t>
    </r>
    <r>
      <rPr>
        <sz val="11"/>
        <color theme="1"/>
        <rFont val="Calibri"/>
        <family val="2"/>
        <scheme val="minor"/>
      </rPr>
      <t xml:space="preserve"> in ULAE ratios.</t>
    </r>
  </si>
  <si>
    <r>
      <t xml:space="preserve">If so, you may need to use </t>
    </r>
    <r>
      <rPr>
        <sz val="11"/>
        <color rgb="FFFF0000"/>
        <rFont val="Calibri"/>
        <family val="2"/>
        <scheme val="minor"/>
      </rPr>
      <t>judgement</t>
    </r>
  </si>
  <si>
    <t>instead of just selecting the average</t>
  </si>
  <si>
    <t xml:space="preserve">  apply formula for unpaid ULAE</t>
  </si>
  <si>
    <t>unpaid ULAE</t>
  </si>
  <si>
    <t>(ULAE ratio)</t>
  </si>
  <si>
    <t>( Case + IBNER )</t>
  </si>
  <si>
    <r>
      <rPr>
        <sz val="11"/>
        <color rgb="FF00B05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 xml:space="preserve">   x </t>
    </r>
  </si>
  <si>
    <t>IBNYR ]</t>
  </si>
  <si>
    <t xml:space="preserve">  % of total IBNR attributed to future case development on known claims</t>
  </si>
  <si>
    <r>
      <t>where</t>
    </r>
    <r>
      <rPr>
        <b/>
        <sz val="11"/>
        <color theme="1"/>
        <rFont val="Calibri"/>
        <family val="2"/>
        <scheme val="minor"/>
      </rPr>
      <t>:</t>
    </r>
  </si>
  <si>
    <t xml:space="preserve">  percent of unallocated work that occurs when a claim is opened</t>
  </si>
  <si>
    <t>IBNER</t>
  </si>
  <si>
    <t>Total IBNR</t>
  </si>
  <si>
    <r>
      <t>&lt;</t>
    </r>
    <r>
      <rPr>
        <b/>
        <sz val="11"/>
        <color rgb="FF0070C0"/>
        <rFont val="Calibri"/>
        <family val="2"/>
        <scheme val="minor"/>
      </rPr>
      <t xml:space="preserve">== </t>
    </r>
    <r>
      <rPr>
        <sz val="11"/>
        <color rgb="FF0070C0"/>
        <rFont val="Calibri"/>
        <family val="2"/>
        <scheme val="minor"/>
      </rPr>
      <t xml:space="preserve">Incurred But Not </t>
    </r>
    <r>
      <rPr>
        <u/>
        <sz val="11"/>
        <color rgb="FF0070C0"/>
        <rFont val="Calibri"/>
        <family val="2"/>
        <scheme val="minor"/>
      </rPr>
      <t>ENOUGH</t>
    </r>
    <r>
      <rPr>
        <sz val="11"/>
        <color rgb="FF0070C0"/>
        <rFont val="Calibri"/>
        <family val="2"/>
        <scheme val="minor"/>
      </rPr>
      <t xml:space="preserve"> Reported</t>
    </r>
  </si>
  <si>
    <t>IBNYR</t>
  </si>
  <si>
    <t>Tot IBNR</t>
  </si>
  <si>
    <r>
      <t>&lt;</t>
    </r>
    <r>
      <rPr>
        <b/>
        <sz val="11"/>
        <color rgb="FF0070C0"/>
        <rFont val="Calibri"/>
        <family val="2"/>
        <scheme val="minor"/>
      </rPr>
      <t xml:space="preserve">== </t>
    </r>
    <r>
      <rPr>
        <sz val="11"/>
        <color rgb="FF0070C0"/>
        <rFont val="Calibri"/>
        <family val="2"/>
        <scheme val="minor"/>
      </rPr>
      <t xml:space="preserve">Incurred But Not </t>
    </r>
    <r>
      <rPr>
        <u/>
        <sz val="11"/>
        <color rgb="FF0070C0"/>
        <rFont val="Calibri"/>
        <family val="2"/>
        <scheme val="minor"/>
      </rPr>
      <t>YET</t>
    </r>
    <r>
      <rPr>
        <sz val="11"/>
        <color rgb="FF0070C0"/>
        <rFont val="Calibri"/>
        <family val="2"/>
        <scheme val="minor"/>
      </rPr>
      <t xml:space="preserve"> Reported</t>
    </r>
  </si>
  <si>
    <r>
      <rPr>
        <b/>
        <u/>
        <sz val="11"/>
        <color theme="1"/>
        <rFont val="Calibri"/>
        <family val="2"/>
        <scheme val="minor"/>
      </rPr>
      <t>therefore</t>
    </r>
    <r>
      <rPr>
        <b/>
        <sz val="11"/>
        <color theme="1"/>
        <rFont val="Calibri"/>
        <family val="2"/>
        <scheme val="minor"/>
      </rPr>
      <t>:</t>
    </r>
  </si>
  <si>
    <t>]</t>
  </si>
  <si>
    <r>
      <t xml:space="preserve">  &lt;</t>
    </r>
    <r>
      <rPr>
        <b/>
        <sz val="11"/>
        <color rgb="FF00B050"/>
        <rFont val="Calibri"/>
        <family val="2"/>
        <scheme val="minor"/>
      </rPr>
      <t>== final answer</t>
    </r>
  </si>
  <si>
    <t>Pricing - Chap 15: Commercial Ratemaking</t>
  </si>
  <si>
    <t>Exam 5 - Practice B-01 - Answers</t>
  </si>
  <si>
    <t>Based on the information provided, which of the following criteria should a good exposure base</t>
  </si>
  <si>
    <t>satisfy? (Select the best, most comprehensive answer.)</t>
  </si>
  <si>
    <t>Objective, Cheap to obtain, and Verify</t>
  </si>
  <si>
    <t>Car value, Number of drivers, and Policy duration</t>
  </si>
  <si>
    <t>Considers historical precedents, Car-years, Telematics</t>
  </si>
  <si>
    <t>Practical, Proportional to expected loss, Considers historical precedents</t>
  </si>
  <si>
    <t>effect of the benefit level change?</t>
  </si>
  <si>
    <t>10.1%</t>
  </si>
  <si>
    <t>11.3%</t>
  </si>
  <si>
    <t>13.7%</t>
  </si>
  <si>
    <t>8.7%</t>
  </si>
  <si>
    <t>If total current benefits are $575,000 and total proposed benefits are $625,000, what is the direct</t>
  </si>
  <si>
    <t/>
  </si>
  <si>
    <t>What are the two main components usually considered in calculating the total unpaid claim estimate?</t>
  </si>
  <si>
    <t>Case O/S and Provision for Future Development on Known Claims</t>
  </si>
  <si>
    <t>IBNR and Provision for Reopened Claims</t>
  </si>
  <si>
    <t>Case O/S and IBNR</t>
  </si>
  <si>
    <t>Provision for Claims In Transit and Case O/S</t>
  </si>
  <si>
    <t>For an actuary doing a reserve analysis, which is these questions would be most appropriate for the</t>
  </si>
  <si>
    <t>U/W manager?</t>
  </si>
  <si>
    <t>Can the data be subdivided into finer categories? (Ex: by policy limit)</t>
  </si>
  <si>
    <t>Has there been a change in the date when the books are closed for the quarter?</t>
  </si>
  <si>
    <t>Has there been a change in our retention level (claims above the retention level</t>
  </si>
  <si>
    <t>are ceded)</t>
  </si>
  <si>
    <t>Have there been changes in mix of business over the last few years?</t>
  </si>
  <si>
    <t>(Ex: geographical changes, changes in deductibles)</t>
  </si>
  <si>
    <t>accident</t>
  </si>
  <si>
    <t>transaction</t>
  </si>
  <si>
    <t>incremental</t>
  </si>
  <si>
    <t>ending</t>
  </si>
  <si>
    <t>claim</t>
  </si>
  <si>
    <t>date</t>
  </si>
  <si>
    <t>case reserve</t>
  </si>
  <si>
    <t>2021.9.01</t>
  </si>
  <si>
    <t>2022.09.01</t>
  </si>
  <si>
    <t>2023.03.01</t>
  </si>
  <si>
    <t>2022.4.01</t>
  </si>
  <si>
    <t>2023.04.01</t>
  </si>
  <si>
    <t>2024.01.01</t>
  </si>
  <si>
    <t>2024.07.01</t>
  </si>
  <si>
    <t>2024.10.01</t>
  </si>
  <si>
    <t>2021.1.01</t>
  </si>
  <si>
    <t>2021.07.01</t>
  </si>
  <si>
    <t>2021.10.01</t>
  </si>
  <si>
    <t>2022.10.01</t>
  </si>
  <si>
    <t>change in</t>
  </si>
  <si>
    <t>use row?</t>
  </si>
  <si>
    <t>==&gt;</t>
  </si>
  <si>
    <t>Claim Information:</t>
  </si>
  <si>
    <t>Pricing - Chap 3: Data</t>
  </si>
  <si>
    <t>Calculate  the incurred loss for CY</t>
  </si>
  <si>
    <r>
      <t xml:space="preserve"> (i)   SUM rows with </t>
    </r>
    <r>
      <rPr>
        <u/>
        <sz val="11"/>
        <color rgb="FF0070C0"/>
        <rFont val="Calibri"/>
        <family val="2"/>
        <scheme val="minor"/>
      </rPr>
      <t>any</t>
    </r>
    <r>
      <rPr>
        <sz val="11"/>
        <color rgb="FF0070C0"/>
        <rFont val="Calibri"/>
        <family val="2"/>
        <scheme val="minor"/>
      </rPr>
      <t xml:space="preserve"> accident date:</t>
    </r>
  </si>
  <si>
    <t>all</t>
  </si>
  <si>
    <t>and transaction date in:</t>
  </si>
  <si>
    <t xml:space="preserve"> (ii)  same as part (a)</t>
  </si>
  <si>
    <t xml:space="preserve"> (iii) same as part (a)</t>
  </si>
  <si>
    <t xml:space="preserve"> (iv)  same as part (a)</t>
  </si>
  <si>
    <t>pertains to the application of the Berquist-Sherman paid method for estimating ultimate paid claims.</t>
  </si>
  <si>
    <t>Cumulative Paid Counts (CPC)</t>
  </si>
  <si>
    <t>Application of the Berquist-Sherman Paid method, resulted in these following restated paid loss</t>
  </si>
  <si>
    <t>and restate paid count values:</t>
  </si>
  <si>
    <r>
      <rPr>
        <b/>
        <sz val="11"/>
        <rFont val="Calibri"/>
        <family val="2"/>
        <scheme val="minor"/>
      </rPr>
      <t>Restated</t>
    </r>
    <r>
      <rPr>
        <sz val="11"/>
        <rFont val="Calibri"/>
        <family val="2"/>
        <scheme val="minor"/>
      </rPr>
      <t xml:space="preserve"> Cumulative Paid Counts (CPC)</t>
    </r>
  </si>
  <si>
    <t xml:space="preserve">developmentmonths ==&gt;  </t>
  </si>
  <si>
    <t>Calculate the missing restated cumulative paid loss using linear interpolation for 36 months.</t>
  </si>
  <si>
    <t>This cumulative paid loss and cumulative paid count informtion is for AY 2020 as of Dec 31 2023 and</t>
  </si>
  <si>
    <t>Cumulative Paid Loss (CPL) (000s)</t>
  </si>
  <si>
    <r>
      <rPr>
        <b/>
        <sz val="11"/>
        <rFont val="Calibri"/>
        <family val="2"/>
        <scheme val="minor"/>
      </rPr>
      <t xml:space="preserve">Restated </t>
    </r>
    <r>
      <rPr>
        <sz val="11"/>
        <rFont val="Calibri"/>
        <family val="2"/>
        <scheme val="minor"/>
      </rPr>
      <t>Cumulative Paid Loss (CPL) (000s)</t>
    </r>
  </si>
  <si>
    <t>A personal automobile company is considering changing its exposure base from car-years to hours</t>
  </si>
  <si>
    <t>driven. Evaluate hours driven using 3 criteria of a good exposure base.</t>
  </si>
  <si>
    <t>YES</t>
  </si>
  <si>
    <t xml:space="preserve">  - hours driven is more closely correlated to expected loss than car-years</t>
  </si>
  <si>
    <r>
      <t xml:space="preserve">Is hours driven </t>
    </r>
    <r>
      <rPr>
        <u/>
        <sz val="11"/>
        <color theme="1"/>
        <rFont val="Calibri"/>
        <family val="2"/>
        <scheme val="minor"/>
      </rPr>
      <t>proportional</t>
    </r>
    <r>
      <rPr>
        <sz val="11"/>
        <color theme="1"/>
        <rFont val="Calibri"/>
        <family val="2"/>
        <scheme val="minor"/>
      </rPr>
      <t xml:space="preserve"> to expected loss?</t>
    </r>
  </si>
  <si>
    <r>
      <t xml:space="preserve">Is hours driven </t>
    </r>
    <r>
      <rPr>
        <u/>
        <sz val="11"/>
        <color theme="1"/>
        <rFont val="Calibri"/>
        <family val="2"/>
        <scheme val="minor"/>
      </rPr>
      <t>practical</t>
    </r>
    <r>
      <rPr>
        <sz val="11"/>
        <color theme="1"/>
        <rFont val="Calibri"/>
        <family val="2"/>
        <scheme val="minor"/>
      </rPr>
      <t>?</t>
    </r>
  </si>
  <si>
    <t>NO</t>
  </si>
  <si>
    <t xml:space="preserve">  - hours driven is well-defined but no easy to verify</t>
  </si>
  <si>
    <r>
      <t xml:space="preserve">Does hours driven consider historical </t>
    </r>
    <r>
      <rPr>
        <u/>
        <sz val="11"/>
        <color theme="1"/>
        <rFont val="Calibri"/>
        <family val="2"/>
        <scheme val="minor"/>
      </rPr>
      <t>precedents</t>
    </r>
    <r>
      <rPr>
        <sz val="11"/>
        <color theme="1"/>
        <rFont val="Calibri"/>
        <family val="2"/>
        <scheme val="minor"/>
      </rPr>
      <t>?</t>
    </r>
  </si>
  <si>
    <t xml:space="preserve">  - this change may cause rate swings</t>
  </si>
  <si>
    <t xml:space="preserve">  - this change may be expensive to reprogram</t>
  </si>
  <si>
    <t xml:space="preserve">  - this change may require historical data to be adjusted for future analyses</t>
  </si>
  <si>
    <t>(only 1 reason below is required for full credit.)</t>
  </si>
  <si>
    <t>Which of these exposure bases are inflation-sensitive?</t>
  </si>
  <si>
    <t>payroll (Worker's Compensation)</t>
  </si>
  <si>
    <t>car-years (personal auto)</t>
  </si>
  <si>
    <t>house-years (homeowners)</t>
  </si>
  <si>
    <t>sales revenue (commercial General Liability)</t>
  </si>
  <si>
    <t>Give yourself 0.25 pts for each correct answer and subtract 0.25 for each wrong answer.</t>
  </si>
  <si>
    <t>A &amp; D are inflation-sensitive</t>
  </si>
  <si>
    <t>Written exposures for calendar year 2023 assuming one of the policies was</t>
  </si>
  <si>
    <t>cancelled on Feb 1, 2024.</t>
  </si>
  <si>
    <t>cancelled on Dec 1, 2023.</t>
  </si>
  <si>
    <t>Written exposures for calendar year 2024 assuming one of the policies was</t>
  </si>
  <si>
    <t>(c-iii)</t>
  </si>
  <si>
    <t>For part (c), observe that the given policies are 6-month policies so a written exposure, which is the</t>
  </si>
  <si>
    <t>same as a written car-year is only 0.5 for in the year the policy was written.</t>
  </si>
  <si>
    <t>Suppose are there four 6-month auto insurance policies each with an effective date of Nov 1, 2023.</t>
  </si>
  <si>
    <r>
      <t xml:space="preserve">Calculate the EP @ CRL for </t>
    </r>
    <r>
      <rPr>
        <b/>
        <sz val="11"/>
        <color rgb="FFFF0000"/>
        <rFont val="Calibri"/>
        <family val="2"/>
        <scheme val="minor"/>
      </rPr>
      <t>policy years</t>
    </r>
    <r>
      <rPr>
        <sz val="11"/>
        <rFont val="Calibri"/>
        <family val="2"/>
        <scheme val="minor"/>
      </rPr>
      <t xml:space="preserve"> 2020, 2021 and 2022 assuming annual policies and 2 rate changes.</t>
    </r>
  </si>
  <si>
    <t>rate change 1</t>
  </si>
  <si>
    <t>rate change 1 date</t>
  </si>
  <si>
    <t>rate change 2</t>
  </si>
  <si>
    <t>rate change 2 date</t>
  </si>
  <si>
    <t xml:space="preserve">Note:  </t>
  </si>
  <si>
    <r>
      <t xml:space="preserve">On the real exam, the question likely won't emphasize they are asking about </t>
    </r>
    <r>
      <rPr>
        <i/>
        <u/>
        <sz val="11"/>
        <rFont val="Calibri"/>
        <family val="2"/>
        <scheme val="minor"/>
      </rPr>
      <t>policy</t>
    </r>
  </si>
  <si>
    <r>
      <rPr>
        <i/>
        <u/>
        <sz val="11"/>
        <rFont val="Calibri"/>
        <family val="2"/>
        <scheme val="minor"/>
      </rPr>
      <t>years</t>
    </r>
    <r>
      <rPr>
        <i/>
        <sz val="11"/>
        <rFont val="Calibri"/>
        <family val="2"/>
        <scheme val="minor"/>
      </rPr>
      <t>. If you did the calculation for calendar years, you wouldn't get any credit.</t>
    </r>
  </si>
  <si>
    <t>EP 2022 @ CRL</t>
  </si>
  <si>
    <t>A5</t>
  </si>
  <si>
    <t>A6</t>
  </si>
  <si>
    <t>A7</t>
  </si>
  <si>
    <t>A8</t>
  </si>
  <si>
    <t>A9</t>
  </si>
  <si>
    <r>
      <t>ARL</t>
    </r>
    <r>
      <rPr>
        <vertAlign val="subscript"/>
        <sz val="11"/>
        <color theme="1"/>
        <rFont val="Calibri"/>
        <family val="2"/>
        <scheme val="minor"/>
      </rPr>
      <t>22</t>
    </r>
  </si>
  <si>
    <r>
      <t>CRLF</t>
    </r>
    <r>
      <rPr>
        <vertAlign val="subscript"/>
        <sz val="11"/>
        <color theme="1"/>
        <rFont val="Calibri"/>
        <family val="2"/>
        <scheme val="minor"/>
      </rPr>
      <t>22</t>
    </r>
  </si>
  <si>
    <t>Other than bringing earned premium to current rate level to account for rate changes, and trending earned</t>
  </si>
  <si>
    <t>where this adjustment may be required.</t>
  </si>
  <si>
    <t xml:space="preserve">  - premum development</t>
  </si>
  <si>
    <t xml:space="preserve">  - may be required when working with policy year data or for lines of business with premium audits</t>
  </si>
  <si>
    <r>
      <t xml:space="preserve">premium to account distributional changes and inflation, </t>
    </r>
    <r>
      <rPr>
        <u/>
        <sz val="11"/>
        <rFont val="Calibri"/>
        <family val="2"/>
        <scheme val="minor"/>
      </rPr>
      <t>identify</t>
    </r>
    <r>
      <rPr>
        <sz val="11"/>
        <rFont val="Calibri"/>
        <family val="2"/>
        <scheme val="minor"/>
      </rPr>
      <t xml:space="preserve"> an adjustment to earned premium data</t>
    </r>
  </si>
  <si>
    <r>
      <t xml:space="preserve">that should be considered (in certain circumstances) when performing a rate indication. </t>
    </r>
    <r>
      <rPr>
        <u/>
        <sz val="11"/>
        <rFont val="Calibri"/>
        <family val="2"/>
        <scheme val="minor"/>
      </rPr>
      <t>Identify</t>
    </r>
    <r>
      <rPr>
        <sz val="11"/>
        <rFont val="Calibri"/>
        <family val="2"/>
        <scheme val="minor"/>
      </rPr>
      <t xml:space="preserve"> 1 situation</t>
    </r>
  </si>
  <si>
    <t>Briefly describe the general procedure for dealing with shock losses in ratemaking.</t>
  </si>
  <si>
    <t>remove losses above a certain threshold</t>
  </si>
  <si>
    <t>replace with an average expected large loss amount</t>
  </si>
  <si>
    <t>Identify 1 advantage and 1 disadvantage of the premium-based expense method.</t>
  </si>
  <si>
    <t xml:space="preserve">  - more accurate than 'all variable' method because fixed and variable expenses are treated separately</t>
  </si>
  <si>
    <t>Any 1 of..</t>
  </si>
  <si>
    <t xml:space="preserve">  - assumes historical expense ratios are the same as in the projected period</t>
  </si>
  <si>
    <t xml:space="preserve">  - using countrywide data can skew true state-level expenses</t>
  </si>
  <si>
    <t xml:space="preserve">  - requires judgment for percentage split between fixed and variable expenses</t>
  </si>
  <si>
    <t>Calculate the underwriting expense ratio using the premium-based projection method.</t>
  </si>
  <si>
    <t>($000s)</t>
  </si>
  <si>
    <t>% fixed</t>
  </si>
  <si>
    <t>Written Premium</t>
  </si>
  <si>
    <t>WP</t>
  </si>
  <si>
    <t>Earned Premium</t>
  </si>
  <si>
    <t>Agency Commission</t>
  </si>
  <si>
    <t>CB</t>
  </si>
  <si>
    <t>Other Acquisition Cost</t>
  </si>
  <si>
    <t>OthAcq</t>
  </si>
  <si>
    <t>Premium Tax &amp; Licensing Fees</t>
  </si>
  <si>
    <t>TLF</t>
  </si>
  <si>
    <t>Gen</t>
  </si>
  <si>
    <t>notation:</t>
  </si>
  <si>
    <t xml:space="preserve"> separate each expense category into its fixed and variable components</t>
  </si>
  <si>
    <t>% total</t>
  </si>
  <si>
    <t>fixed</t>
  </si>
  <si>
    <t>= (% total) - (% fixed)</t>
  </si>
  <si>
    <t>before</t>
  </si>
  <si>
    <t>split</t>
  </si>
  <si>
    <t>CB / WP</t>
  </si>
  <si>
    <t>====&gt;</t>
  </si>
  <si>
    <t>OthAcq / WP</t>
  </si>
  <si>
    <t>TLF / WP</t>
  </si>
  <si>
    <t>Gen / EP</t>
  </si>
  <si>
    <t xml:space="preserve"> sum the fixed and variable component to get the total underwriting expense ratio</t>
  </si>
  <si>
    <t>total</t>
  </si>
  <si>
    <t>Note that in a ratemaking analysis, you often need the %fixed and %variable components separately.</t>
  </si>
  <si>
    <t>Disadvantages:</t>
  </si>
  <si>
    <t>Calculate the indicated rate change for each class that results in a revenue-neutral overall change.</t>
  </si>
  <si>
    <t>current</t>
  </si>
  <si>
    <t xml:space="preserve">  * EE = Earned Exposures</t>
  </si>
  <si>
    <t>Full credibility:</t>
  </si>
  <si>
    <t xml:space="preserve"> exposures</t>
  </si>
  <si>
    <t>Use the square-root rule for credibility.</t>
  </si>
  <si>
    <t>Complement of credibility is no change.</t>
  </si>
  <si>
    <t xml:space="preserve"> complete the following table and note the key columns:</t>
  </si>
  <si>
    <t>(Col 5)</t>
  </si>
  <si>
    <t>= indicated relativity</t>
  </si>
  <si>
    <t>(Col 8)</t>
  </si>
  <si>
    <r>
      <t>= current relativity (</t>
    </r>
    <r>
      <rPr>
        <b/>
        <sz val="11"/>
        <color rgb="FF0070C0"/>
        <rFont val="Calibri"/>
        <family val="2"/>
        <scheme val="minor"/>
      </rPr>
      <t>normalized</t>
    </r>
    <r>
      <rPr>
        <sz val="11"/>
        <color theme="1"/>
        <rFont val="Calibri"/>
        <family val="2"/>
        <scheme val="minor"/>
      </rPr>
      <t xml:space="preserve"> so that the exposure-weighted average equals 1.000)</t>
    </r>
  </si>
  <si>
    <t>(Col 9)</t>
  </si>
  <si>
    <t>= weighted average of (Col 5) and (Col 8) using (Col 6) as the weight for (Col 5)</t>
  </si>
  <si>
    <t>(7)</t>
  </si>
  <si>
    <t>(8)</t>
  </si>
  <si>
    <t>(9)</t>
  </si>
  <si>
    <t>normalized</t>
  </si>
  <si>
    <t>cred-wtd</t>
  </si>
  <si>
    <t>credibility</t>
  </si>
  <si>
    <t>(weights)</t>
  </si>
  <si>
    <t>(maximum value is 1.0)</t>
  </si>
  <si>
    <t>(Tot7)</t>
  </si>
  <si>
    <t>= exposure-weighted average of (7)</t>
  </si>
  <si>
    <t>= (7) / (Tot7)</t>
  </si>
  <si>
    <t>= [ (6) x (5)  +  (1.0 - (6)) x (8) ]</t>
  </si>
  <si>
    <t>(Tot 9)</t>
  </si>
  <si>
    <t>= exposure-weighted average of (9)</t>
  </si>
  <si>
    <r>
      <t xml:space="preserve"> calculate the % change in relativity </t>
    </r>
    <r>
      <rPr>
        <u/>
        <sz val="11"/>
        <color theme="1"/>
        <rFont val="Calibri"/>
        <family val="2"/>
        <scheme val="minor"/>
      </rPr>
      <t>from</t>
    </r>
    <r>
      <rPr>
        <sz val="11"/>
        <color theme="1"/>
        <rFont val="Calibri"/>
        <family val="2"/>
        <scheme val="minor"/>
      </rPr>
      <t xml:space="preserve"> current </t>
    </r>
    <r>
      <rPr>
        <u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 credibility-weighted indicated, but note:</t>
    </r>
  </si>
  <si>
    <t>you must first normalize the cred-wtd indicated relativity as shown in (Col 10)</t>
  </si>
  <si>
    <r>
      <t>you must then "</t>
    </r>
    <r>
      <rPr>
        <b/>
        <sz val="11"/>
        <color rgb="FFFF0000"/>
        <rFont val="Calibri"/>
        <family val="2"/>
        <scheme val="minor"/>
      </rPr>
      <t>off-balance</t>
    </r>
    <r>
      <rPr>
        <sz val="11"/>
        <color theme="1"/>
        <rFont val="Calibri"/>
        <family val="2"/>
        <scheme val="minor"/>
      </rPr>
      <t xml:space="preserve">" the change in (Col 11) so that the </t>
    </r>
    <r>
      <rPr>
        <b/>
        <sz val="11"/>
        <color rgb="FFFF0000"/>
        <rFont val="Calibri"/>
        <family val="2"/>
        <scheme val="minor"/>
      </rPr>
      <t>total change is 0.0%</t>
    </r>
    <r>
      <rPr>
        <sz val="11"/>
        <color theme="1"/>
        <rFont val="Calibri"/>
        <family val="2"/>
        <scheme val="minor"/>
      </rPr>
      <t xml:space="preserve"> in (Col 12)</t>
    </r>
  </si>
  <si>
    <t>(10)</t>
  </si>
  <si>
    <t>(11)</t>
  </si>
  <si>
    <t>(12)</t>
  </si>
  <si>
    <t>(12) = (10)/(8)-1</t>
  </si>
  <si>
    <r>
      <t xml:space="preserve"> </t>
    </r>
    <r>
      <rPr>
        <b/>
        <sz val="11"/>
        <color rgb="FFFF0000"/>
        <rFont val="Calibri"/>
        <family val="2"/>
        <scheme val="minor"/>
      </rPr>
      <t xml:space="preserve">&lt;== </t>
    </r>
    <r>
      <rPr>
        <sz val="11"/>
        <color rgb="FFFF0000"/>
        <rFont val="Calibri"/>
        <family val="2"/>
        <scheme val="minor"/>
      </rPr>
      <t>alternate formula for (12)</t>
    </r>
  </si>
  <si>
    <t>change</t>
  </si>
  <si>
    <t>with</t>
  </si>
  <si>
    <t>ind. rel.</t>
  </si>
  <si>
    <t>off-bal.</t>
  </si>
  <si>
    <t xml:space="preserve"> * This way of calculating column (12)</t>
  </si>
  <si>
    <t xml:space="preserve">     seems simpler than the method</t>
  </si>
  <si>
    <t xml:space="preserve">     given in the examiner's report.</t>
  </si>
  <si>
    <t>= (9) / (Tot9)</t>
  </si>
  <si>
    <t>= (10) / (7) - 1.0</t>
  </si>
  <si>
    <t>= (1.0 + (11)) / (1.0 + (Tot11))  -  1.0</t>
  </si>
  <si>
    <t>Identify the 2 main steps in territorial ratemaking.</t>
  </si>
  <si>
    <t xml:space="preserve">  - establishing boundaries</t>
  </si>
  <si>
    <t xml:space="preserve">  - determining relativities</t>
  </si>
  <si>
    <t>Identify 2 challenges related to territorial ratemaking.</t>
  </si>
  <si>
    <t>Steps:</t>
  </si>
  <si>
    <t>Challenges:</t>
  </si>
  <si>
    <t xml:space="preserve">    (Ex: AOI and territory are correlated because high-value homes are often clustered)</t>
  </si>
  <si>
    <r>
      <t xml:space="preserve"> - territories are often </t>
    </r>
    <r>
      <rPr>
        <u/>
        <sz val="11"/>
        <color theme="1"/>
        <rFont val="Calibri"/>
        <family val="2"/>
        <scheme val="minor"/>
      </rPr>
      <t>small</t>
    </r>
    <r>
      <rPr>
        <sz val="11"/>
        <color theme="1"/>
        <rFont val="Calibri"/>
        <family val="2"/>
        <scheme val="minor"/>
      </rPr>
      <t xml:space="preserve"> so data may not be credible</t>
    </r>
  </si>
  <si>
    <r>
      <t xml:space="preserve">  - territory may be </t>
    </r>
    <r>
      <rPr>
        <u/>
        <sz val="11"/>
        <color theme="1"/>
        <rFont val="Calibri"/>
        <family val="2"/>
        <scheme val="minor"/>
      </rPr>
      <t>correlated</t>
    </r>
    <r>
      <rPr>
        <sz val="11"/>
        <color theme="1"/>
        <rFont val="Calibri"/>
        <family val="2"/>
        <scheme val="minor"/>
      </rPr>
      <t xml:space="preserve"> with other rating variables</t>
    </r>
  </si>
  <si>
    <t xml:space="preserve">Calculate the base rate required to achieve an average rate increase of </t>
  </si>
  <si>
    <t>current average premium</t>
  </si>
  <si>
    <t>Relativities</t>
  </si>
  <si>
    <t>AOI levels</t>
  </si>
  <si>
    <t>expos.</t>
  </si>
  <si>
    <t>less than 100,000</t>
  </si>
  <si>
    <t>equal to or above 100,000</t>
  </si>
  <si>
    <t>Territories</t>
  </si>
  <si>
    <t>territory 1</t>
  </si>
  <si>
    <t>territory 2</t>
  </si>
  <si>
    <t>Fixed Expense Fee</t>
  </si>
  <si>
    <t>Prelimiary Step:</t>
  </si>
  <si>
    <r>
      <t xml:space="preserve"> </t>
    </r>
    <r>
      <rPr>
        <u/>
        <sz val="11"/>
        <color theme="1"/>
        <rFont val="Calibri"/>
        <family val="2"/>
        <scheme val="minor"/>
      </rPr>
      <t>rebase</t>
    </r>
    <r>
      <rPr>
        <sz val="11"/>
        <color theme="1"/>
        <rFont val="Calibri"/>
        <family val="2"/>
        <scheme val="minor"/>
      </rPr>
      <t xml:space="preserve"> the indicated relativies so the base level relativity for each variable is 1.0</t>
    </r>
  </si>
  <si>
    <t>* rebased</t>
  </si>
  <si>
    <r>
      <t xml:space="preserve"> calculate the </t>
    </r>
    <r>
      <rPr>
        <u/>
        <sz val="11"/>
        <color theme="1"/>
        <rFont val="Calibri"/>
        <family val="2"/>
        <scheme val="minor"/>
      </rPr>
      <t>product</t>
    </r>
    <r>
      <rPr>
        <sz val="11"/>
        <color theme="1"/>
        <rFont val="Calibri"/>
        <family val="2"/>
        <scheme val="minor"/>
      </rPr>
      <t xml:space="preserve"> of the exposure-weighted averages of the rebased indicated relativities:</t>
    </r>
  </si>
  <si>
    <r>
      <t>S</t>
    </r>
    <r>
      <rPr>
        <sz val="11"/>
        <color theme="1"/>
        <rFont val="Calibri"/>
        <family val="2"/>
      </rPr>
      <t>̄̄</t>
    </r>
    <r>
      <rPr>
        <sz val="9.9"/>
        <color theme="1"/>
        <rFont val="Calibri"/>
        <family val="2"/>
      </rPr>
      <t>(p)</t>
    </r>
  </si>
  <si>
    <t>AOI average relativity</t>
  </si>
  <si>
    <t>Territory average relativity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</si>
  <si>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    product     = </t>
    </r>
  </si>
  <si>
    <r>
      <t>S</t>
    </r>
    <r>
      <rPr>
        <sz val="11"/>
        <color rgb="FFFF0000"/>
        <rFont val="Calibri"/>
        <family val="2"/>
      </rPr>
      <t>̄̄</t>
    </r>
    <r>
      <rPr>
        <sz val="9.9"/>
        <color rgb="FFFF0000"/>
        <rFont val="Calibri"/>
        <family val="2"/>
      </rPr>
      <t>(p)</t>
    </r>
  </si>
  <si>
    <t xml:space="preserve"> calculate the proposed average premium:</t>
  </si>
  <si>
    <r>
      <t>P</t>
    </r>
    <r>
      <rPr>
        <sz val="11"/>
        <color theme="1"/>
        <rFont val="Calibri"/>
        <family val="2"/>
      </rPr>
      <t>̄̄(p)</t>
    </r>
  </si>
  <si>
    <t>(current average premium)</t>
  </si>
  <si>
    <t>( 1+ rate change)</t>
  </si>
  <si>
    <t xml:space="preserve"> calculate the proposed base rate B(p)</t>
  </si>
  <si>
    <t>B(p)</t>
  </si>
  <si>
    <t>A(p)</t>
  </si>
  <si>
    <t>Calculate the experience modification factor given the following Policy Year (PY) data.</t>
  </si>
  <si>
    <t>Actual</t>
  </si>
  <si>
    <t>Primary</t>
  </si>
  <si>
    <t>Excess</t>
  </si>
  <si>
    <t>PY</t>
  </si>
  <si>
    <t>Losses</t>
  </si>
  <si>
    <t>Payroll</t>
  </si>
  <si>
    <t>Expected loss rate per 100 of payroll</t>
  </si>
  <si>
    <t>D-Ratio</t>
  </si>
  <si>
    <t>Ballast value</t>
  </si>
  <si>
    <t xml:space="preserve">  = B</t>
  </si>
  <si>
    <t>Weighting value</t>
  </si>
  <si>
    <t xml:space="preserve">  = w</t>
  </si>
  <si>
    <r>
      <t xml:space="preserve"> calculate the actual primary &amp; excess losses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the experience TOTAL &amp; excess losses</t>
    </r>
  </si>
  <si>
    <r>
      <t xml:space="preserve"> </t>
    </r>
    <r>
      <rPr>
        <b/>
        <sz val="11"/>
        <color rgb="FF0070C0"/>
        <rFont val="Calibri"/>
        <family val="2"/>
        <scheme val="minor"/>
      </rPr>
      <t>&lt;==</t>
    </r>
    <r>
      <rPr>
        <sz val="11"/>
        <color rgb="FF0070C0"/>
        <rFont val="Calibri"/>
        <family val="2"/>
        <scheme val="minor"/>
      </rPr>
      <t xml:space="preserve"> given</t>
    </r>
  </si>
  <si>
    <t>A(e)</t>
  </si>
  <si>
    <t>E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</si>
  <si>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use expected loss rate</t>
    </r>
  </si>
  <si>
    <t>E(e)</t>
  </si>
  <si>
    <t>( 1.0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</si>
  <si>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use D-ratio</t>
    </r>
  </si>
  <si>
    <t xml:space="preserve"> calculate the weighting w</t>
  </si>
  <si>
    <t>w</t>
  </si>
  <si>
    <t>Z(e)</t>
  </si>
  <si>
    <t>Z(p)</t>
  </si>
  <si>
    <t>…</t>
  </si>
  <si>
    <r>
      <t xml:space="preserve"> </t>
    </r>
    <r>
      <rPr>
        <b/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weight is given (no calculation necessary)</t>
    </r>
  </si>
  <si>
    <t xml:space="preserve"> substitute the above values into the "M" formula for the experience modification factor</t>
  </si>
  <si>
    <t>M</t>
  </si>
  <si>
    <r>
      <t xml:space="preserve">[ A(p)  +  </t>
    </r>
    <r>
      <rPr>
        <sz val="11"/>
        <color rgb="FFFF0000"/>
        <rFont val="Calibri"/>
        <family val="2"/>
        <scheme val="minor"/>
      </rPr>
      <t>w</t>
    </r>
    <r>
      <rPr>
        <sz val="11"/>
        <rFont val="Calibri"/>
        <family val="2"/>
        <scheme val="minor"/>
      </rPr>
      <t xml:space="preserve"> x A(e)  +  </t>
    </r>
    <r>
      <rPr>
        <sz val="11"/>
        <color rgb="FFFF0000"/>
        <rFont val="Calibri"/>
        <family val="2"/>
        <scheme val="minor"/>
      </rPr>
      <t>(1 - w)</t>
    </r>
    <r>
      <rPr>
        <sz val="11"/>
        <rFont val="Calibri"/>
        <family val="2"/>
        <scheme val="minor"/>
      </rPr>
      <t xml:space="preserve"> x E(e)  +  B ]  /  (E + B)</t>
    </r>
  </si>
  <si>
    <r>
      <rPr>
        <b/>
        <i/>
        <sz val="11"/>
        <color rgb="FFFF0000"/>
        <rFont val="Calibri"/>
        <family val="2"/>
        <scheme val="minor"/>
      </rPr>
      <t xml:space="preserve"> 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</si>
  <si>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Note:</t>
  </si>
  <si>
    <t>If we had the manual premium, we could multiply it by the experience modification factor we just</t>
  </si>
  <si>
    <t>calculated to get the final premium.</t>
  </si>
  <si>
    <t xml:space="preserve">Define the term unpaid claim estimate according to Actuarial Statement of Principles 43, </t>
  </si>
  <si>
    <t>Property/Casualty Unpaid Claim Estimates</t>
  </si>
  <si>
    <t xml:space="preserve">  - the actuary’s estimate of the obligation for future payment resulting from claims due to past events</t>
  </si>
  <si>
    <t>unpaid claim estimate (or reserve)</t>
  </si>
  <si>
    <r>
      <t xml:space="preserve">Build the </t>
    </r>
    <r>
      <rPr>
        <b/>
        <sz val="11"/>
        <color rgb="FFFF0000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(Report Year)</t>
    </r>
    <r>
      <rPr>
        <sz val="11"/>
        <color theme="1"/>
        <rFont val="Calibri"/>
        <family val="2"/>
        <scheme val="minor"/>
      </rPr>
      <t xml:space="preserve"> paid &amp; reported claim triangles. (Unless stated otherwise these are cumulative triangles)</t>
    </r>
  </si>
  <si>
    <t>paid in</t>
  </si>
  <si>
    <t>case O/S</t>
  </si>
  <si>
    <t>claim id</t>
  </si>
  <si>
    <t>RY</t>
  </si>
  <si>
    <r>
      <t xml:space="preserve">Sum across </t>
    </r>
    <r>
      <rPr>
        <b/>
        <sz val="11"/>
        <color rgb="FFFF0000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 xml:space="preserve"> (This is simple in Excel but easy to make a mistake with pencil and paper.)</t>
    </r>
  </si>
  <si>
    <r>
      <t xml:space="preserve">Suggestion: </t>
    </r>
    <r>
      <rPr>
        <i/>
        <sz val="11"/>
        <color theme="1"/>
        <rFont val="Calibri"/>
        <family val="2"/>
        <scheme val="minor"/>
      </rPr>
      <t>Use a ruler to draw a horizontal line between one AY and the next.</t>
    </r>
  </si>
  <si>
    <t>Transfer the colour-coded values from Step 1 into these triangles…</t>
  </si>
  <si>
    <t>incremental PAID claims</t>
  </si>
  <si>
    <r>
      <t xml:space="preserve">Form the CUMULATIVE </t>
    </r>
    <r>
      <rPr>
        <u/>
        <sz val="11"/>
        <color theme="1"/>
        <rFont val="Calibri"/>
        <family val="2"/>
        <scheme val="minor"/>
      </rPr>
      <t>paid</t>
    </r>
    <r>
      <rPr>
        <sz val="11"/>
        <color theme="1"/>
        <rFont val="Calibri"/>
        <family val="2"/>
        <scheme val="minor"/>
      </rPr>
      <t xml:space="preserve"> triangle by summing across rows in the incremental paid triangle</t>
    </r>
  </si>
  <si>
    <t>(final</t>
  </si>
  <si>
    <t>answer)</t>
  </si>
  <si>
    <t>cumulative PAID claims</t>
  </si>
  <si>
    <t xml:space="preserve">Ex:  </t>
  </si>
  <si>
    <r>
      <t xml:space="preserve">Form the CUMULATIVE </t>
    </r>
    <r>
      <rPr>
        <u/>
        <sz val="11"/>
        <color theme="1"/>
        <rFont val="Calibri"/>
        <family val="2"/>
        <scheme val="minor"/>
      </rPr>
      <t>reported</t>
    </r>
    <r>
      <rPr>
        <sz val="11"/>
        <color theme="1"/>
        <rFont val="Calibri"/>
        <family val="2"/>
        <scheme val="minor"/>
      </rPr>
      <t xml:space="preserve"> triangle: </t>
    </r>
  </si>
  <si>
    <t>cumulative reported claims   =   (cumulative paid claims)  +  (Case O/S)</t>
  </si>
  <si>
    <t>cumulative REPORTED claims</t>
  </si>
  <si>
    <t>paid/rptd loss</t>
  </si>
  <si>
    <t>Ian-the-Actuary took the minutes for a reserve committee meeting where a previous material operational change was discussed. He</t>
  </si>
  <si>
    <t xml:space="preserve">got mixed up however as to whether the operational change was a change in settlment rate of claims or a change in case reserve adequacy. </t>
  </si>
  <si>
    <r>
      <t xml:space="preserve">Help Ian get the minutes right by by deducing the operational change </t>
    </r>
    <r>
      <rPr>
        <b/>
        <u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when the change occurred using the triangles given below.</t>
    </r>
  </si>
  <si>
    <t>Justify your answer with an appropriate diagnostic triange.</t>
  </si>
  <si>
    <t xml:space="preserve">  - increase in case reserve adequacy</t>
  </si>
  <si>
    <t>When the change occurred:</t>
  </si>
  <si>
    <t>Operational change:</t>
  </si>
  <si>
    <t>(We know the change occurred on Jan 1 but Ian couldn't remember the year.)</t>
  </si>
  <si>
    <t xml:space="preserve">  - Jan 1, 2023</t>
  </si>
  <si>
    <t>An appropriate diagnostic triangle to support this conclusion is:</t>
  </si>
  <si>
    <t>Side note:</t>
  </si>
  <si>
    <t>The increase in case reserve adequacy was +10%.</t>
  </si>
  <si>
    <t>(This observation was not required for full credit.)</t>
  </si>
  <si>
    <t>(0.25 pts)</t>
  </si>
  <si>
    <t>(0.5 pts)</t>
  </si>
  <si>
    <t>using:</t>
  </si>
  <si>
    <t>reported development method</t>
  </si>
  <si>
    <t>reported Bornhuetter-Ferguson method</t>
  </si>
  <si>
    <t>Data is for CY/AY 2024 as of Dec 31, 2024</t>
  </si>
  <si>
    <t>Tort reform is passed on Dec 31, 2024 causing an</t>
  </si>
  <si>
    <t>expected</t>
  </si>
  <si>
    <t>reduction on future claim payments.</t>
  </si>
  <si>
    <t>reported loss @ 12 months</t>
  </si>
  <si>
    <t>reported CDF for 12-ult</t>
  </si>
  <si>
    <t>paid loss @ 12 months</t>
  </si>
  <si>
    <r>
      <t xml:space="preserve">reported development estimate </t>
    </r>
    <r>
      <rPr>
        <u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tort reform adjustment</t>
    </r>
  </si>
  <si>
    <t>rptd loss</t>
  </si>
  <si>
    <r>
      <t xml:space="preserve">unpaid claims </t>
    </r>
    <r>
      <rPr>
        <i/>
        <sz val="11"/>
        <color theme="1"/>
        <rFont val="Calibri"/>
        <family val="2"/>
        <scheme val="minor"/>
      </rPr>
      <t xml:space="preserve">(need this because we make the tort reform adjustment </t>
    </r>
    <r>
      <rPr>
        <i/>
        <u/>
        <sz val="11"/>
        <color theme="1"/>
        <rFont val="Calibri"/>
        <family val="2"/>
        <scheme val="minor"/>
      </rPr>
      <t>only</t>
    </r>
    <r>
      <rPr>
        <i/>
        <sz val="11"/>
        <color theme="1"/>
        <rFont val="Calibri"/>
        <family val="2"/>
        <scheme val="minor"/>
      </rPr>
      <t xml:space="preserve"> to unpaid claims)</t>
    </r>
  </si>
  <si>
    <t>paid loss</t>
  </si>
  <si>
    <t>adjust unpaid loss downward by:</t>
  </si>
  <si>
    <t>adjusted unpaid loss</t>
  </si>
  <si>
    <t>adjusted ultimate</t>
  </si>
  <si>
    <t xml:space="preserve">  * Steps 2,3,4 are the same as for part (i)</t>
  </si>
  <si>
    <r>
      <t xml:space="preserve">ECR method estimate </t>
    </r>
    <r>
      <rPr>
        <u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tort reform adjustment</t>
    </r>
  </si>
  <si>
    <r>
      <t xml:space="preserve">BF method estimate </t>
    </r>
    <r>
      <rPr>
        <u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tort reform adjustment</t>
    </r>
  </si>
  <si>
    <t>ECR ult</t>
  </si>
  <si>
    <t>(1 pt)</t>
  </si>
  <si>
    <t>(0.75 pts)</t>
  </si>
  <si>
    <t>The Cape Cod method would likely underestimate the true ultimate claims in this scenario.</t>
  </si>
  <si>
    <t>settlement rates, and case reserve adequacy. Asses the accuracy of the Cape Cod method for estimating unpaid claims</t>
  </si>
  <si>
    <t>This is because the calculated expected claims ratio used in the Cape Cod method would be too</t>
  </si>
  <si>
    <t>You are NOT being asked about the most recent AY. You are being asked about AY 2024.</t>
  </si>
  <si>
    <t>Suppose that claims data has been stable for AYs 2010-2024 with respect to development patterns, loss ratios,</t>
  </si>
  <si>
    <t>for AY 2025 if the underlying loss ratio began deteriorating in 2025.</t>
  </si>
  <si>
    <t>low (being based on historical data from 2023 and prior) and would not reflect the deterioration.</t>
  </si>
  <si>
    <t>Cumulative Reported Counts (CRC)</t>
  </si>
  <si>
    <t>Cumulative Reported Loss ($000s)  (CRL)</t>
  </si>
  <si>
    <t>paid loss @ Dec 31, 2025    ====&gt;</t>
  </si>
  <si>
    <t xml:space="preserve"> develop reported counts to ultimate</t>
  </si>
  <si>
    <t>link ratios for reported count triangle</t>
  </si>
  <si>
    <t>calculate ultimate counts based on latest reported counts</t>
  </si>
  <si>
    <t xml:space="preserve"> calculate CRS triangle</t>
  </si>
  <si>
    <t>(CRS = Cumulative Reported Severity)</t>
  </si>
  <si>
    <r>
      <t xml:space="preserve">Cumulative Reported </t>
    </r>
    <r>
      <rPr>
        <u/>
        <sz val="11"/>
        <color theme="1"/>
        <rFont val="Calibri"/>
        <family val="2"/>
        <scheme val="minor"/>
      </rPr>
      <t>Severity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scheme val="minor"/>
      </rPr>
      <t>(CRS)</t>
    </r>
  </si>
  <si>
    <t xml:space="preserve"> develop reported severities to ultimate</t>
  </si>
  <si>
    <t>link ratios for reported severity triangle</t>
  </si>
  <si>
    <t>calculate ultimate severities based on latest reported severities</t>
  </si>
  <si>
    <t>Step 3a</t>
  </si>
  <si>
    <t xml:space="preserve"> calculate ultimate losses as:</t>
  </si>
  <si>
    <t>(ultimate counts) x (ultimate severities)</t>
  </si>
  <si>
    <t>ultimate counts</t>
  </si>
  <si>
    <t xml:space="preserve">  &lt;======</t>
  </si>
  <si>
    <t>from Step 1</t>
  </si>
  <si>
    <t>ultimate severities</t>
  </si>
  <si>
    <t>from Step 2b</t>
  </si>
  <si>
    <t>ultimate losses (000s)</t>
  </si>
  <si>
    <r>
      <t xml:space="preserve"> calculate </t>
    </r>
    <r>
      <rPr>
        <u/>
        <sz val="11"/>
        <color theme="1"/>
        <rFont val="Calibri"/>
        <family val="2"/>
        <scheme val="minor"/>
      </rPr>
      <t>unpaid</t>
    </r>
    <r>
      <rPr>
        <sz val="11"/>
        <color theme="1"/>
        <rFont val="Calibri"/>
        <family val="2"/>
        <scheme val="minor"/>
      </rPr>
      <t xml:space="preserve"> losses for AY 2025</t>
    </r>
  </si>
  <si>
    <r>
      <t xml:space="preserve"> &lt;====  pay attention to whether the question asks for </t>
    </r>
    <r>
      <rPr>
        <b/>
        <i/>
        <sz val="11"/>
        <color rgb="FFFF0000"/>
        <rFont val="Calibri"/>
        <family val="2"/>
        <scheme val="minor"/>
      </rPr>
      <t>ultimate</t>
    </r>
    <r>
      <rPr>
        <i/>
        <sz val="11"/>
        <color rgb="FFFF0000"/>
        <rFont val="Calibri"/>
        <family val="2"/>
        <scheme val="minor"/>
      </rPr>
      <t xml:space="preserve"> or </t>
    </r>
    <r>
      <rPr>
        <b/>
        <i/>
        <sz val="11"/>
        <color rgb="FFFF0000"/>
        <rFont val="Calibri"/>
        <family val="2"/>
        <scheme val="minor"/>
      </rPr>
      <t>unpaid</t>
    </r>
  </si>
  <si>
    <t>latest paid</t>
  </si>
  <si>
    <t>Use a frequency-severity method to estimate</t>
  </si>
  <si>
    <t xml:space="preserve">  claims for AY 2025</t>
  </si>
  <si>
    <t>Use a Case O/S method to calculate the</t>
  </si>
  <si>
    <t xml:space="preserve">  for AY</t>
  </si>
  <si>
    <t>Cumulative Paid Loss ($000s)  (CPL)</t>
  </si>
  <si>
    <t>48-ultimate paid loss to prior case O/S factor</t>
  </si>
  <si>
    <r>
      <rPr>
        <u/>
        <sz val="11"/>
        <color theme="1"/>
        <rFont val="Calibri"/>
        <family val="2"/>
        <scheme val="minor"/>
      </rPr>
      <t>Cumulative</t>
    </r>
    <r>
      <rPr>
        <sz val="11"/>
        <color theme="1"/>
        <rFont val="Calibri"/>
        <family val="2"/>
        <scheme val="minor"/>
      </rPr>
      <t xml:space="preserve"> Paid Loss ($000s)  </t>
    </r>
    <r>
      <rPr>
        <b/>
        <sz val="11"/>
        <color rgb="FFFF0000"/>
        <rFont val="Calibri"/>
        <family val="2"/>
        <scheme val="minor"/>
      </rPr>
      <t>(CPL)</t>
    </r>
  </si>
  <si>
    <r>
      <t xml:space="preserve">Case Outstanding ($000s) </t>
    </r>
    <r>
      <rPr>
        <b/>
        <sz val="11"/>
        <color rgb="FFFF0000"/>
        <rFont val="Calibri"/>
        <family val="2"/>
        <scheme val="minor"/>
      </rPr>
      <t>(COS)</t>
    </r>
  </si>
  <si>
    <r>
      <t xml:space="preserve">* no development past </t>
    </r>
    <r>
      <rPr>
        <i/>
        <u/>
        <sz val="11"/>
        <color rgb="FFFF0000"/>
        <rFont val="Calibri"/>
        <family val="2"/>
        <scheme val="minor"/>
      </rPr>
      <t>60</t>
    </r>
    <r>
      <rPr>
        <i/>
        <sz val="11"/>
        <color rgb="FFFF0000"/>
        <rFont val="Calibri"/>
        <family val="2"/>
        <scheme val="minor"/>
      </rPr>
      <t xml:space="preserve"> months</t>
    </r>
  </si>
  <si>
    <t xml:space="preserve"> calculate   IPL</t>
  </si>
  <si>
    <t>(Incremental Paid Loss)</t>
  </si>
  <si>
    <r>
      <rPr>
        <u/>
        <sz val="11"/>
        <color theme="1"/>
        <rFont val="Calibri"/>
        <family val="2"/>
        <scheme val="minor"/>
      </rPr>
      <t>Incremental</t>
    </r>
    <r>
      <rPr>
        <sz val="11"/>
        <color theme="1"/>
        <rFont val="Calibri"/>
        <family val="2"/>
        <scheme val="minor"/>
      </rPr>
      <t xml:space="preserve"> Paid Loss ($000s)  </t>
    </r>
    <r>
      <rPr>
        <b/>
        <sz val="11"/>
        <color rgb="FFFF0000"/>
        <rFont val="Calibri"/>
        <family val="2"/>
        <scheme val="minor"/>
      </rPr>
      <t>(IPL)</t>
    </r>
  </si>
  <si>
    <r>
      <t xml:space="preserve">Sometimes you're </t>
    </r>
    <r>
      <rPr>
        <i/>
        <u/>
        <sz val="11"/>
        <color rgb="FFFF0000"/>
        <rFont val="Calibri"/>
        <family val="2"/>
        <scheme val="minor"/>
      </rPr>
      <t>given</t>
    </r>
    <r>
      <rPr>
        <i/>
        <sz val="11"/>
        <color rgb="FFFF0000"/>
        <rFont val="Calibri"/>
        <family val="2"/>
        <scheme val="minor"/>
      </rPr>
      <t xml:space="preserve"> the incremental paid loss.</t>
    </r>
  </si>
  <si>
    <t>If so, then step 1 is not necessary.</t>
  </si>
  <si>
    <t xml:space="preserve"> calculate &amp; make selections for:  (current case) / (prior case)</t>
  </si>
  <si>
    <r>
      <t xml:space="preserve">Demonstration for AY </t>
    </r>
    <r>
      <rPr>
        <i/>
        <u/>
        <sz val="11"/>
        <color rgb="FFFF0000"/>
        <rFont val="Calibri"/>
        <family val="2"/>
        <scheme val="minor"/>
      </rPr>
      <t>2022</t>
    </r>
    <r>
      <rPr>
        <i/>
        <sz val="11"/>
        <color rgb="FFFF0000"/>
        <rFont val="Calibri"/>
        <family val="2"/>
        <scheme val="minor"/>
      </rPr>
      <t xml:space="preserve"> calculations:</t>
    </r>
  </si>
  <si>
    <t>Current/Prior COS</t>
  </si>
  <si>
    <t>prior</t>
  </si>
  <si>
    <t>24/12</t>
  </si>
  <si>
    <t>36/24</t>
  </si>
  <si>
    <t>48/36</t>
  </si>
  <si>
    <t>60/48</t>
  </si>
  <si>
    <t xml:space="preserve">24/12 </t>
  </si>
  <si>
    <t xml:space="preserve">36/24 </t>
  </si>
  <si>
    <t xml:space="preserve">48/36 </t>
  </si>
  <si>
    <t xml:space="preserve">  &lt;-- default selection  =  all period average</t>
  </si>
  <si>
    <t xml:space="preserve"> project case O/S using selections from step 2a</t>
  </si>
  <si>
    <r>
      <rPr>
        <u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Case Outstanding </t>
    </r>
    <r>
      <rPr>
        <b/>
        <sz val="11"/>
        <color rgb="FFFF0000"/>
        <rFont val="Calibri"/>
        <family val="2"/>
        <scheme val="minor"/>
      </rPr>
      <t>(COS)</t>
    </r>
  </si>
  <si>
    <r>
      <t xml:space="preserve">Demonstration for AY </t>
    </r>
    <r>
      <rPr>
        <i/>
        <u/>
        <sz val="11"/>
        <color rgb="FFFF0000"/>
        <rFont val="Calibri"/>
        <family val="2"/>
        <scheme val="minor"/>
      </rPr>
      <t>2025</t>
    </r>
    <r>
      <rPr>
        <i/>
        <sz val="11"/>
        <color rgb="FFFF0000"/>
        <rFont val="Calibri"/>
        <family val="2"/>
        <scheme val="minor"/>
      </rPr>
      <t xml:space="preserve"> projections:</t>
    </r>
  </si>
  <si>
    <t>projection</t>
  </si>
  <si>
    <t>selection</t>
  </si>
  <si>
    <t xml:space="preserve">24 mths </t>
  </si>
  <si>
    <t xml:space="preserve">36 mths </t>
  </si>
  <si>
    <t xml:space="preserve">48 mths </t>
  </si>
  <si>
    <t xml:space="preserve"> calculate &amp; make selections for:  (current IPL) / (prior case)</t>
  </si>
  <si>
    <t>IPL / (prior case)</t>
  </si>
  <si>
    <t>IPL</t>
  </si>
  <si>
    <t xml:space="preserve"> project IPL using selections from step 3a</t>
  </si>
  <si>
    <r>
      <rPr>
        <u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Incremental Paid Loss </t>
    </r>
    <r>
      <rPr>
        <b/>
        <sz val="11"/>
        <color rgb="FFFF0000"/>
        <rFont val="Calibri"/>
        <family val="2"/>
        <scheme val="minor"/>
      </rPr>
      <t>(IPL)</t>
    </r>
  </si>
  <si>
    <r>
      <t xml:space="preserve">selection </t>
    </r>
    <r>
      <rPr>
        <sz val="11"/>
        <color rgb="FFFF0000"/>
        <rFont val="Calibri"/>
        <family val="2"/>
        <scheme val="minor"/>
      </rPr>
      <t>*</t>
    </r>
  </si>
  <si>
    <t xml:space="preserve">60 mths </t>
  </si>
  <si>
    <t>The IPL projection always has 1 extra column. In this</t>
  </si>
  <si>
    <r>
      <t xml:space="preserve">* The 60-mth selection was </t>
    </r>
    <r>
      <rPr>
        <i/>
        <u/>
        <sz val="11"/>
        <color rgb="FFFF0000"/>
        <rFont val="Calibri"/>
        <family val="2"/>
        <scheme val="minor"/>
      </rPr>
      <t>given info</t>
    </r>
    <r>
      <rPr>
        <i/>
        <sz val="11"/>
        <color rgb="FFFF0000"/>
        <rFont val="Calibri"/>
        <family val="2"/>
        <scheme val="minor"/>
      </rPr>
      <t>.</t>
    </r>
  </si>
  <si>
    <t>case 60-months. We use the 48-month case O/S</t>
  </si>
  <si>
    <t xml:space="preserve">   (It was not selected in step 3a)</t>
  </si>
  <si>
    <t>to project the IPL out to 60 months.</t>
  </si>
  <si>
    <t xml:space="preserve"> calculate ultimate &amp; unpaid amounts:</t>
  </si>
  <si>
    <t xml:space="preserve"> unpaid</t>
  </si>
  <si>
    <t>sum of rows in step 3b</t>
  </si>
  <si>
    <t xml:space="preserve"> ultimate</t>
  </si>
  <si>
    <r>
      <t xml:space="preserve">sum of rows in step 3b    +     last diagonal of </t>
    </r>
    <r>
      <rPr>
        <b/>
        <sz val="11"/>
        <color rgb="FFFF0000"/>
        <rFont val="Calibri"/>
        <family val="2"/>
        <scheme val="minor"/>
      </rPr>
      <t>CPL</t>
    </r>
  </si>
  <si>
    <t>Pay attention to whether the question asks for ultimate or unpaid.</t>
  </si>
  <si>
    <t>Also, pay attention to which AY is being asked about.</t>
  </si>
  <si>
    <t>The final</t>
  </si>
  <si>
    <t>is</t>
  </si>
  <si>
    <t>Briefly dscribe a scenario where a case outstanding method for estimating unpaid claims would be</t>
  </si>
  <si>
    <t>appropriate.</t>
  </si>
  <si>
    <t xml:space="preserve">  - when using report year triangles (no pure IBNR)</t>
  </si>
  <si>
    <t xml:space="preserve">  - reserving for claims-made policies (no pure IBNR)</t>
  </si>
  <si>
    <t xml:space="preserve">  - self-insured entities where only case O/S and industry paid and reported CDFs are available</t>
  </si>
  <si>
    <r>
      <t xml:space="preserve">Calculate the </t>
    </r>
    <r>
      <rPr>
        <u/>
        <sz val="11"/>
        <rFont val="Calibri"/>
        <family val="2"/>
        <scheme val="minor"/>
      </rPr>
      <t>unpaid</t>
    </r>
    <r>
      <rPr>
        <sz val="11"/>
        <rFont val="Calibri"/>
        <family val="2"/>
        <scheme val="minor"/>
      </rPr>
      <t xml:space="preserve"> loss for AY 2025 using the standard paid development method. (Use a simple arithmetic average to calculate CDFs.)</t>
    </r>
  </si>
  <si>
    <t>Step E</t>
  </si>
  <si>
    <t>unpaid loss for AY 2025</t>
  </si>
  <si>
    <t>paid-to-date</t>
  </si>
  <si>
    <t xml:space="preserve">  final answer ===&gt;</t>
  </si>
  <si>
    <t>Use a 48-ultimate tail factor of:</t>
  </si>
  <si>
    <t xml:space="preserve"> - LDFs exhibit a large variance when looking down the columns in Step A</t>
  </si>
  <si>
    <t>Given the additional information below, use the Berquist-Sherman paid method to recalculate the unpaid loss for AY 2025.</t>
  </si>
  <si>
    <t>* May be development past 48 months</t>
  </si>
  <si>
    <t>Counts</t>
  </si>
  <si>
    <t>0 - 12</t>
  </si>
  <si>
    <t>12 - 24</t>
  </si>
  <si>
    <t>24 - 36</t>
  </si>
  <si>
    <t>36 - 48</t>
  </si>
  <si>
    <t>48 - 60</t>
  </si>
  <si>
    <t>a</t>
  </si>
  <si>
    <t>b</t>
  </si>
  <si>
    <t>use 12 - 24 values</t>
  </si>
  <si>
    <t>not needed</t>
  </si>
  <si>
    <t>parameters for 2-point exponential fit:   y = aebx</t>
  </si>
  <si>
    <t xml:space="preserve"> calculate CDR as:</t>
  </si>
  <si>
    <t>CPC / UC</t>
  </si>
  <si>
    <t xml:space="preserve">  (UC = Ultimate Counts)</t>
  </si>
  <si>
    <r>
      <t xml:space="preserve">Claims DIsposal Rate </t>
    </r>
    <r>
      <rPr>
        <b/>
        <sz val="11"/>
        <color rgb="FF00B050"/>
        <rFont val="Calibri"/>
        <family val="2"/>
        <scheme val="minor"/>
      </rPr>
      <t>(CDR)</t>
    </r>
  </si>
  <si>
    <r>
      <t xml:space="preserve">We </t>
    </r>
    <r>
      <rPr>
        <i/>
        <u/>
        <sz val="11"/>
        <color rgb="FFFF0000"/>
        <rFont val="Calibri"/>
        <family val="2"/>
        <scheme val="minor"/>
      </rPr>
      <t>assume</t>
    </r>
    <r>
      <rPr>
        <i/>
        <sz val="11"/>
        <color rgb="FFFF0000"/>
        <rFont val="Calibri"/>
        <family val="2"/>
        <scheme val="minor"/>
      </rPr>
      <t xml:space="preserve"> the latest diagonal reflects current</t>
    </r>
  </si>
  <si>
    <t>disposal rates. (This is the most recent CY.)</t>
  </si>
  <si>
    <r>
      <t xml:space="preserve">We will </t>
    </r>
    <r>
      <rPr>
        <i/>
        <u/>
        <sz val="11"/>
        <color rgb="FFFF0000"/>
        <rFont val="Calibri"/>
        <family val="2"/>
        <scheme val="minor"/>
      </rPr>
      <t>restate</t>
    </r>
    <r>
      <rPr>
        <i/>
        <sz val="11"/>
        <color rgb="FFFF0000"/>
        <rFont val="Calibri"/>
        <family val="2"/>
        <scheme val="minor"/>
      </rPr>
      <t xml:space="preserve"> all AYs to be at the level of this</t>
    </r>
  </si>
  <si>
    <t>most recent CY.</t>
  </si>
  <si>
    <t>last CY</t>
  </si>
  <si>
    <r>
      <t xml:space="preserve">  &lt;-- select LATEST DIAGONAL (</t>
    </r>
    <r>
      <rPr>
        <i/>
        <u/>
        <sz val="11"/>
        <color rgb="FFFF0000"/>
        <rFont val="Calibri"/>
        <family val="2"/>
        <scheme val="minor"/>
      </rPr>
      <t>not</t>
    </r>
    <r>
      <rPr>
        <i/>
        <sz val="11"/>
        <color rgb="FFFF0000"/>
        <rFont val="Calibri"/>
        <family val="2"/>
        <scheme val="minor"/>
      </rPr>
      <t xml:space="preserve"> all-period-average)</t>
    </r>
  </si>
  <si>
    <t xml:space="preserve"> restate CPC using CDRs from last CY</t>
  </si>
  <si>
    <t>This "range" table is just a visual aid</t>
  </si>
  <si>
    <r>
      <rPr>
        <u/>
        <sz val="11"/>
        <color theme="1"/>
        <rFont val="Calibri"/>
        <family val="2"/>
        <scheme val="minor"/>
      </rPr>
      <t xml:space="preserve">Restated </t>
    </r>
    <r>
      <rPr>
        <sz val="11"/>
        <color theme="1"/>
        <rFont val="Calibri"/>
        <family val="2"/>
        <scheme val="minor"/>
      </rPr>
      <t xml:space="preserve">Cumulative Paid Counts </t>
    </r>
    <r>
      <rPr>
        <b/>
        <sz val="11"/>
        <color rgb="FFFF0000"/>
        <rFont val="Calibri"/>
        <family val="2"/>
        <scheme val="minor"/>
      </rPr>
      <t>(CPC)</t>
    </r>
  </si>
  <si>
    <t>===&gt;</t>
  </si>
  <si>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 Relative to </t>
    </r>
    <r>
      <rPr>
        <u/>
        <sz val="11"/>
        <color theme="1"/>
        <rFont val="Calibri"/>
        <family val="2"/>
        <scheme val="minor"/>
      </rPr>
      <t>Original</t>
    </r>
    <r>
      <rPr>
        <sz val="11"/>
        <color theme="1"/>
        <rFont val="Calibri"/>
        <family val="2"/>
        <scheme val="minor"/>
      </rPr>
      <t xml:space="preserve"> Paid Counts</t>
    </r>
  </si>
  <si>
    <t>The range table is helpful in visualizing which data points</t>
  </si>
  <si>
    <t>and/or which regression parameters to use in Step 2.</t>
  </si>
  <si>
    <r>
      <t xml:space="preserve"> restate CPL using </t>
    </r>
    <r>
      <rPr>
        <sz val="11"/>
        <color rgb="FFFF0000"/>
        <rFont val="Calibri"/>
        <family val="2"/>
        <scheme val="minor"/>
      </rPr>
      <t>linear interpolation</t>
    </r>
  </si>
  <si>
    <t>or…</t>
  </si>
  <si>
    <r>
      <t xml:space="preserve"> restate CPL using </t>
    </r>
    <r>
      <rPr>
        <sz val="11"/>
        <color rgb="FFFF0000"/>
        <rFont val="Calibri"/>
        <family val="2"/>
        <scheme val="minor"/>
      </rPr>
      <t>exponential regression interpolation</t>
    </r>
  </si>
  <si>
    <r>
      <rPr>
        <u/>
        <sz val="11"/>
        <color theme="1"/>
        <rFont val="Calibri"/>
        <family val="2"/>
        <scheme val="minor"/>
      </rPr>
      <t>Restated</t>
    </r>
    <r>
      <rPr>
        <sz val="11"/>
        <color theme="1"/>
        <rFont val="Calibri"/>
        <family val="2"/>
        <scheme val="minor"/>
      </rPr>
      <t xml:space="preserve"> Cumulative Paid Loss  </t>
    </r>
    <r>
      <rPr>
        <b/>
        <sz val="11"/>
        <color rgb="FFFF0000"/>
        <rFont val="Calibri"/>
        <family val="2"/>
        <scheme val="minor"/>
      </rPr>
      <t>(CPL)</t>
    </r>
  </si>
  <si>
    <t>Exs:</t>
  </si>
  <si>
    <t xml:space="preserve"> apply development method to restated CPL</t>
  </si>
  <si>
    <t>tail</t>
  </si>
  <si>
    <t>factor:</t>
  </si>
  <si>
    <t xml:space="preserve"> &lt;-- estimate based on LINEAR INTERPOLATION</t>
  </si>
  <si>
    <t xml:space="preserve"> &lt;-- estimate based on EXPONENTIAL REGRESSION INTERPOLATION</t>
  </si>
  <si>
    <t>Step 3c</t>
  </si>
  <si>
    <t>The estimate of ultimate using exponential regression differs from the estimate using liner interpolation by:</t>
  </si>
  <si>
    <t>(Step 3c was just for fun to see if there is any real difference between linear and exponential interpolation.)</t>
  </si>
  <si>
    <t>* Select a tail factor by taking the square root</t>
  </si>
  <si>
    <t xml:space="preserve">     of the 36-48 LDF.</t>
  </si>
  <si>
    <t>(Use exponential regression where appropriate)</t>
  </si>
  <si>
    <t>Based on you solution to part (a) briefly describe anything that you could lead you distrust your estimate of unpaid loss.</t>
  </si>
  <si>
    <t>ultimate loss</t>
  </si>
  <si>
    <t>unpaid loss</t>
  </si>
  <si>
    <t>change in company operations that could explain the result.</t>
  </si>
  <si>
    <t>unpaid loss estimate from part (a)</t>
  </si>
  <si>
    <t xml:space="preserve">  (using exponential regression)</t>
  </si>
  <si>
    <t>actual unpaid loss:</t>
  </si>
  <si>
    <t>unpaid loss estimate from part (c)</t>
  </si>
  <si>
    <t>The estimate from part (c), using the Berquist-Sherman paid method is much more</t>
  </si>
  <si>
    <t xml:space="preserve">accurate. Since the BS-Paid method adjusts for changes in settelemt rate, it's </t>
  </si>
  <si>
    <t xml:space="preserve">likely that the operational change was a speedup in settlement rate sometime </t>
  </si>
  <si>
    <t>during calendar year 2024.</t>
  </si>
  <si>
    <t>(The simulation parameters that generated this data caused a speed-up in settlement</t>
  </si>
  <si>
    <t>rate on Jan 1, 2024, but you have no way of knowing that only from the data provided.)</t>
  </si>
  <si>
    <t>This data was based on a simulation of individual policies and claims and the true ultimate and unpaid amounts for AY 2025 are as follows:</t>
  </si>
  <si>
    <t>Comment on the accuracy of the estimate of unpaid loss from part (a) versus the estimate from part (c) and suggest a</t>
  </si>
  <si>
    <t>&lt;==</t>
  </si>
  <si>
    <t>Use this tail factor for part (a) only.</t>
  </si>
  <si>
    <t xml:space="preserve">  - small amount of data (insufficient accident year history)</t>
  </si>
  <si>
    <t xml:space="preserve">    (large variance reduces confidence in LDF selections)</t>
  </si>
  <si>
    <t>Apply the Berquist-Sherman paid method using exponential regression. (Linear regression is shown only for comparison and is not necessary for full credit on this problem.)</t>
  </si>
  <si>
    <t>S/S</t>
  </si>
  <si>
    <t>cumulative paid SS:</t>
  </si>
  <si>
    <t>selected ultimate claims by AY (using paid claim development)</t>
  </si>
  <si>
    <t>sometimes you are not given the ultimate claims</t>
  </si>
  <si>
    <t xml:space="preserve">  - you would then have to calculate them using an appropriate method</t>
  </si>
  <si>
    <t xml:space="preserve">  - see 2016.Spring #23</t>
  </si>
  <si>
    <t>* There is no development beyond 48 months.</t>
  </si>
  <si>
    <t xml:space="preserve"> approach to estimate the</t>
  </si>
  <si>
    <r>
      <t xml:space="preserve">Ratio of </t>
    </r>
    <r>
      <rPr>
        <i/>
        <sz val="11"/>
        <color theme="1"/>
        <rFont val="Calibri"/>
        <family val="2"/>
        <scheme val="minor"/>
      </rPr>
      <t>cumulative</t>
    </r>
    <r>
      <rPr>
        <sz val="11"/>
        <color theme="1"/>
        <rFont val="Calibri"/>
        <family val="2"/>
        <scheme val="minor"/>
      </rPr>
      <t xml:space="preserve"> paid S/S to </t>
    </r>
    <r>
      <rPr>
        <i/>
        <sz val="11"/>
        <color theme="1"/>
        <rFont val="Calibri"/>
        <family val="2"/>
        <scheme val="minor"/>
      </rPr>
      <t>cumulative</t>
    </r>
    <r>
      <rPr>
        <sz val="11"/>
        <color theme="1"/>
        <rFont val="Calibri"/>
        <family val="2"/>
        <scheme val="minor"/>
      </rPr>
      <t xml:space="preserve"> paid claims:</t>
    </r>
  </si>
  <si>
    <r>
      <t xml:space="preserve">Development triangle </t>
    </r>
    <r>
      <rPr>
        <i/>
        <sz val="11"/>
        <color theme="1"/>
        <rFont val="Calibri"/>
        <family val="2"/>
        <scheme val="minor"/>
      </rPr>
      <t>(multiplicative):</t>
    </r>
  </si>
  <si>
    <t>tail = 1.0</t>
  </si>
  <si>
    <r>
      <rPr>
        <sz val="11"/>
        <color rgb="FF00B050"/>
        <rFont val="Calibri"/>
        <family val="2"/>
        <scheme val="minor"/>
      </rPr>
      <t>selected</t>
    </r>
    <r>
      <rPr>
        <sz val="11"/>
        <rFont val="Calibri"/>
        <family val="2"/>
        <scheme val="minor"/>
      </rPr>
      <t xml:space="preserve"> x (previous cum)</t>
    </r>
  </si>
  <si>
    <r>
      <rPr>
        <sz val="11"/>
        <color rgb="FF0070C0"/>
        <rFont val="Calibri"/>
        <family val="2"/>
        <scheme val="minor"/>
      </rPr>
      <t>cum</t>
    </r>
    <r>
      <rPr>
        <sz val="11"/>
        <color theme="1"/>
        <rFont val="Calibri"/>
        <family val="2"/>
        <scheme val="minor"/>
      </rPr>
      <t xml:space="preserve"> x (</t>
    </r>
    <r>
      <rPr>
        <sz val="11"/>
        <color theme="5" tint="-0.249977111117893"/>
        <rFont val="Calibri"/>
        <family val="2"/>
        <scheme val="minor"/>
      </rPr>
      <t>latest diagonal from Step 1</t>
    </r>
    <r>
      <rPr>
        <sz val="11"/>
        <color theme="1"/>
        <rFont val="Calibri"/>
        <family val="2"/>
        <scheme val="minor"/>
      </rPr>
      <t>)</t>
    </r>
  </si>
  <si>
    <t>pd S/S</t>
  </si>
  <si>
    <t xml:space="preserve"> Ultimate S/S</t>
  </si>
  <si>
    <t xml:space="preserve"> Unpaid S/S</t>
  </si>
  <si>
    <t>(Ultimate S/S)</t>
  </si>
  <si>
    <t>(Paid S/S)</t>
  </si>
  <si>
    <t>Ult S/S</t>
  </si>
  <si>
    <t>UnPd S/S</t>
  </si>
  <si>
    <t>Calculate the net unpaid claims for all accident years using reported claims development.</t>
  </si>
  <si>
    <t>cumulative gross reported claims:</t>
  </si>
  <si>
    <t>cumulative ceded reported claims:</t>
  </si>
  <si>
    <t>(no reported claim development beyond 48 months)</t>
  </si>
  <si>
    <t>(under excess-of-loss treaty)</t>
  </si>
  <si>
    <t>cumulative net paid claims:</t>
  </si>
  <si>
    <t>stop-loss limits</t>
  </si>
  <si>
    <t>(net of excess-of-loss treaty)</t>
  </si>
  <si>
    <t>(applies AFTER excess-of-loss treaty)</t>
  </si>
  <si>
    <t>pd clm</t>
  </si>
  <si>
    <t>limit</t>
  </si>
  <si>
    <t>none</t>
  </si>
  <si>
    <t>There is no further loss development past 48 months</t>
  </si>
  <si>
    <r>
      <t xml:space="preserve">Calculate the </t>
    </r>
    <r>
      <rPr>
        <u/>
        <sz val="11"/>
        <color theme="1"/>
        <rFont val="Calibri"/>
        <family val="2"/>
        <scheme val="minor"/>
      </rPr>
      <t>net reported</t>
    </r>
    <r>
      <rPr>
        <sz val="11"/>
        <color theme="1"/>
        <rFont val="Calibri"/>
        <family val="2"/>
        <scheme val="minor"/>
      </rPr>
      <t xml:space="preserve"> claims triangle as (gross reported) - (ceded reported)</t>
    </r>
  </si>
  <si>
    <r>
      <t xml:space="preserve">Calculate </t>
    </r>
    <r>
      <rPr>
        <u/>
        <sz val="11"/>
        <color theme="1"/>
        <rFont val="Calibri"/>
        <family val="2"/>
        <scheme val="minor"/>
      </rPr>
      <t>net ultimate</t>
    </r>
    <r>
      <rPr>
        <sz val="11"/>
        <color theme="1"/>
        <rFont val="Calibri"/>
        <family val="2"/>
        <scheme val="minor"/>
      </rPr>
      <t xml:space="preserve"> claims using reported development on the net triangle above </t>
    </r>
    <r>
      <rPr>
        <sz val="11"/>
        <color rgb="FFFF0000"/>
        <rFont val="Calibri"/>
        <family val="2"/>
        <scheme val="minor"/>
      </rPr>
      <t>(net of excess-of-loss)</t>
    </r>
  </si>
  <si>
    <t>Ult Clms</t>
  </si>
  <si>
    <t>net of EoL</t>
  </si>
  <si>
    <t>Put the results from Step 2 into a table and apply the given stop-loss limits</t>
  </si>
  <si>
    <t>stop-loss</t>
  </si>
  <si>
    <t>net</t>
  </si>
  <si>
    <t>net of ALL</t>
  </si>
  <si>
    <t>TOTAL</t>
  </si>
  <si>
    <t>Dollar-based methods is one class of methods typically used by actuaries to calculate unpaid ULAE for a reserve analysis. Identify</t>
  </si>
  <si>
    <t xml:space="preserve">  - count-based methods</t>
  </si>
  <si>
    <t xml:space="preserve">  - triangle-based methods</t>
  </si>
  <si>
    <t>Specific examples of count-based methods include:</t>
  </si>
  <si>
    <t xml:space="preserve">  - Brian method, Wendy Johnson method, Mango-Allen claims staffing method,</t>
  </si>
  <si>
    <t xml:space="preserve">     Rahardjo method, Spalla method</t>
  </si>
  <si>
    <t xml:space="preserve">  &lt;==  policy type</t>
  </si>
  <si>
    <t xml:space="preserve">  &lt;== incurred includes reported &amp; IBNR</t>
  </si>
  <si>
    <t xml:space="preserve">  case outstanding    (latest AY)</t>
  </si>
  <si>
    <t xml:space="preserve">  total IBNR    (latest AY)</t>
  </si>
  <si>
    <t xml:space="preserve">  percent of unallocated work that occurs when a claim is closed</t>
  </si>
  <si>
    <r>
      <t xml:space="preserve">  &lt;</t>
    </r>
    <r>
      <rPr>
        <b/>
        <sz val="11"/>
        <color theme="1"/>
        <rFont val="Calibri"/>
        <family val="2"/>
        <scheme val="minor"/>
      </rPr>
      <t xml:space="preserve">== </t>
    </r>
    <r>
      <rPr>
        <sz val="11"/>
        <color theme="1"/>
        <rFont val="Calibri"/>
        <family val="2"/>
        <scheme val="minor"/>
      </rPr>
      <t>selected</t>
    </r>
  </si>
  <si>
    <t>the other two categories of lesser-used methods and for one of those 2 categories, identify a specific method.</t>
  </si>
  <si>
    <t xml:space="preserve">(i)  </t>
  </si>
  <si>
    <t xml:space="preserve">(ii)  </t>
  </si>
  <si>
    <t xml:space="preserve">(iii)  </t>
  </si>
  <si>
    <t xml:space="preserve">(iv)  </t>
  </si>
  <si>
    <t>monthly written and earned premium</t>
  </si>
  <si>
    <t>mix of business relative to all of its rating variables</t>
  </si>
  <si>
    <r>
      <t xml:space="preserve">Assume that an insurer has been writing auto policies for 25 years and for the past 10 years </t>
    </r>
    <r>
      <rPr>
        <u/>
        <sz val="11"/>
        <rFont val="Calibri"/>
        <family val="2"/>
        <scheme val="minor"/>
      </rPr>
      <t>has had the same</t>
    </r>
    <r>
      <rPr>
        <sz val="11"/>
        <rFont val="Calibri"/>
        <family val="2"/>
        <scheme val="minor"/>
      </rPr>
      <t>:</t>
    </r>
  </si>
  <si>
    <t>case reserve adequacy</t>
  </si>
  <si>
    <t>settlement rate across all sizes of claims</t>
  </si>
  <si>
    <t xml:space="preserve">(v)  </t>
  </si>
  <si>
    <t>development patterns in both the paid and reported development triangles</t>
  </si>
  <si>
    <t>claims estimates.</t>
  </si>
  <si>
    <t>If the company had been obtaining accurate estimates of unpaid claims using the standard paid development method, and the standard reported</t>
  </si>
  <si>
    <t>development method, then describe any appropriate adjustments to their reserving methodology so as to maintain the accuracy of its unpaid</t>
  </si>
  <si>
    <t>Suppose however that 3 years ago, the loss ratio began deteriorating by 2% per year and this trend is expected to continue. No other changes</t>
  </si>
  <si>
    <t>relative to items (i) through (v) have occurred.</t>
  </si>
  <si>
    <t>No adjustments are necessary. As long as the only chage is the</t>
  </si>
  <si>
    <t>deterioration of the loss ratio, the paid and reported development methods</t>
  </si>
  <si>
    <t>will remain accurate because the development patterns have not changed.</t>
  </si>
  <si>
    <t>Referring to part (a), suppose the the volume of business increased but due to budgetary contraints, the settlement rates decreased. If the strength</t>
  </si>
  <si>
    <t>of the case reserves also decreased, describe any appropriate adjustments to their reserving methodology so as to maintain the accuracy of its</t>
  </si>
  <si>
    <t>unpaid claim estimates.</t>
  </si>
  <si>
    <t>Two appropriate adjustments would be:</t>
  </si>
  <si>
    <t xml:space="preserve">  - replace the standard paid development method with the Berquist-Sherman paid method</t>
  </si>
  <si>
    <t xml:space="preserve">  - replace the standard reported development method with the Berquist-Sherman reported method</t>
  </si>
  <si>
    <t>projected……..</t>
  </si>
  <si>
    <t>ultimate…………</t>
  </si>
  <si>
    <t>non-cat………</t>
  </si>
  <si>
    <t>non-modeled…</t>
  </si>
  <si>
    <t>cat……………..</t>
  </si>
  <si>
    <t>modeled………..</t>
  </si>
  <si>
    <t xml:space="preserve"> (given)</t>
  </si>
  <si>
    <t>Calculate the indicated rate given the following information:</t>
  </si>
  <si>
    <t>net…………………</t>
  </si>
  <si>
    <t>reins………….</t>
  </si>
  <si>
    <t>fixed………………</t>
  </si>
  <si>
    <t>expense……..</t>
  </si>
  <si>
    <t>effective date</t>
  </si>
  <si>
    <t>term</t>
  </si>
  <si>
    <r>
      <t xml:space="preserve">total </t>
    </r>
    <r>
      <rPr>
        <b/>
        <i/>
        <sz val="11"/>
        <color theme="1"/>
        <rFont val="Calibri"/>
        <family val="2"/>
        <scheme val="minor"/>
      </rPr>
      <t xml:space="preserve">====&gt; </t>
    </r>
    <r>
      <rPr>
        <i/>
        <sz val="11"/>
        <color theme="1"/>
        <rFont val="Calibri"/>
        <family val="2"/>
        <scheme val="minor"/>
      </rPr>
      <t xml:space="preserve"> </t>
    </r>
  </si>
  <si>
    <t xml:space="preserve">VPLR = </t>
  </si>
  <si>
    <t>ren</t>
  </si>
  <si>
    <r>
      <t xml:space="preserve">divide by VPLR </t>
    </r>
    <r>
      <rPr>
        <b/>
        <sz val="11"/>
        <color theme="1"/>
        <rFont val="Calibri"/>
        <family val="2"/>
        <scheme val="minor"/>
      </rPr>
      <t xml:space="preserve">====&gt; </t>
    </r>
  </si>
  <si>
    <t>V: variable expense</t>
  </si>
  <si>
    <t>non-modeled cat-to-AIY ratio</t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</si>
  <si>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ultimate non-cat</t>
    </r>
    <r>
      <rPr>
        <sz val="11"/>
        <color theme="1"/>
        <rFont val="Calibri"/>
        <family val="2"/>
        <scheme val="minor"/>
      </rPr>
      <t xml:space="preserve"> pure premium</t>
    </r>
  </si>
  <si>
    <t>Q: profit provision</t>
  </si>
  <si>
    <t>E(F): fixed expenses</t>
  </si>
  <si>
    <t>trend periods</t>
  </si>
  <si>
    <t>non-cat</t>
  </si>
  <si>
    <t>* assume the net per-exposure cost of reinsurance</t>
  </si>
  <si>
    <t>from CY</t>
  </si>
  <si>
    <r>
      <t xml:space="preserve">non-cat ultimate </t>
    </r>
    <r>
      <rPr>
        <b/>
        <sz val="11"/>
        <color rgb="FF0070C0"/>
        <rFont val="Calibri"/>
        <family val="2"/>
        <scheme val="minor"/>
      </rPr>
      <t>LOSS</t>
    </r>
  </si>
  <si>
    <t>historical loss trend</t>
  </si>
  <si>
    <t>to eff. per.</t>
  </si>
  <si>
    <t>LOSS</t>
  </si>
  <si>
    <t>Pure Pr.</t>
  </si>
  <si>
    <t>= (non-cat rptd loss &amp; ALAE) x LDF x ULAE x trends</t>
  </si>
  <si>
    <t>projected loss trend</t>
  </si>
  <si>
    <t>fixed expense trend</t>
  </si>
  <si>
    <t>* modeled cat pure premium</t>
  </si>
  <si>
    <t>exposure trend</t>
  </si>
  <si>
    <t>* projected</t>
  </si>
  <si>
    <t>rpt loss</t>
  </si>
  <si>
    <t>AIY / EE</t>
  </si>
  <si>
    <r>
      <t xml:space="preserve">average of column </t>
    </r>
    <r>
      <rPr>
        <b/>
        <i/>
        <sz val="11"/>
        <color rgb="FFFF0000"/>
        <rFont val="Calibri"/>
        <family val="2"/>
        <scheme val="minor"/>
      </rPr>
      <t xml:space="preserve">==&gt; </t>
    </r>
    <r>
      <rPr>
        <i/>
        <sz val="11"/>
        <color rgb="FFFF0000"/>
        <rFont val="Calibri"/>
        <family val="2"/>
        <scheme val="minor"/>
      </rPr>
      <t xml:space="preserve"> </t>
    </r>
  </si>
  <si>
    <t>&amp; ALAE</t>
  </si>
  <si>
    <t>factor</t>
  </si>
  <si>
    <t>exp fit</t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</si>
  <si>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non-modeled cat</t>
    </r>
    <r>
      <rPr>
        <sz val="11"/>
        <color theme="1"/>
        <rFont val="Calibri"/>
        <family val="2"/>
        <scheme val="minor"/>
      </rPr>
      <t xml:space="preserve"> pure premium</t>
    </r>
  </si>
  <si>
    <t>cat-to-AIY-ratio</t>
  </si>
  <si>
    <t>AIY-to-EE</t>
  </si>
  <si>
    <t>ULAE factor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</si>
  <si>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2a</t>
    </r>
  </si>
  <si>
    <t>side calc to get appropriate value for AIY-to-EE:</t>
  </si>
  <si>
    <t>AAD(eff. per.)</t>
  </si>
  <si>
    <t>The AAD (Average Accident Date) for the AIY-to-EE value must</t>
  </si>
  <si>
    <t>line up with the AAD of the effective period.</t>
  </si>
  <si>
    <t>AIY-to-EE is a weighted average of AIY-to-EE values for</t>
  </si>
  <si>
    <t>net cost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</si>
  <si>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3</t>
    </r>
  </si>
  <si>
    <t xml:space="preserve"> trend fixed expenses using AWD (since most fixed expenses are incurred when policy is written)</t>
  </si>
  <si>
    <t>AWD(Eff. Per.)</t>
  </si>
  <si>
    <t>trend period</t>
  </si>
  <si>
    <t>projected fixed expense pure premium</t>
  </si>
  <si>
    <t>(1 + trend)^(trend period)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</si>
  <si>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4</t>
    </r>
  </si>
  <si>
    <t>Rough Work:</t>
  </si>
  <si>
    <t>serial</t>
  </si>
  <si>
    <t>2024 reinsurance cost</t>
  </si>
  <si>
    <t xml:space="preserve"> &lt;-- through 2024</t>
  </si>
  <si>
    <t>2024 reinsurance recoveries</t>
  </si>
  <si>
    <t xml:space="preserve">   for the effective period is the same as for CY 2024</t>
  </si>
  <si>
    <t>Pricing - Werner Appendix B: Homeowners</t>
  </si>
  <si>
    <t>Trended earned premium at current rate level for CY:</t>
  </si>
  <si>
    <t>and</t>
  </si>
  <si>
    <t>Trended ultimate loss &amp; LAE for AY:</t>
  </si>
  <si>
    <t>Indicated rate change</t>
  </si>
  <si>
    <t>Here is the required information:</t>
  </si>
  <si>
    <t>Trends (annual)</t>
  </si>
  <si>
    <t>Expenses</t>
  </si>
  <si>
    <t>premium trend</t>
  </si>
  <si>
    <t>fixed expense ratio</t>
  </si>
  <si>
    <t>loss trend</t>
  </si>
  <si>
    <t>variable expense ratio</t>
  </si>
  <si>
    <t>U/W profit ratio</t>
  </si>
  <si>
    <t>ULAE ratio</t>
  </si>
  <si>
    <t>Incurred Loss &amp; LAE</t>
  </si>
  <si>
    <t>Rate Change Information</t>
  </si>
  <si>
    <t>effective date:</t>
  </si>
  <si>
    <t xml:space="preserve"> (year, month, day)</t>
  </si>
  <si>
    <t>rates in effect for:</t>
  </si>
  <si>
    <t>policy term:</t>
  </si>
  <si>
    <t>2023 . 10 . 01</t>
  </si>
  <si>
    <t>2025 . 01 . 01</t>
  </si>
  <si>
    <t>Step (a)-1</t>
  </si>
  <si>
    <t xml:space="preserve"> Calculate the appropriate trend period for AY:</t>
  </si>
  <si>
    <t xml:space="preserve"> (Then the trend period is increased by 1 year for each prior AY.)</t>
  </si>
  <si>
    <t>|</t>
  </si>
  <si>
    <t>AWD</t>
  </si>
  <si>
    <t xml:space="preserve"> AWD for historical and effective period</t>
  </si>
  <si>
    <t>AAD 1</t>
  </si>
  <si>
    <t>01</t>
  </si>
  <si>
    <t>AWD 1</t>
  </si>
  <si>
    <t>(mid-point of historical period) - 0.5 x (term)</t>
  </si>
  <si>
    <t>AAD 2</t>
  </si>
  <si>
    <t>(mid-point of effective period) + 0.5 x (term)</t>
  </si>
  <si>
    <t>AWD 2</t>
  </si>
  <si>
    <t>(mid-point of effective period)</t>
  </si>
  <si>
    <t>AY trend period</t>
  </si>
  <si>
    <t xml:space="preserve"> &lt;== years</t>
  </si>
  <si>
    <t>Step (a)-2</t>
  </si>
  <si>
    <t xml:space="preserve"> Calculate EP @ CRL:  (Earned Premium at Current Rate Level)</t>
  </si>
  <si>
    <t>rate change date ==&gt;</t>
  </si>
  <si>
    <t>rate change ==&gt;</t>
  </si>
  <si>
    <t>Current Rate Level</t>
  </si>
  <si>
    <t>( 1 +</t>
  </si>
  <si>
    <t xml:space="preserve">( 1 + </t>
  </si>
  <si>
    <t>ARL:</t>
  </si>
  <si>
    <t>Area A3</t>
  </si>
  <si>
    <t>(Rate Level A3)</t>
  </si>
  <si>
    <t>Area A4</t>
  </si>
  <si>
    <t>(Rate Level A4)</t>
  </si>
  <si>
    <t>Area A5</t>
  </si>
  <si>
    <t>(Rate Level A5)</t>
  </si>
  <si>
    <t>Area A6</t>
  </si>
  <si>
    <t>(Rate Level A6)</t>
  </si>
  <si>
    <t>CRLF:</t>
  </si>
  <si>
    <t>ARL_2009</t>
  </si>
  <si>
    <t>ARL_2010</t>
  </si>
  <si>
    <t>Step (a)-3</t>
  </si>
  <si>
    <t xml:space="preserve"> Use the previous steps to calculate the trended EP @ CRL</t>
  </si>
  <si>
    <t>(5) = (2)x(3)x(4)</t>
  </si>
  <si>
    <t>CRLF</t>
  </si>
  <si>
    <t>Trend</t>
  </si>
  <si>
    <t>Trd'd EP @CRL</t>
  </si>
  <si>
    <t xml:space="preserve"> &lt;== final answer to step (a)-3</t>
  </si>
  <si>
    <t>Step (b)-1</t>
  </si>
  <si>
    <t xml:space="preserve"> Calculate the CDFs for development losses to ultimate</t>
  </si>
  <si>
    <t>12-24</t>
  </si>
  <si>
    <t>24-36</t>
  </si>
  <si>
    <t>36-48</t>
  </si>
  <si>
    <t>48-60</t>
  </si>
  <si>
    <t xml:space="preserve"> &lt;== tail factor</t>
  </si>
  <si>
    <t>Step (b)-2</t>
  </si>
  <si>
    <t xml:space="preserve"> Apply CDFs and trend (trend period is the same as for the premium trend)</t>
  </si>
  <si>
    <t>loss &amp; LAE</t>
  </si>
  <si>
    <t>trd &amp; dev loss &amp; LAE</t>
  </si>
  <si>
    <t xml:space="preserve"> &lt;== final answer to step (b)-2</t>
  </si>
  <si>
    <t>Step (c)-1</t>
  </si>
  <si>
    <t xml:space="preserve"> Select a loss &amp; LAE ratio to be used in the "Loss Ratio Method"</t>
  </si>
  <si>
    <t>2-year weighted average</t>
  </si>
  <si>
    <t>sum of loss &amp; LAE</t>
  </si>
  <si>
    <t>sum of EP</t>
  </si>
  <si>
    <t>Step (c)-2</t>
  </si>
  <si>
    <t xml:space="preserve"> Apply the "Loss Ratio Method" to get the indicated rate change</t>
  </si>
  <si>
    <t>indicated rate change</t>
  </si>
  <si>
    <t xml:space="preserve"> &lt;== final answer to problem</t>
  </si>
  <si>
    <t>True or False:</t>
  </si>
  <si>
    <t>Briefly explain your answer to part (a).</t>
  </si>
  <si>
    <t>Univariate methods consider rating variables in isolation from each other whereas</t>
  </si>
  <si>
    <t>Are multivariate methods for calculating relativities better than univariate methods?</t>
  </si>
  <si>
    <t>multivariate methods allow allow for interactions between rating variables.</t>
  </si>
  <si>
    <t>EP for PY 2020</t>
  </si>
  <si>
    <t>EP for PY 2021</t>
  </si>
  <si>
    <t>EP for PY 2022</t>
  </si>
  <si>
    <t xml:space="preserve"> </t>
  </si>
  <si>
    <t>(  (L&amp;LAE Ratio)  x  (1 + ULAE %)  + F  )</t>
  </si>
  <si>
    <t>( 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</si>
</sst>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[$-F800]dddd\,\ mmmm\ dd\,\ yyyy"/>
    <numFmt numFmtId="166" formatCode="0.000"/>
    <numFmt numFmtId="167" formatCode="0.0000"/>
    <numFmt numFmtId="168" formatCode="0.000%"/>
    <numFmt numFmtId="169" formatCode="#,##0.0"/>
    <numFmt numFmtId="170" formatCode="#,##0.000"/>
    <numFmt numFmtId="171" formatCode="#,##0.0000"/>
    <numFmt numFmtId="172" formatCode="#,##0_ ;\-#,##0\ "/>
    <numFmt numFmtId="173" formatCode="_(* #,##0.0_);_(* \(#,##0.0\);_(* &quot;-&quot;??_);_(@_)"/>
    <numFmt numFmtId="174" formatCode="#,##0.00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333333"/>
      <name val="Roboto"/>
    </font>
    <font>
      <vertAlign val="subscript"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i/>
      <sz val="11"/>
      <color rgb="FF222222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  <charset val="1"/>
    </font>
    <font>
      <i/>
      <u/>
      <sz val="11"/>
      <name val="Calibri"/>
      <family val="2"/>
      <scheme val="minor"/>
    </font>
    <font>
      <sz val="11"/>
      <color theme="1"/>
      <name val="Calibri"/>
      <family val="2"/>
    </font>
    <font>
      <sz val="9.9"/>
      <color theme="1"/>
      <name val="Calibri"/>
      <family val="2"/>
    </font>
    <font>
      <sz val="11"/>
      <color rgb="FFFF0000"/>
      <name val="Calibri"/>
      <family val="2"/>
    </font>
    <font>
      <sz val="9.9"/>
      <color rgb="FFFF0000"/>
      <name val="Calibri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color rgb="FF9C000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44" fontId="1" fillId="0" borderId="0" applyFont="0" applyFill="0" applyBorder="0" applyAlignment="0" applyProtection="0"/>
    <xf numFmtId="0" fontId="17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4" fontId="1" fillId="0" borderId="0" applyFont="0" applyFill="0" applyBorder="0" applyAlignment="0" applyProtection="0"/>
    <xf numFmtId="0" fontId="46" fillId="0" borderId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</cellStyleXfs>
  <cellXfs count="10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0" fontId="12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2" borderId="9" xfId="0" applyFont="1" applyFill="1" applyBorder="1" applyProtection="1"/>
    <xf numFmtId="0" fontId="12" fillId="2" borderId="1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7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7" fillId="0" borderId="11" xfId="2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0" xfId="0" applyFont="1" applyBorder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0" fontId="16" fillId="0" borderId="0" xfId="0" applyFont="1"/>
    <xf numFmtId="0" fontId="0" fillId="0" borderId="22" xfId="0" applyNumberFormat="1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7" fillId="0" borderId="11" xfId="2" applyFill="1" applyBorder="1" applyAlignment="1">
      <alignment horizontal="center"/>
    </xf>
    <xf numFmtId="0" fontId="12" fillId="0" borderId="23" xfId="5" applyNumberFormat="1" applyFont="1" applyFill="1" applyBorder="1" applyAlignment="1">
      <alignment horizontal="center"/>
    </xf>
    <xf numFmtId="0" fontId="12" fillId="0" borderId="11" xfId="5" applyNumberFormat="1" applyFont="1" applyFill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12" fillId="0" borderId="25" xfId="5" applyNumberFormat="1" applyFont="1" applyFill="1" applyBorder="1" applyAlignment="1">
      <alignment horizontal="center"/>
    </xf>
    <xf numFmtId="3" fontId="0" fillId="0" borderId="0" xfId="0" applyNumberFormat="1" applyFont="1" applyProtection="1">
      <protection locked="0"/>
    </xf>
    <xf numFmtId="3" fontId="12" fillId="0" borderId="1" xfId="0" applyNumberFormat="1" applyFont="1" applyFill="1" applyBorder="1" applyProtection="1">
      <protection locked="0"/>
    </xf>
    <xf numFmtId="9" fontId="12" fillId="0" borderId="1" xfId="1" applyFont="1" applyFill="1" applyBorder="1" applyProtection="1">
      <protection locked="0"/>
    </xf>
    <xf numFmtId="0" fontId="0" fillId="2" borderId="0" xfId="0" applyFill="1"/>
    <xf numFmtId="0" fontId="0" fillId="0" borderId="20" xfId="0" applyBorder="1" applyAlignment="1">
      <alignment horizontal="center"/>
    </xf>
    <xf numFmtId="0" fontId="0" fillId="0" borderId="20" xfId="0" applyFont="1" applyBorder="1"/>
    <xf numFmtId="9" fontId="0" fillId="0" borderId="0" xfId="0" applyNumberFormat="1"/>
    <xf numFmtId="15" fontId="0" fillId="0" borderId="0" xfId="0" applyNumberFormat="1"/>
    <xf numFmtId="0" fontId="12" fillId="2" borderId="16" xfId="0" applyFont="1" applyFill="1" applyBorder="1" applyProtection="1">
      <protection locked="0"/>
    </xf>
    <xf numFmtId="0" fontId="0" fillId="2" borderId="26" xfId="0" applyFill="1" applyBorder="1"/>
    <xf numFmtId="0" fontId="12" fillId="2" borderId="18" xfId="0" applyFont="1" applyFill="1" applyBorder="1" applyProtection="1"/>
    <xf numFmtId="9" fontId="0" fillId="2" borderId="27" xfId="0" applyNumberFormat="1" applyFill="1" applyBorder="1"/>
    <xf numFmtId="0" fontId="12" fillId="2" borderId="19" xfId="0" applyFont="1" applyFill="1" applyBorder="1" applyProtection="1"/>
    <xf numFmtId="0" fontId="12" fillId="2" borderId="20" xfId="0" applyFont="1" applyFill="1" applyBorder="1" applyProtection="1"/>
    <xf numFmtId="165" fontId="0" fillId="2" borderId="12" xfId="0" applyNumberFormat="1" applyFill="1" applyBorder="1"/>
    <xf numFmtId="0" fontId="0" fillId="2" borderId="12" xfId="0" applyFill="1" applyBorder="1"/>
    <xf numFmtId="0" fontId="12" fillId="2" borderId="26" xfId="0" applyFont="1" applyFill="1" applyBorder="1" applyProtection="1">
      <protection locked="0"/>
    </xf>
    <xf numFmtId="0" fontId="12" fillId="2" borderId="12" xfId="0" applyFont="1" applyFill="1" applyBorder="1" applyProtection="1"/>
    <xf numFmtId="0" fontId="12" fillId="2" borderId="27" xfId="0" applyFont="1" applyFill="1" applyBorder="1" applyProtection="1"/>
    <xf numFmtId="0" fontId="18" fillId="0" borderId="0" xfId="0" applyFont="1" applyAlignment="1">
      <alignment horizontal="left" vertical="center" wrapText="1" indent="1"/>
    </xf>
    <xf numFmtId="0" fontId="0" fillId="0" borderId="0" xfId="0" applyAlignment="1"/>
    <xf numFmtId="167" fontId="0" fillId="0" borderId="0" xfId="0" applyNumberFormat="1"/>
    <xf numFmtId="0" fontId="0" fillId="0" borderId="0" xfId="0" quotePrefix="1"/>
    <xf numFmtId="0" fontId="0" fillId="0" borderId="0" xfId="0" applyAlignment="1">
      <alignment vertical="center"/>
    </xf>
    <xf numFmtId="167" fontId="0" fillId="0" borderId="0" xfId="0" quotePrefix="1" applyNumberFormat="1" applyAlignment="1">
      <alignment vertical="center"/>
    </xf>
    <xf numFmtId="0" fontId="0" fillId="0" borderId="16" xfId="0" applyBorder="1"/>
    <xf numFmtId="167" fontId="0" fillId="0" borderId="26" xfId="0" applyNumberFormat="1" applyBorder="1"/>
    <xf numFmtId="0" fontId="0" fillId="0" borderId="18" xfId="0" applyBorder="1"/>
    <xf numFmtId="167" fontId="0" fillId="0" borderId="27" xfId="0" applyNumberFormat="1" applyBorder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/>
    <xf numFmtId="167" fontId="0" fillId="0" borderId="12" xfId="0" applyNumberFormat="1" applyBorder="1"/>
    <xf numFmtId="0" fontId="0" fillId="0" borderId="12" xfId="0" applyBorder="1"/>
    <xf numFmtId="0" fontId="0" fillId="0" borderId="0" xfId="0" applyFill="1" applyBorder="1" applyAlignment="1">
      <alignment vertical="center"/>
    </xf>
    <xf numFmtId="3" fontId="0" fillId="0" borderId="0" xfId="0" applyNumberFormat="1"/>
    <xf numFmtId="0" fontId="12" fillId="2" borderId="17" xfId="0" applyFont="1" applyFill="1" applyBorder="1" applyAlignment="1" applyProtection="1">
      <alignment horizontal="right"/>
      <protection locked="0"/>
    </xf>
    <xf numFmtId="0" fontId="12" fillId="2" borderId="26" xfId="0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Protection="1">
      <protection locked="0"/>
    </xf>
    <xf numFmtId="3" fontId="12" fillId="2" borderId="27" xfId="0" applyNumberFormat="1" applyFont="1" applyFill="1" applyBorder="1" applyProtection="1">
      <protection locked="0"/>
    </xf>
    <xf numFmtId="3" fontId="12" fillId="2" borderId="20" xfId="0" applyNumberFormat="1" applyFont="1" applyFill="1" applyBorder="1" applyProtection="1">
      <protection locked="0"/>
    </xf>
    <xf numFmtId="3" fontId="12" fillId="2" borderId="12" xfId="0" applyNumberFormat="1" applyFont="1" applyFill="1" applyBorder="1" applyProtection="1">
      <protection locked="0"/>
    </xf>
    <xf numFmtId="0" fontId="12" fillId="2" borderId="20" xfId="0" applyFont="1" applyFill="1" applyBorder="1" applyAlignment="1" applyProtection="1">
      <alignment horizontal="right"/>
      <protection locked="0"/>
    </xf>
    <xf numFmtId="0" fontId="12" fillId="2" borderId="12" xfId="0" applyFont="1" applyFill="1" applyBorder="1" applyAlignment="1" applyProtection="1">
      <alignment horizontal="right"/>
      <protection locked="0"/>
    </xf>
    <xf numFmtId="0" fontId="12" fillId="2" borderId="15" xfId="0" applyFont="1" applyFill="1" applyBorder="1" applyProtection="1"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 vertical="center" indent="1"/>
    </xf>
    <xf numFmtId="168" fontId="0" fillId="0" borderId="0" xfId="0" applyNumberFormat="1" applyFont="1"/>
    <xf numFmtId="168" fontId="14" fillId="4" borderId="0" xfId="4" applyNumberFormat="1"/>
    <xf numFmtId="0" fontId="0" fillId="0" borderId="15" xfId="0" applyFont="1" applyBorder="1"/>
    <xf numFmtId="0" fontId="21" fillId="0" borderId="13" xfId="0" quotePrefix="1" applyFont="1" applyBorder="1" applyAlignment="1">
      <alignment horizontal="center"/>
    </xf>
    <xf numFmtId="0" fontId="21" fillId="0" borderId="28" xfId="0" quotePrefix="1" applyFont="1" applyBorder="1" applyAlignment="1">
      <alignment horizontal="center"/>
    </xf>
    <xf numFmtId="0" fontId="21" fillId="0" borderId="29" xfId="0" quotePrefix="1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3" fontId="0" fillId="0" borderId="27" xfId="0" quotePrefix="1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0" fillId="0" borderId="21" xfId="0" applyNumberFormat="1" applyFont="1" applyBorder="1" applyAlignment="1">
      <alignment horizontal="center"/>
    </xf>
    <xf numFmtId="3" fontId="0" fillId="8" borderId="0" xfId="0" applyNumberFormat="1" applyFont="1" applyFill="1" applyBorder="1" applyAlignment="1">
      <alignment horizontal="center"/>
    </xf>
    <xf numFmtId="164" fontId="0" fillId="0" borderId="27" xfId="1" applyNumberFormat="1" applyFont="1" applyBorder="1" applyAlignment="1">
      <alignment horizontal="center"/>
    </xf>
    <xf numFmtId="3" fontId="0" fillId="8" borderId="20" xfId="0" applyNumberFormat="1" applyFont="1" applyFill="1" applyBorder="1" applyAlignment="1">
      <alignment horizontal="center"/>
    </xf>
    <xf numFmtId="0" fontId="0" fillId="2" borderId="0" xfId="0" applyFont="1" applyFill="1" applyProtection="1">
      <protection locked="0"/>
    </xf>
    <xf numFmtId="3" fontId="0" fillId="0" borderId="0" xfId="0" quotePrefix="1" applyNumberFormat="1" applyFont="1" applyAlignment="1">
      <alignment horizontal="left"/>
    </xf>
    <xf numFmtId="3" fontId="0" fillId="0" borderId="0" xfId="0" quotePrefix="1" applyNumberFormat="1" applyFont="1"/>
    <xf numFmtId="3" fontId="0" fillId="0" borderId="0" xfId="0" applyNumberFormat="1" applyFont="1"/>
    <xf numFmtId="3" fontId="0" fillId="0" borderId="1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168" fontId="14" fillId="4" borderId="29" xfId="4" applyNumberFormat="1" applyBorder="1" applyAlignment="1">
      <alignment horizontal="center"/>
    </xf>
    <xf numFmtId="0" fontId="0" fillId="0" borderId="0" xfId="0" quotePrefix="1" applyFont="1" applyProtection="1">
      <protection locked="0"/>
    </xf>
    <xf numFmtId="3" fontId="0" fillId="0" borderId="17" xfId="0" applyNumberFormat="1" applyFont="1" applyBorder="1"/>
    <xf numFmtId="3" fontId="0" fillId="0" borderId="26" xfId="0" applyNumberFormat="1" applyFont="1" applyBorder="1"/>
    <xf numFmtId="3" fontId="0" fillId="0" borderId="18" xfId="0" applyNumberFormat="1" applyFont="1" applyBorder="1"/>
    <xf numFmtId="3" fontId="0" fillId="0" borderId="0" xfId="0" applyNumberFormat="1" applyFont="1" applyBorder="1"/>
    <xf numFmtId="3" fontId="0" fillId="0" borderId="27" xfId="0" applyNumberFormat="1" applyFont="1" applyBorder="1"/>
    <xf numFmtId="0" fontId="0" fillId="0" borderId="0" xfId="0" applyFont="1" applyBorder="1"/>
    <xf numFmtId="0" fontId="0" fillId="0" borderId="27" xfId="0" applyFont="1" applyBorder="1"/>
    <xf numFmtId="3" fontId="0" fillId="0" borderId="19" xfId="0" applyNumberFormat="1" applyFont="1" applyBorder="1"/>
    <xf numFmtId="3" fontId="0" fillId="0" borderId="20" xfId="0" applyNumberFormat="1" applyFont="1" applyBorder="1"/>
    <xf numFmtId="3" fontId="0" fillId="0" borderId="12" xfId="0" applyNumberFormat="1" applyFont="1" applyBorder="1"/>
    <xf numFmtId="3" fontId="0" fillId="2" borderId="16" xfId="0" applyNumberFormat="1" applyFont="1" applyFill="1" applyBorder="1"/>
    <xf numFmtId="3" fontId="0" fillId="2" borderId="17" xfId="0" applyNumberFormat="1" applyFont="1" applyFill="1" applyBorder="1"/>
    <xf numFmtId="3" fontId="0" fillId="2" borderId="26" xfId="0" applyNumberFormat="1" applyFont="1" applyFill="1" applyBorder="1"/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0" xfId="0" applyNumberFormat="1" applyFont="1" applyFill="1" applyBorder="1"/>
    <xf numFmtId="3" fontId="0" fillId="2" borderId="27" xfId="0" applyNumberFormat="1" applyFont="1" applyFill="1" applyBorder="1"/>
    <xf numFmtId="3" fontId="0" fillId="2" borderId="27" xfId="0" applyNumberFormat="1" applyFill="1" applyBorder="1" applyAlignment="1">
      <alignment horizontal="right"/>
    </xf>
    <xf numFmtId="0" fontId="0" fillId="2" borderId="27" xfId="0" applyFont="1" applyFill="1" applyBorder="1"/>
    <xf numFmtId="3" fontId="0" fillId="2" borderId="19" xfId="0" applyNumberFormat="1" applyFont="1" applyFill="1" applyBorder="1"/>
    <xf numFmtId="3" fontId="0" fillId="2" borderId="20" xfId="0" applyNumberFormat="1" applyFont="1" applyFill="1" applyBorder="1"/>
    <xf numFmtId="3" fontId="0" fillId="2" borderId="12" xfId="0" applyNumberFormat="1" applyFont="1" applyFill="1" applyBorder="1"/>
    <xf numFmtId="9" fontId="0" fillId="2" borderId="12" xfId="1" applyFont="1" applyFill="1" applyBorder="1"/>
    <xf numFmtId="0" fontId="17" fillId="6" borderId="0" xfId="7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0" xfId="0" applyNumberFormat="1" applyFont="1" applyAlignment="1">
      <alignment horizontal="center"/>
    </xf>
    <xf numFmtId="3" fontId="0" fillId="0" borderId="0" xfId="0" quotePrefix="1" applyNumberFormat="1" applyFont="1" applyAlignment="1">
      <alignment horizontal="center"/>
    </xf>
    <xf numFmtId="0" fontId="14" fillId="4" borderId="0" xfId="4" applyAlignment="1">
      <alignment horizontal="center"/>
    </xf>
    <xf numFmtId="4" fontId="0" fillId="0" borderId="0" xfId="0" applyNumberFormat="1" applyFont="1"/>
    <xf numFmtId="4" fontId="0" fillId="0" borderId="0" xfId="0" applyNumberFormat="1" applyFont="1" applyAlignment="1">
      <alignment horizontal="center"/>
    </xf>
    <xf numFmtId="169" fontId="14" fillId="4" borderId="0" xfId="4" applyNumberFormat="1" applyAlignment="1">
      <alignment horizontal="center"/>
    </xf>
    <xf numFmtId="3" fontId="22" fillId="0" borderId="0" xfId="0" applyNumberFormat="1" applyFont="1"/>
    <xf numFmtId="0" fontId="0" fillId="0" borderId="17" xfId="0" applyFont="1" applyBorder="1"/>
    <xf numFmtId="0" fontId="0" fillId="0" borderId="26" xfId="0" applyFont="1" applyBorder="1"/>
    <xf numFmtId="0" fontId="0" fillId="2" borderId="12" xfId="0" applyFont="1" applyFill="1" applyBorder="1"/>
    <xf numFmtId="3" fontId="0" fillId="2" borderId="12" xfId="0" applyNumberFormat="1" applyFill="1" applyBorder="1" applyAlignment="1">
      <alignment horizontal="right"/>
    </xf>
    <xf numFmtId="9" fontId="0" fillId="2" borderId="27" xfId="1" applyFont="1" applyFill="1" applyBorder="1"/>
    <xf numFmtId="3" fontId="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169" fontId="12" fillId="0" borderId="0" xfId="0" quotePrefix="1" applyNumberFormat="1" applyFont="1" applyAlignment="1">
      <alignment horizontal="center"/>
    </xf>
    <xf numFmtId="3" fontId="2" fillId="0" borderId="0" xfId="0" applyNumberFormat="1" applyFont="1"/>
    <xf numFmtId="3" fontId="0" fillId="0" borderId="15" xfId="0" applyNumberFormat="1" applyFont="1" applyBorder="1" applyAlignment="1">
      <alignment horizontal="center"/>
    </xf>
    <xf numFmtId="3" fontId="0" fillId="0" borderId="26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1" fontId="0" fillId="0" borderId="21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3" fontId="0" fillId="0" borderId="13" xfId="0" applyNumberFormat="1" applyFont="1" applyBorder="1"/>
    <xf numFmtId="3" fontId="0" fillId="0" borderId="29" xfId="0" applyNumberFormat="1" applyFont="1" applyBorder="1"/>
    <xf numFmtId="3" fontId="6" fillId="0" borderId="0" xfId="0" applyNumberFormat="1" applyFont="1"/>
    <xf numFmtId="3" fontId="2" fillId="2" borderId="0" xfId="0" applyNumberFormat="1" applyFont="1" applyFill="1"/>
    <xf numFmtId="0" fontId="0" fillId="2" borderId="0" xfId="0" applyFont="1" applyFill="1"/>
    <xf numFmtId="3" fontId="0" fillId="2" borderId="0" xfId="0" applyNumberFormat="1" applyFill="1"/>
    <xf numFmtId="3" fontId="0" fillId="2" borderId="15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right"/>
    </xf>
    <xf numFmtId="3" fontId="0" fillId="2" borderId="26" xfId="0" applyNumberFormat="1" applyFont="1" applyFill="1" applyBorder="1" applyAlignment="1">
      <alignment horizontal="right"/>
    </xf>
    <xf numFmtId="3" fontId="0" fillId="2" borderId="14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2" borderId="15" xfId="0" applyNumberFormat="1" applyFont="1" applyFill="1" applyBorder="1"/>
    <xf numFmtId="1" fontId="0" fillId="2" borderId="21" xfId="0" applyNumberFormat="1" applyFont="1" applyFill="1" applyBorder="1" applyAlignment="1">
      <alignment horizontal="center"/>
    </xf>
    <xf numFmtId="3" fontId="0" fillId="2" borderId="21" xfId="0" applyNumberFormat="1" applyFont="1" applyFill="1" applyBorder="1"/>
    <xf numFmtId="1" fontId="0" fillId="2" borderId="14" xfId="0" applyNumberFormat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29" xfId="0" applyNumberFormat="1" applyFont="1" applyFill="1" applyBorder="1"/>
    <xf numFmtId="9" fontId="0" fillId="2" borderId="29" xfId="1" applyFont="1" applyFill="1" applyBorder="1"/>
    <xf numFmtId="0" fontId="2" fillId="2" borderId="0" xfId="0" applyFont="1" applyFill="1"/>
    <xf numFmtId="3" fontId="6" fillId="2" borderId="0" xfId="0" applyNumberFormat="1" applyFont="1" applyFill="1"/>
    <xf numFmtId="164" fontId="0" fillId="2" borderId="26" xfId="1" applyNumberFormat="1" applyFont="1" applyFill="1" applyBorder="1"/>
    <xf numFmtId="164" fontId="0" fillId="2" borderId="12" xfId="1" applyNumberFormat="1" applyFont="1" applyFill="1" applyBorder="1"/>
    <xf numFmtId="3" fontId="0" fillId="2" borderId="19" xfId="0" applyNumberFormat="1" applyFont="1" applyFill="1" applyBorder="1" applyAlignment="1">
      <alignment horizontal="center"/>
    </xf>
    <xf numFmtId="3" fontId="0" fillId="2" borderId="28" xfId="0" applyNumberFormat="1" applyFont="1" applyFill="1" applyBorder="1"/>
    <xf numFmtId="0" fontId="22" fillId="0" borderId="0" xfId="0" applyFont="1"/>
    <xf numFmtId="3" fontId="0" fillId="0" borderId="27" xfId="0" applyNumberFormat="1" applyFont="1" applyBorder="1" applyAlignment="1">
      <alignment horizontal="right"/>
    </xf>
    <xf numFmtId="4" fontId="0" fillId="0" borderId="27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3" fontId="0" fillId="7" borderId="0" xfId="8" applyNumberFormat="1" applyFont="1" applyAlignment="1">
      <alignment horizontal="center"/>
    </xf>
    <xf numFmtId="3" fontId="14" fillId="4" borderId="0" xfId="4" applyNumberFormat="1" applyAlignment="1">
      <alignment horizontal="center"/>
    </xf>
    <xf numFmtId="3" fontId="0" fillId="0" borderId="28" xfId="0" applyNumberFormat="1" applyFont="1" applyBorder="1"/>
    <xf numFmtId="4" fontId="14" fillId="4" borderId="0" xfId="4" applyNumberFormat="1" applyAlignment="1">
      <alignment horizontal="center"/>
    </xf>
    <xf numFmtId="0" fontId="26" fillId="0" borderId="0" xfId="0" applyFont="1"/>
    <xf numFmtId="3" fontId="0" fillId="0" borderId="17" xfId="0" applyNumberFormat="1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3" fontId="0" fillId="8" borderId="12" xfId="0" applyNumberFormat="1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3" fontId="16" fillId="0" borderId="0" xfId="0" applyNumberFormat="1" applyFont="1"/>
    <xf numFmtId="170" fontId="0" fillId="0" borderId="28" xfId="0" applyNumberFormat="1" applyFont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3" fontId="0" fillId="2" borderId="26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2" borderId="27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3" fontId="0" fillId="0" borderId="0" xfId="0" quotePrefix="1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/>
    </xf>
    <xf numFmtId="3" fontId="0" fillId="2" borderId="0" xfId="0" applyNumberFormat="1" applyFill="1" applyAlignment="1">
      <alignment horizontal="center"/>
    </xf>
    <xf numFmtId="3" fontId="16" fillId="2" borderId="0" xfId="0" applyNumberFormat="1" applyFont="1" applyFill="1"/>
    <xf numFmtId="3" fontId="1" fillId="7" borderId="0" xfId="8" applyNumberForma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6" fillId="0" borderId="0" xfId="0" applyFont="1" applyAlignment="1">
      <alignment horizontal="left"/>
    </xf>
    <xf numFmtId="164" fontId="0" fillId="2" borderId="0" xfId="1" applyNumberFormat="1" applyFont="1" applyFill="1"/>
    <xf numFmtId="0" fontId="0" fillId="0" borderId="0" xfId="0" applyFont="1" applyAlignment="1" applyProtection="1">
      <alignment horizontal="center"/>
      <protection locked="0"/>
    </xf>
    <xf numFmtId="0" fontId="0" fillId="0" borderId="16" xfId="0" applyFont="1" applyBorder="1"/>
    <xf numFmtId="0" fontId="0" fillId="0" borderId="1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3" fontId="0" fillId="0" borderId="19" xfId="0" applyNumberFormat="1" applyFont="1" applyBorder="1" applyAlignment="1">
      <alignment horizontal="centerContinuous"/>
    </xf>
    <xf numFmtId="3" fontId="0" fillId="0" borderId="12" xfId="0" applyNumberFormat="1" applyFont="1" applyBorder="1" applyAlignment="1">
      <alignment horizontal="centerContinuous"/>
    </xf>
    <xf numFmtId="9" fontId="0" fillId="0" borderId="0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3" fontId="17" fillId="6" borderId="1" xfId="7" applyNumberFormat="1" applyBorder="1" applyAlignment="1">
      <alignment horizontal="center"/>
    </xf>
    <xf numFmtId="3" fontId="17" fillId="6" borderId="0" xfId="7" applyNumberFormat="1" applyAlignment="1">
      <alignment horizontal="left"/>
    </xf>
    <xf numFmtId="3" fontId="23" fillId="0" borderId="0" xfId="0" applyNumberFormat="1" applyFont="1" applyAlignment="1">
      <alignment horizontal="center"/>
    </xf>
    <xf numFmtId="4" fontId="14" fillId="4" borderId="0" xfId="4" applyNumberFormat="1" applyAlignment="1">
      <alignment horizontal="left"/>
    </xf>
    <xf numFmtId="3" fontId="15" fillId="5" borderId="0" xfId="5" applyNumberFormat="1" applyAlignment="1">
      <alignment horizontal="center"/>
    </xf>
    <xf numFmtId="4" fontId="15" fillId="5" borderId="0" xfId="5" applyNumberFormat="1" applyAlignment="1">
      <alignment horizontal="center"/>
    </xf>
    <xf numFmtId="0" fontId="28" fillId="0" borderId="0" xfId="0" applyFont="1" applyAlignment="1">
      <alignment horizontal="left" vertical="center"/>
    </xf>
    <xf numFmtId="9" fontId="0" fillId="0" borderId="0" xfId="1" applyFont="1" applyAlignment="1">
      <alignment horizontal="center"/>
    </xf>
    <xf numFmtId="3" fontId="17" fillId="6" borderId="0" xfId="7" applyNumberFormat="1" applyAlignment="1">
      <alignment horizontal="center"/>
    </xf>
    <xf numFmtId="3" fontId="27" fillId="0" borderId="0" xfId="0" applyNumberFormat="1" applyFont="1" applyAlignment="1">
      <alignment horizontal="center"/>
    </xf>
    <xf numFmtId="3" fontId="1" fillId="7" borderId="0" xfId="8" applyNumberFormat="1"/>
    <xf numFmtId="3" fontId="25" fillId="0" borderId="0" xfId="0" applyNumberFormat="1" applyFont="1" applyAlignment="1">
      <alignment horizontal="center"/>
    </xf>
    <xf numFmtId="0" fontId="12" fillId="2" borderId="16" xfId="0" applyFont="1" applyFill="1" applyBorder="1" applyProtection="1"/>
    <xf numFmtId="0" fontId="21" fillId="0" borderId="0" xfId="0" applyFont="1" applyAlignment="1">
      <alignment horizontal="center"/>
    </xf>
    <xf numFmtId="3" fontId="12" fillId="0" borderId="0" xfId="0" applyNumberFormat="1" applyFont="1"/>
    <xf numFmtId="0" fontId="34" fillId="2" borderId="0" xfId="0" applyFont="1" applyFill="1" applyBorder="1" applyAlignment="1">
      <alignment horizontal="center"/>
    </xf>
    <xf numFmtId="0" fontId="16" fillId="2" borderId="0" xfId="0" applyFont="1" applyFill="1"/>
    <xf numFmtId="0" fontId="0" fillId="2" borderId="20" xfId="0" applyFill="1" applyBorder="1" applyAlignment="1">
      <alignment horizontal="center"/>
    </xf>
    <xf numFmtId="0" fontId="21" fillId="2" borderId="20" xfId="0" applyFont="1" applyFill="1" applyBorder="1"/>
    <xf numFmtId="0" fontId="21" fillId="2" borderId="0" xfId="0" applyFont="1" applyFill="1" applyAlignment="1">
      <alignment horizontal="center"/>
    </xf>
    <xf numFmtId="3" fontId="12" fillId="2" borderId="0" xfId="0" applyNumberFormat="1" applyFont="1" applyFill="1"/>
    <xf numFmtId="3" fontId="2" fillId="0" borderId="0" xfId="0" applyNumberFormat="1" applyFont="1" applyAlignment="1">
      <alignment horizontal="center"/>
    </xf>
    <xf numFmtId="3" fontId="14" fillId="4" borderId="0" xfId="4" applyNumberFormat="1"/>
    <xf numFmtId="3" fontId="0" fillId="0" borderId="0" xfId="0" quotePrefix="1" applyNumberFormat="1" applyAlignment="1">
      <alignment horizontal="center"/>
    </xf>
    <xf numFmtId="3" fontId="0" fillId="0" borderId="20" xfId="0" applyNumberFormat="1" applyBorder="1"/>
    <xf numFmtId="3" fontId="0" fillId="0" borderId="20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6" fillId="0" borderId="0" xfId="0" applyFont="1"/>
    <xf numFmtId="3" fontId="2" fillId="0" borderId="0" xfId="0" quotePrefix="1" applyNumberFormat="1" applyFont="1" applyAlignment="1">
      <alignment horizontal="center"/>
    </xf>
    <xf numFmtId="0" fontId="0" fillId="0" borderId="13" xfId="0" quotePrefix="1" applyFont="1" applyBorder="1" applyAlignment="1">
      <alignment horizontal="center"/>
    </xf>
    <xf numFmtId="0" fontId="0" fillId="0" borderId="28" xfId="0" quotePrefix="1" applyFont="1" applyBorder="1" applyAlignment="1">
      <alignment horizontal="center"/>
    </xf>
    <xf numFmtId="0" fontId="0" fillId="0" borderId="29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16" fillId="0" borderId="16" xfId="0" applyFont="1" applyBorder="1"/>
    <xf numFmtId="166" fontId="17" fillId="6" borderId="16" xfId="7" applyNumberFormat="1" applyBorder="1" applyAlignment="1">
      <alignment horizontal="center"/>
    </xf>
    <xf numFmtId="166" fontId="17" fillId="6" borderId="17" xfId="7" applyNumberFormat="1" applyBorder="1" applyAlignment="1">
      <alignment horizontal="center"/>
    </xf>
    <xf numFmtId="166" fontId="17" fillId="6" borderId="26" xfId="7" applyNumberFormat="1" applyBorder="1" applyAlignment="1">
      <alignment horizontal="center"/>
    </xf>
    <xf numFmtId="0" fontId="12" fillId="0" borderId="18" xfId="0" quotePrefix="1" applyFont="1" applyBorder="1"/>
    <xf numFmtId="166" fontId="17" fillId="6" borderId="18" xfId="7" applyNumberFormat="1" applyBorder="1" applyAlignment="1">
      <alignment horizontal="center"/>
    </xf>
    <xf numFmtId="166" fontId="17" fillId="6" borderId="0" xfId="7" applyNumberFormat="1" applyBorder="1" applyAlignment="1">
      <alignment horizontal="center"/>
    </xf>
    <xf numFmtId="3" fontId="17" fillId="6" borderId="27" xfId="7" applyNumberFormat="1" applyBorder="1"/>
    <xf numFmtId="3" fontId="12" fillId="0" borderId="19" xfId="0" applyNumberFormat="1" applyFont="1" applyBorder="1"/>
    <xf numFmtId="3" fontId="17" fillId="6" borderId="0" xfId="7" applyNumberFormat="1" applyBorder="1"/>
    <xf numFmtId="3" fontId="17" fillId="6" borderId="19" xfId="7" applyNumberFormat="1" applyBorder="1"/>
    <xf numFmtId="3" fontId="17" fillId="6" borderId="20" xfId="7" applyNumberFormat="1" applyBorder="1"/>
    <xf numFmtId="3" fontId="17" fillId="6" borderId="12" xfId="7" applyNumberFormat="1" applyBorder="1"/>
    <xf numFmtId="3" fontId="36" fillId="0" borderId="1" xfId="0" applyNumberFormat="1" applyFont="1" applyBorder="1" applyAlignment="1">
      <alignment horizontal="center"/>
    </xf>
    <xf numFmtId="170" fontId="33" fillId="0" borderId="13" xfId="0" applyNumberFormat="1" applyFont="1" applyBorder="1" applyAlignment="1">
      <alignment horizontal="center"/>
    </xf>
    <xf numFmtId="170" fontId="33" fillId="0" borderId="28" xfId="0" applyNumberFormat="1" applyFont="1" applyBorder="1" applyAlignment="1">
      <alignment horizontal="center"/>
    </xf>
    <xf numFmtId="170" fontId="33" fillId="0" borderId="29" xfId="0" applyNumberFormat="1" applyFont="1" applyBorder="1" applyAlignment="1">
      <alignment horizontal="center"/>
    </xf>
    <xf numFmtId="170" fontId="5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3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3" fontId="27" fillId="0" borderId="1" xfId="0" applyNumberFormat="1" applyFont="1" applyBorder="1"/>
    <xf numFmtId="170" fontId="27" fillId="0" borderId="28" xfId="0" applyNumberFormat="1" applyFont="1" applyBorder="1" applyAlignment="1">
      <alignment horizontal="center"/>
    </xf>
    <xf numFmtId="170" fontId="5" fillId="0" borderId="29" xfId="0" applyNumberFormat="1" applyFont="1" applyBorder="1" applyAlignment="1">
      <alignment horizontal="center"/>
    </xf>
    <xf numFmtId="3" fontId="11" fillId="0" borderId="0" xfId="0" quotePrefix="1" applyNumberFormat="1" applyFont="1" applyAlignment="1">
      <alignment horizontal="center"/>
    </xf>
    <xf numFmtId="3" fontId="12" fillId="0" borderId="13" xfId="0" applyNumberFormat="1" applyFont="1" applyBorder="1"/>
    <xf numFmtId="3" fontId="6" fillId="0" borderId="0" xfId="0" quotePrefix="1" applyNumberFormat="1" applyFont="1"/>
    <xf numFmtId="0" fontId="2" fillId="0" borderId="13" xfId="0" quotePrefix="1" applyFont="1" applyBorder="1" applyAlignment="1">
      <alignment horizontal="center"/>
    </xf>
    <xf numFmtId="0" fontId="2" fillId="0" borderId="28" xfId="0" quotePrefix="1" applyFont="1" applyBorder="1" applyAlignment="1">
      <alignment horizontal="center"/>
    </xf>
    <xf numFmtId="0" fontId="2" fillId="0" borderId="29" xfId="0" quotePrefix="1" applyFont="1" applyBorder="1" applyAlignment="1">
      <alignment horizontal="center"/>
    </xf>
    <xf numFmtId="3" fontId="37" fillId="0" borderId="1" xfId="0" applyNumberFormat="1" applyFont="1" applyBorder="1"/>
    <xf numFmtId="3" fontId="35" fillId="0" borderId="28" xfId="0" applyNumberFormat="1" applyFont="1" applyBorder="1" applyAlignment="1">
      <alignment horizontal="center"/>
    </xf>
    <xf numFmtId="3" fontId="35" fillId="0" borderId="29" xfId="0" applyNumberFormat="1" applyFont="1" applyBorder="1" applyAlignment="1">
      <alignment horizontal="center"/>
    </xf>
    <xf numFmtId="3" fontId="0" fillId="0" borderId="1" xfId="0" applyNumberFormat="1" applyFont="1" applyBorder="1"/>
    <xf numFmtId="3" fontId="12" fillId="0" borderId="13" xfId="4" applyNumberFormat="1" applyFont="1" applyFill="1" applyBorder="1" applyAlignment="1">
      <alignment horizontal="center"/>
    </xf>
    <xf numFmtId="3" fontId="12" fillId="0" borderId="28" xfId="4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Continuous"/>
    </xf>
    <xf numFmtId="0" fontId="6" fillId="2" borderId="0" xfId="0" applyFont="1" applyFill="1"/>
    <xf numFmtId="3" fontId="0" fillId="0" borderId="0" xfId="0" applyNumberFormat="1" applyAlignment="1">
      <alignment horizontal="right"/>
    </xf>
    <xf numFmtId="4" fontId="17" fillId="6" borderId="0" xfId="7" applyNumberFormat="1" applyAlignment="1">
      <alignment horizontal="center"/>
    </xf>
    <xf numFmtId="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" fontId="0" fillId="2" borderId="16" xfId="0" applyNumberFormat="1" applyFill="1" applyBorder="1"/>
    <xf numFmtId="3" fontId="0" fillId="2" borderId="26" xfId="0" applyNumberFormat="1" applyFill="1" applyBorder="1"/>
    <xf numFmtId="3" fontId="0" fillId="2" borderId="27" xfId="0" applyNumberFormat="1" applyFill="1" applyBorder="1"/>
    <xf numFmtId="2" fontId="0" fillId="2" borderId="0" xfId="0" applyNumberFormat="1" applyFill="1"/>
    <xf numFmtId="3" fontId="0" fillId="2" borderId="26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3" fontId="0" fillId="2" borderId="18" xfId="0" applyNumberFormat="1" applyFill="1" applyBorder="1"/>
    <xf numFmtId="3" fontId="0" fillId="0" borderId="12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26" xfId="0" applyNumberFormat="1" applyBorder="1"/>
    <xf numFmtId="3" fontId="0" fillId="0" borderId="17" xfId="0" applyNumberFormat="1" applyBorder="1"/>
    <xf numFmtId="3" fontId="39" fillId="0" borderId="17" xfId="0" applyNumberFormat="1" applyFont="1" applyBorder="1"/>
    <xf numFmtId="0" fontId="0" fillId="0" borderId="12" xfId="0" applyBorder="1" applyAlignment="1">
      <alignment horizontal="center"/>
    </xf>
    <xf numFmtId="3" fontId="0" fillId="0" borderId="20" xfId="0" quotePrefix="1" applyNumberFormat="1" applyBorder="1" applyAlignment="1">
      <alignment horizontal="center"/>
    </xf>
    <xf numFmtId="3" fontId="40" fillId="0" borderId="17" xfId="0" applyNumberFormat="1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10" fontId="36" fillId="0" borderId="0" xfId="1" applyNumberFormat="1" applyFont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20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1" fontId="0" fillId="2" borderId="21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170" fontId="0" fillId="2" borderId="27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4" fontId="0" fillId="2" borderId="20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3" fontId="22" fillId="2" borderId="0" xfId="0" applyNumberFormat="1" applyFont="1" applyFill="1"/>
    <xf numFmtId="0" fontId="5" fillId="0" borderId="0" xfId="0" applyFont="1"/>
    <xf numFmtId="0" fontId="0" fillId="0" borderId="13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21" xfId="0" applyBorder="1" applyAlignment="1">
      <alignment horizontal="center"/>
    </xf>
    <xf numFmtId="0" fontId="12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quotePrefix="1" applyFont="1"/>
    <xf numFmtId="3" fontId="0" fillId="0" borderId="0" xfId="0" applyNumberFormat="1" applyAlignment="1">
      <alignment horizontal="centerContinuous"/>
    </xf>
    <xf numFmtId="1" fontId="0" fillId="8" borderId="0" xfId="0" applyNumberFormat="1" applyFill="1" applyAlignment="1">
      <alignment horizontal="center"/>
    </xf>
    <xf numFmtId="3" fontId="0" fillId="0" borderId="20" xfId="0" applyNumberFormat="1" applyBorder="1" applyAlignment="1">
      <alignment horizontal="right"/>
    </xf>
    <xf numFmtId="3" fontId="5" fillId="0" borderId="0" xfId="0" applyNumberFormat="1" applyFont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6" fillId="2" borderId="13" xfId="0" applyFont="1" applyFill="1" applyBorder="1" applyAlignment="1">
      <alignment horizontal="centerContinuous"/>
    </xf>
    <xf numFmtId="0" fontId="16" fillId="2" borderId="28" xfId="0" applyFont="1" applyFill="1" applyBorder="1" applyAlignment="1">
      <alignment horizontal="centerContinuous"/>
    </xf>
    <xf numFmtId="3" fontId="0" fillId="2" borderId="17" xfId="0" quotePrefix="1" applyNumberFormat="1" applyFill="1" applyBorder="1"/>
    <xf numFmtId="4" fontId="0" fillId="2" borderId="26" xfId="0" applyNumberFormat="1" applyFill="1" applyBorder="1" applyAlignment="1">
      <alignment horizontal="center"/>
    </xf>
    <xf numFmtId="3" fontId="0" fillId="2" borderId="0" xfId="0" quotePrefix="1" applyNumberFormat="1" applyFill="1" applyBorder="1"/>
    <xf numFmtId="4" fontId="0" fillId="2" borderId="27" xfId="0" applyNumberFormat="1" applyFill="1" applyBorder="1" applyAlignment="1">
      <alignment horizontal="center"/>
    </xf>
    <xf numFmtId="3" fontId="0" fillId="2" borderId="19" xfId="0" applyNumberFormat="1" applyFill="1" applyBorder="1"/>
    <xf numFmtId="3" fontId="0" fillId="2" borderId="20" xfId="0" quotePrefix="1" applyNumberFormat="1" applyFill="1" applyBorder="1"/>
    <xf numFmtId="3" fontId="0" fillId="2" borderId="12" xfId="0" applyNumberFormat="1" applyFill="1" applyBorder="1"/>
    <xf numFmtId="4" fontId="0" fillId="2" borderId="12" xfId="0" applyNumberFormat="1" applyFill="1" applyBorder="1" applyAlignment="1">
      <alignment horizontal="center"/>
    </xf>
    <xf numFmtId="3" fontId="0" fillId="0" borderId="15" xfId="0" applyNumberFormat="1" applyBorder="1"/>
    <xf numFmtId="3" fontId="0" fillId="0" borderId="17" xfId="0" applyNumberFormat="1" applyBorder="1" applyAlignment="1">
      <alignment horizontal="centerContinuous"/>
    </xf>
    <xf numFmtId="3" fontId="0" fillId="0" borderId="26" xfId="0" applyNumberFormat="1" applyBorder="1" applyAlignment="1">
      <alignment horizontal="centerContinuous"/>
    </xf>
    <xf numFmtId="2" fontId="0" fillId="0" borderId="14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0" fillId="8" borderId="0" xfId="0" applyNumberFormat="1" applyFill="1" applyAlignment="1">
      <alignment horizontal="center"/>
    </xf>
    <xf numFmtId="0" fontId="0" fillId="0" borderId="14" xfId="0" applyBorder="1" applyAlignment="1">
      <alignment horizontal="center"/>
    </xf>
    <xf numFmtId="0" fontId="27" fillId="0" borderId="0" xfId="0" applyFont="1" applyAlignment="1">
      <alignment horizontal="center"/>
    </xf>
    <xf numFmtId="3" fontId="0" fillId="7" borderId="0" xfId="8" applyNumberFormat="1" applyFont="1"/>
    <xf numFmtId="3" fontId="0" fillId="0" borderId="0" xfId="0" applyNumberFormat="1" applyFill="1" applyBorder="1" applyAlignment="1">
      <alignment horizontal="center"/>
    </xf>
    <xf numFmtId="3" fontId="0" fillId="0" borderId="27" xfId="0" applyNumberFormat="1" applyFill="1" applyBorder="1" applyAlignment="1">
      <alignment horizontal="center"/>
    </xf>
    <xf numFmtId="3" fontId="1" fillId="11" borderId="0" xfId="11" applyNumberFormat="1" applyAlignment="1">
      <alignment horizontal="center"/>
    </xf>
    <xf numFmtId="3" fontId="0" fillId="0" borderId="20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12" fillId="4" borderId="0" xfId="4" applyNumberFormat="1" applyFont="1"/>
    <xf numFmtId="1" fontId="0" fillId="0" borderId="13" xfId="0" quotePrefix="1" applyNumberFormat="1" applyFont="1" applyBorder="1" applyAlignment="1">
      <alignment horizontal="center"/>
    </xf>
    <xf numFmtId="166" fontId="12" fillId="0" borderId="16" xfId="7" applyNumberFormat="1" applyFont="1" applyFill="1" applyBorder="1" applyAlignment="1">
      <alignment horizontal="center"/>
    </xf>
    <xf numFmtId="166" fontId="12" fillId="0" borderId="17" xfId="7" applyNumberFormat="1" applyFont="1" applyFill="1" applyBorder="1" applyAlignment="1">
      <alignment horizontal="center"/>
    </xf>
    <xf numFmtId="166" fontId="12" fillId="0" borderId="26" xfId="7" applyNumberFormat="1" applyFont="1" applyFill="1" applyBorder="1" applyAlignment="1">
      <alignment horizontal="center"/>
    </xf>
    <xf numFmtId="166" fontId="12" fillId="0" borderId="18" xfId="7" applyNumberFormat="1" applyFont="1" applyFill="1" applyBorder="1" applyAlignment="1">
      <alignment horizontal="center"/>
    </xf>
    <xf numFmtId="166" fontId="12" fillId="0" borderId="0" xfId="7" applyNumberFormat="1" applyFont="1" applyFill="1" applyBorder="1" applyAlignment="1">
      <alignment horizontal="center"/>
    </xf>
    <xf numFmtId="3" fontId="12" fillId="0" borderId="27" xfId="7" applyNumberFormat="1" applyFont="1" applyFill="1" applyBorder="1"/>
    <xf numFmtId="3" fontId="12" fillId="0" borderId="0" xfId="7" applyNumberFormat="1" applyFont="1" applyFill="1" applyBorder="1"/>
    <xf numFmtId="3" fontId="12" fillId="0" borderId="19" xfId="7" applyNumberFormat="1" applyFont="1" applyFill="1" applyBorder="1"/>
    <xf numFmtId="3" fontId="12" fillId="0" borderId="20" xfId="7" applyNumberFormat="1" applyFont="1" applyFill="1" applyBorder="1"/>
    <xf numFmtId="3" fontId="12" fillId="0" borderId="12" xfId="7" applyNumberFormat="1" applyFont="1" applyFill="1" applyBorder="1"/>
    <xf numFmtId="3" fontId="0" fillId="2" borderId="15" xfId="0" applyNumberFormat="1" applyFill="1" applyBorder="1"/>
    <xf numFmtId="3" fontId="0" fillId="2" borderId="17" xfId="0" applyNumberFormat="1" applyFill="1" applyBorder="1" applyAlignment="1">
      <alignment horizontal="centerContinuous"/>
    </xf>
    <xf numFmtId="3" fontId="0" fillId="2" borderId="26" xfId="0" applyNumberFormat="1" applyFill="1" applyBorder="1" applyAlignment="1">
      <alignment horizontal="centerContinuous"/>
    </xf>
    <xf numFmtId="2" fontId="0" fillId="2" borderId="14" xfId="0" applyNumberFormat="1" applyFill="1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Continuous"/>
    </xf>
    <xf numFmtId="3" fontId="0" fillId="2" borderId="13" xfId="0" applyNumberFormat="1" applyFill="1" applyBorder="1"/>
    <xf numFmtId="3" fontId="0" fillId="2" borderId="28" xfId="0" applyNumberFormat="1" applyFill="1" applyBorder="1"/>
    <xf numFmtId="3" fontId="0" fillId="2" borderId="29" xfId="0" applyNumberFormat="1" applyFill="1" applyBorder="1"/>
    <xf numFmtId="0" fontId="38" fillId="2" borderId="0" xfId="0" applyFont="1" applyFill="1" applyBorder="1" applyProtection="1"/>
    <xf numFmtId="0" fontId="0" fillId="0" borderId="0" xfId="0" applyAlignment="1">
      <alignment horizontal="centerContinuous"/>
    </xf>
    <xf numFmtId="3" fontId="0" fillId="0" borderId="0" xfId="0" applyNumberFormat="1" applyFill="1" applyAlignment="1">
      <alignment horizontal="center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9" fontId="21" fillId="0" borderId="0" xfId="8" applyNumberFormat="1" applyFont="1" applyFill="1" applyAlignment="1">
      <alignment horizontal="center"/>
    </xf>
    <xf numFmtId="3" fontId="0" fillId="2" borderId="13" xfId="0" applyNumberFormat="1" applyFill="1" applyBorder="1" applyAlignment="1">
      <alignment horizontal="center"/>
    </xf>
    <xf numFmtId="3" fontId="0" fillId="2" borderId="28" xfId="0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3" fontId="12" fillId="9" borderId="28" xfId="7" applyNumberFormat="1" applyFont="1" applyFill="1" applyBorder="1" applyAlignment="1">
      <alignment horizontal="center"/>
    </xf>
    <xf numFmtId="3" fontId="12" fillId="9" borderId="29" xfId="4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10" fontId="0" fillId="0" borderId="0" xfId="1" applyNumberFormat="1" applyFont="1" applyFill="1" applyAlignment="1">
      <alignment horizontal="center"/>
    </xf>
    <xf numFmtId="10" fontId="35" fillId="0" borderId="0" xfId="1" applyNumberFormat="1" applyFont="1" applyFill="1" applyAlignment="1">
      <alignment horizontal="center"/>
    </xf>
    <xf numFmtId="0" fontId="42" fillId="0" borderId="0" xfId="0" quotePrefix="1" applyFont="1"/>
    <xf numFmtId="167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7" fontId="16" fillId="0" borderId="17" xfId="0" applyNumberFormat="1" applyFont="1" applyBorder="1" applyAlignment="1">
      <alignment horizontal="center"/>
    </xf>
    <xf numFmtId="10" fontId="0" fillId="0" borderId="16" xfId="1" applyNumberFormat="1" applyFont="1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16" fillId="0" borderId="17" xfId="0" applyFont="1" applyBorder="1"/>
    <xf numFmtId="0" fontId="0" fillId="0" borderId="1" xfId="0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21" xfId="0" applyFont="1" applyFill="1" applyBorder="1" applyAlignment="1">
      <alignment horizontal="center"/>
    </xf>
    <xf numFmtId="172" fontId="0" fillId="8" borderId="0" xfId="0" applyNumberFormat="1" applyFont="1" applyFill="1" applyBorder="1" applyAlignment="1">
      <alignment horizontal="center"/>
    </xf>
    <xf numFmtId="172" fontId="0" fillId="8" borderId="27" xfId="0" applyNumberFormat="1" applyFont="1" applyFill="1" applyBorder="1" applyAlignment="1">
      <alignment horizontal="center"/>
    </xf>
    <xf numFmtId="0" fontId="6" fillId="0" borderId="0" xfId="0" quotePrefix="1" applyFont="1"/>
    <xf numFmtId="0" fontId="0" fillId="0" borderId="14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44" fillId="0" borderId="0" xfId="0" applyFont="1"/>
    <xf numFmtId="0" fontId="44" fillId="0" borderId="0" xfId="0" quotePrefix="1" applyFont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44" fillId="0" borderId="20" xfId="0" applyFont="1" applyFill="1" applyBorder="1"/>
    <xf numFmtId="173" fontId="27" fillId="0" borderId="0" xfId="9" applyNumberFormat="1" applyFont="1" applyFill="1" applyAlignment="1">
      <alignment horizontal="right"/>
    </xf>
    <xf numFmtId="173" fontId="44" fillId="0" borderId="0" xfId="0" applyNumberFormat="1" applyFont="1" applyFill="1"/>
    <xf numFmtId="173" fontId="27" fillId="0" borderId="20" xfId="9" applyNumberFormat="1" applyFont="1" applyFill="1" applyBorder="1" applyAlignment="1">
      <alignment horizontal="right"/>
    </xf>
    <xf numFmtId="173" fontId="44" fillId="0" borderId="20" xfId="0" applyNumberFormat="1" applyFont="1" applyFill="1" applyBorder="1"/>
    <xf numFmtId="0" fontId="0" fillId="0" borderId="27" xfId="0" applyBorder="1"/>
    <xf numFmtId="173" fontId="27" fillId="0" borderId="0" xfId="0" applyNumberFormat="1" applyFont="1" applyFill="1"/>
    <xf numFmtId="0" fontId="0" fillId="2" borderId="0" xfId="0" applyFill="1" applyAlignment="1">
      <alignment horizontal="centerContinuous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0" fontId="0" fillId="2" borderId="20" xfId="0" quotePrefix="1" applyFill="1" applyBorder="1" applyAlignment="1">
      <alignment horizontal="center"/>
    </xf>
    <xf numFmtId="0" fontId="22" fillId="2" borderId="0" xfId="0" applyFont="1" applyFill="1"/>
    <xf numFmtId="172" fontId="0" fillId="2" borderId="0" xfId="9" applyNumberFormat="1" applyFont="1" applyFill="1" applyAlignment="1">
      <alignment horizontal="center"/>
    </xf>
    <xf numFmtId="0" fontId="43" fillId="2" borderId="13" xfId="4" applyFont="1" applyFill="1" applyBorder="1"/>
    <xf numFmtId="0" fontId="11" fillId="2" borderId="28" xfId="4" applyFont="1" applyFill="1" applyBorder="1"/>
    <xf numFmtId="164" fontId="11" fillId="2" borderId="28" xfId="4" applyNumberFormat="1" applyFont="1" applyFill="1" applyBorder="1"/>
    <xf numFmtId="0" fontId="11" fillId="2" borderId="29" xfId="4" applyFont="1" applyFill="1" applyBorder="1"/>
    <xf numFmtId="0" fontId="0" fillId="9" borderId="13" xfId="0" applyFill="1" applyBorder="1" applyAlignment="1">
      <alignment horizontal="centerContinuous"/>
    </xf>
    <xf numFmtId="0" fontId="0" fillId="9" borderId="29" xfId="0" applyFont="1" applyFill="1" applyBorder="1" applyAlignment="1">
      <alignment horizontal="centerContinuous"/>
    </xf>
    <xf numFmtId="3" fontId="0" fillId="0" borderId="16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18" xfId="0" applyNumberFormat="1" applyFont="1" applyBorder="1" applyAlignment="1">
      <alignment horizontal="right"/>
    </xf>
    <xf numFmtId="164" fontId="0" fillId="0" borderId="21" xfId="1" applyNumberFormat="1" applyFont="1" applyBorder="1"/>
    <xf numFmtId="3" fontId="0" fillId="0" borderId="16" xfId="0" applyNumberFormat="1" applyFont="1" applyBorder="1"/>
    <xf numFmtId="164" fontId="0" fillId="0" borderId="14" xfId="1" applyNumberFormat="1" applyFont="1" applyBorder="1"/>
    <xf numFmtId="164" fontId="14" fillId="4" borderId="0" xfId="4" applyNumberFormat="1"/>
    <xf numFmtId="3" fontId="0" fillId="0" borderId="0" xfId="0" applyNumberFormat="1" applyFont="1" applyAlignment="1">
      <alignment horizontal="centerContinuous"/>
    </xf>
    <xf numFmtId="0" fontId="34" fillId="0" borderId="0" xfId="0" applyFont="1"/>
    <xf numFmtId="3" fontId="27" fillId="0" borderId="0" xfId="0" quotePrefix="1" applyNumberFormat="1" applyFont="1"/>
    <xf numFmtId="164" fontId="0" fillId="0" borderId="0" xfId="1" applyNumberFormat="1" applyFont="1" applyAlignment="1">
      <alignment horizontal="centerContinuous"/>
    </xf>
    <xf numFmtId="3" fontId="14" fillId="4" borderId="13" xfId="4" applyNumberFormat="1" applyBorder="1" applyAlignment="1">
      <alignment horizontal="centerContinuous"/>
    </xf>
    <xf numFmtId="3" fontId="14" fillId="4" borderId="28" xfId="4" applyNumberFormat="1" applyBorder="1" applyAlignment="1">
      <alignment horizontal="centerContinuous"/>
    </xf>
    <xf numFmtId="3" fontId="14" fillId="4" borderId="28" xfId="4" quotePrefix="1" applyNumberFormat="1" applyBorder="1" applyAlignment="1">
      <alignment horizontal="center"/>
    </xf>
    <xf numFmtId="3" fontId="14" fillId="4" borderId="29" xfId="4" applyNumberFormat="1" applyBorder="1" applyAlignment="1">
      <alignment horizontal="center"/>
    </xf>
    <xf numFmtId="3" fontId="33" fillId="0" borderId="0" xfId="0" applyNumberFormat="1" applyFont="1"/>
    <xf numFmtId="3" fontId="0" fillId="2" borderId="16" xfId="0" applyNumberFormat="1" applyFont="1" applyFill="1" applyBorder="1" applyAlignment="1">
      <alignment horizontal="right"/>
    </xf>
    <xf numFmtId="3" fontId="16" fillId="2" borderId="26" xfId="0" applyNumberFormat="1" applyFont="1" applyFill="1" applyBorder="1" applyAlignment="1">
      <alignment horizontal="right"/>
    </xf>
    <xf numFmtId="3" fontId="0" fillId="2" borderId="19" xfId="0" applyNumberFormat="1" applyFont="1" applyFill="1" applyBorder="1" applyAlignment="1">
      <alignment horizontal="right"/>
    </xf>
    <xf numFmtId="3" fontId="16" fillId="2" borderId="12" xfId="0" applyNumberFormat="1" applyFont="1" applyFill="1" applyBorder="1" applyAlignment="1">
      <alignment horizontal="right"/>
    </xf>
    <xf numFmtId="9" fontId="0" fillId="2" borderId="14" xfId="1" applyFont="1" applyFill="1" applyBorder="1"/>
    <xf numFmtId="9" fontId="0" fillId="2" borderId="15" xfId="1" applyFont="1" applyFill="1" applyBorder="1"/>
    <xf numFmtId="0" fontId="15" fillId="5" borderId="0" xfId="5"/>
    <xf numFmtId="0" fontId="4" fillId="2" borderId="6" xfId="0" quotePrefix="1" applyFont="1" applyFill="1" applyBorder="1" applyAlignment="1" applyProtection="1">
      <alignment horizontal="center"/>
    </xf>
    <xf numFmtId="10" fontId="0" fillId="0" borderId="0" xfId="0" quotePrefix="1" applyNumberFormat="1"/>
    <xf numFmtId="10" fontId="12" fillId="2" borderId="0" xfId="0" quotePrefix="1" applyNumberFormat="1" applyFont="1" applyFill="1" applyBorder="1" applyProtection="1"/>
    <xf numFmtId="0" fontId="0" fillId="0" borderId="0" xfId="0"/>
    <xf numFmtId="1" fontId="0" fillId="3" borderId="1" xfId="0" applyNumberFormat="1" applyFont="1" applyFill="1" applyBorder="1" applyAlignment="1">
      <alignment horizontal="center"/>
    </xf>
    <xf numFmtId="3" fontId="0" fillId="2" borderId="0" xfId="0" quotePrefix="1" applyNumberFormat="1" applyFont="1" applyFill="1"/>
    <xf numFmtId="3" fontId="0" fillId="2" borderId="20" xfId="0" applyNumberFormat="1" applyFill="1" applyBorder="1"/>
    <xf numFmtId="3" fontId="2" fillId="2" borderId="0" xfId="0" applyNumberFormat="1" applyFont="1" applyFill="1" applyAlignment="1">
      <alignment horizontal="center"/>
    </xf>
    <xf numFmtId="3" fontId="2" fillId="2" borderId="20" xfId="0" quotePrefix="1" applyNumberFormat="1" applyFont="1" applyFill="1" applyBorder="1" applyAlignment="1">
      <alignment horizontal="center"/>
    </xf>
    <xf numFmtId="0" fontId="11" fillId="2" borderId="0" xfId="0" applyFont="1" applyFill="1" applyBorder="1" applyProtection="1"/>
    <xf numFmtId="3" fontId="2" fillId="2" borderId="20" xfId="0" applyNumberFormat="1" applyFont="1" applyFill="1" applyBorder="1" applyAlignment="1">
      <alignment horizontal="center"/>
    </xf>
    <xf numFmtId="3" fontId="0" fillId="2" borderId="20" xfId="0" quotePrefix="1" applyNumberFormat="1" applyFont="1" applyFill="1" applyBorder="1"/>
    <xf numFmtId="3" fontId="2" fillId="2" borderId="0" xfId="0" quotePrefix="1" applyNumberFormat="1" applyFont="1" applyFill="1" applyAlignment="1">
      <alignment horizontal="center"/>
    </xf>
    <xf numFmtId="3" fontId="2" fillId="2" borderId="20" xfId="0" applyNumberFormat="1" applyFont="1" applyFill="1" applyBorder="1"/>
    <xf numFmtId="3" fontId="16" fillId="2" borderId="0" xfId="0" quotePrefix="1" applyNumberFormat="1" applyFont="1" applyFill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27" fillId="0" borderId="0" xfId="0" applyFont="1"/>
    <xf numFmtId="3" fontId="0" fillId="0" borderId="0" xfId="0" applyNumberFormat="1" applyFont="1" applyAlignment="1">
      <alignment horizontal="center"/>
    </xf>
    <xf numFmtId="3" fontId="0" fillId="0" borderId="0" xfId="0" applyNumberFormat="1" applyFont="1"/>
    <xf numFmtId="3" fontId="2" fillId="0" borderId="0" xfId="0" applyNumberFormat="1" applyFont="1"/>
    <xf numFmtId="3" fontId="27" fillId="0" borderId="0" xfId="0" applyNumberFormat="1" applyFont="1"/>
    <xf numFmtId="0" fontId="0" fillId="0" borderId="0" xfId="0" applyFont="1" applyAlignment="1">
      <alignment horizontal="centerContinuous"/>
    </xf>
    <xf numFmtId="3" fontId="0" fillId="0" borderId="27" xfId="0" applyNumberFormat="1" applyFont="1" applyBorder="1"/>
    <xf numFmtId="3" fontId="0" fillId="0" borderId="20" xfId="0" applyNumberFormat="1" applyFont="1" applyBorder="1"/>
    <xf numFmtId="1" fontId="0" fillId="8" borderId="0" xfId="0" applyNumberFormat="1" applyFont="1" applyFill="1" applyAlignment="1">
      <alignment horizontal="center"/>
    </xf>
    <xf numFmtId="0" fontId="0" fillId="8" borderId="0" xfId="0" applyFont="1" applyFill="1" applyAlignment="1">
      <alignment horizontal="centerContinuous"/>
    </xf>
    <xf numFmtId="0" fontId="27" fillId="0" borderId="0" xfId="0" applyFont="1" applyAlignment="1">
      <alignment horizontal="centerContinuous"/>
    </xf>
    <xf numFmtId="3" fontId="0" fillId="0" borderId="20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20" xfId="0" applyNumberFormat="1" applyFont="1" applyBorder="1"/>
    <xf numFmtId="3" fontId="0" fillId="0" borderId="12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1" fontId="0" fillId="8" borderId="0" xfId="0" applyNumberFormat="1" applyFont="1" applyFill="1" applyAlignment="1">
      <alignment horizontal="centerContinuous"/>
    </xf>
    <xf numFmtId="0" fontId="0" fillId="0" borderId="26" xfId="0" applyBorder="1"/>
    <xf numFmtId="0" fontId="0" fillId="0" borderId="17" xfId="0" applyBorder="1"/>
    <xf numFmtId="3" fontId="14" fillId="4" borderId="17" xfId="4" applyNumberFormat="1" applyBorder="1"/>
    <xf numFmtId="0" fontId="22" fillId="0" borderId="17" xfId="0" applyFont="1" applyBorder="1" applyAlignment="1">
      <alignment horizontal="right"/>
    </xf>
    <xf numFmtId="0" fontId="5" fillId="0" borderId="17" xfId="0" quotePrefix="1" applyFont="1" applyBorder="1" applyAlignment="1">
      <alignment horizontal="center"/>
    </xf>
    <xf numFmtId="3" fontId="27" fillId="0" borderId="20" xfId="0" applyNumberFormat="1" applyFont="1" applyBorder="1"/>
    <xf numFmtId="3" fontId="21" fillId="0" borderId="0" xfId="0" applyNumberFormat="1" applyFont="1"/>
    <xf numFmtId="3" fontId="21" fillId="0" borderId="20" xfId="0" applyNumberFormat="1" applyFont="1" applyBorder="1"/>
    <xf numFmtId="3" fontId="0" fillId="2" borderId="0" xfId="0" applyNumberFormat="1" applyFill="1" applyBorder="1" applyAlignment="1">
      <alignment horizontal="right"/>
    </xf>
    <xf numFmtId="3" fontId="0" fillId="2" borderId="20" xfId="0" applyNumberFormat="1" applyFill="1" applyBorder="1" applyAlignment="1">
      <alignment horizontal="right"/>
    </xf>
    <xf numFmtId="0" fontId="12" fillId="2" borderId="13" xfId="0" applyFont="1" applyFill="1" applyBorder="1" applyProtection="1"/>
    <xf numFmtId="0" fontId="12" fillId="2" borderId="28" xfId="0" applyFont="1" applyFill="1" applyBorder="1" applyProtection="1"/>
    <xf numFmtId="0" fontId="12" fillId="2" borderId="29" xfId="0" applyFont="1" applyFill="1" applyBorder="1" applyProtection="1"/>
    <xf numFmtId="0" fontId="43" fillId="2" borderId="29" xfId="0" applyFont="1" applyFill="1" applyBorder="1" applyAlignment="1" applyProtection="1">
      <alignment horizontal="right"/>
    </xf>
    <xf numFmtId="3" fontId="15" fillId="5" borderId="20" xfId="5" applyNumberFormat="1" applyBorder="1" applyAlignment="1">
      <alignment horizontal="right"/>
    </xf>
    <xf numFmtId="0" fontId="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0" fontId="0" fillId="2" borderId="27" xfId="0" applyFill="1" applyBorder="1"/>
    <xf numFmtId="0" fontId="12" fillId="2" borderId="26" xfId="0" applyFont="1" applyFill="1" applyBorder="1" applyProtection="1"/>
    <xf numFmtId="9" fontId="0" fillId="2" borderId="26" xfId="0" applyNumberFormat="1" applyFill="1" applyBorder="1"/>
    <xf numFmtId="165" fontId="0" fillId="2" borderId="12" xfId="0" applyNumberFormat="1" applyFill="1" applyBorder="1" applyAlignment="1">
      <alignment horizontal="right"/>
    </xf>
    <xf numFmtId="0" fontId="11" fillId="2" borderId="0" xfId="0" applyFont="1" applyFill="1" applyBorder="1" applyAlignment="1" applyProtection="1">
      <alignment horizontal="right"/>
    </xf>
    <xf numFmtId="0" fontId="14" fillId="4" borderId="15" xfId="4" applyBorder="1"/>
    <xf numFmtId="0" fontId="14" fillId="4" borderId="21" xfId="4" applyBorder="1"/>
    <xf numFmtId="0" fontId="14" fillId="4" borderId="14" xfId="4" applyBorder="1"/>
    <xf numFmtId="0" fontId="0" fillId="0" borderId="13" xfId="0" applyBorder="1"/>
    <xf numFmtId="167" fontId="0" fillId="0" borderId="27" xfId="0" applyNumberFormat="1" applyFont="1" applyBorder="1" applyProtection="1">
      <protection locked="0"/>
    </xf>
    <xf numFmtId="167" fontId="0" fillId="0" borderId="12" xfId="0" applyNumberFormat="1" applyFont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2" borderId="1" xfId="0" applyFont="1" applyFill="1" applyBorder="1" applyAlignment="1" applyProtection="1">
      <alignment horizontal="center"/>
      <protection locked="0"/>
    </xf>
    <xf numFmtId="3" fontId="0" fillId="2" borderId="28" xfId="0" applyNumberFormat="1" applyFont="1" applyFill="1" applyBorder="1" applyAlignment="1">
      <alignment horizontal="center"/>
    </xf>
    <xf numFmtId="3" fontId="0" fillId="2" borderId="29" xfId="0" applyNumberFormat="1" applyFont="1" applyFill="1" applyBorder="1" applyAlignment="1">
      <alignment horizontal="center"/>
    </xf>
    <xf numFmtId="3" fontId="0" fillId="2" borderId="27" xfId="0" quotePrefix="1" applyNumberFormat="1" applyFont="1" applyFill="1" applyBorder="1" applyAlignment="1">
      <alignment horizontal="center"/>
    </xf>
    <xf numFmtId="3" fontId="0" fillId="2" borderId="12" xfId="0" quotePrefix="1" applyNumberFormat="1" applyFont="1" applyFill="1" applyBorder="1" applyAlignment="1">
      <alignment horizontal="center"/>
    </xf>
    <xf numFmtId="3" fontId="2" fillId="2" borderId="1" xfId="0" applyNumberFormat="1" applyFont="1" applyFill="1" applyBorder="1"/>
    <xf numFmtId="0" fontId="33" fillId="0" borderId="0" xfId="0" applyFont="1" applyAlignment="1">
      <alignment horizontal="center"/>
    </xf>
    <xf numFmtId="0" fontId="33" fillId="0" borderId="0" xfId="0" quotePrefix="1" applyFont="1"/>
    <xf numFmtId="3" fontId="5" fillId="0" borderId="0" xfId="0" quotePrefix="1" applyNumberFormat="1" applyFont="1" applyAlignment="1">
      <alignment horizontal="center"/>
    </xf>
    <xf numFmtId="3" fontId="12" fillId="0" borderId="0" xfId="0" quotePrefix="1" applyNumberFormat="1" applyFont="1" applyAlignment="1">
      <alignment horizontal="center"/>
    </xf>
    <xf numFmtId="164" fontId="12" fillId="0" borderId="0" xfId="1" applyNumberFormat="1" applyFont="1" applyAlignment="1">
      <alignment horizontal="center"/>
    </xf>
    <xf numFmtId="164" fontId="27" fillId="0" borderId="17" xfId="1" applyNumberFormat="1" applyFont="1" applyBorder="1" applyAlignment="1">
      <alignment horizontal="center"/>
    </xf>
    <xf numFmtId="164" fontId="33" fillId="0" borderId="17" xfId="1" applyNumberFormat="1" applyFont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4" fontId="33" fillId="0" borderId="0" xfId="1" applyNumberFormat="1" applyFont="1" applyAlignment="1">
      <alignment horizontal="center"/>
    </xf>
    <xf numFmtId="164" fontId="14" fillId="4" borderId="0" xfId="4" applyNumberFormat="1" applyAlignment="1">
      <alignment horizontal="center"/>
    </xf>
    <xf numFmtId="170" fontId="0" fillId="2" borderId="21" xfId="0" applyNumberFormat="1" applyFont="1" applyFill="1" applyBorder="1" applyAlignment="1">
      <alignment horizontal="center"/>
    </xf>
    <xf numFmtId="170" fontId="0" fillId="2" borderId="14" xfId="0" applyNumberFormat="1" applyFont="1" applyFill="1" applyBorder="1" applyAlignment="1">
      <alignment horizontal="center"/>
    </xf>
    <xf numFmtId="0" fontId="0" fillId="0" borderId="0" xfId="0" quotePrefix="1" applyFont="1"/>
    <xf numFmtId="0" fontId="21" fillId="0" borderId="16" xfId="0" applyFont="1" applyBorder="1"/>
    <xf numFmtId="0" fontId="21" fillId="0" borderId="26" xfId="0" applyFont="1" applyBorder="1"/>
    <xf numFmtId="0" fontId="0" fillId="0" borderId="21" xfId="0" applyFont="1" applyBorder="1" applyAlignment="1">
      <alignment horizontal="center"/>
    </xf>
    <xf numFmtId="3" fontId="0" fillId="0" borderId="18" xfId="0" applyNumberFormat="1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19" xfId="0" applyNumberFormat="1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27" xfId="0" applyNumberFormat="1" applyFont="1" applyFill="1" applyBorder="1"/>
    <xf numFmtId="170" fontId="17" fillId="6" borderId="0" xfId="7" applyNumberFormat="1" applyBorder="1" applyAlignment="1">
      <alignment horizontal="center"/>
    </xf>
    <xf numFmtId="166" fontId="16" fillId="0" borderId="21" xfId="0" applyNumberFormat="1" applyFont="1" applyBorder="1" applyAlignment="1">
      <alignment horizontal="center"/>
    </xf>
    <xf numFmtId="4" fontId="0" fillId="0" borderId="18" xfId="0" applyNumberFormat="1" applyFont="1" applyFill="1" applyBorder="1" applyAlignment="1">
      <alignment horizontal="center"/>
    </xf>
    <xf numFmtId="166" fontId="1" fillId="7" borderId="27" xfId="8" applyNumberFormat="1" applyBorder="1" applyAlignment="1">
      <alignment horizontal="center"/>
    </xf>
    <xf numFmtId="166" fontId="0" fillId="0" borderId="21" xfId="0" applyNumberFormat="1" applyFont="1" applyBorder="1" applyAlignment="1">
      <alignment horizontal="center"/>
    </xf>
    <xf numFmtId="3" fontId="0" fillId="0" borderId="20" xfId="0" applyNumberFormat="1" applyFont="1" applyFill="1" applyBorder="1" applyAlignment="1">
      <alignment horizontal="center"/>
    </xf>
    <xf numFmtId="3" fontId="0" fillId="0" borderId="12" xfId="0" applyNumberFormat="1" applyFont="1" applyFill="1" applyBorder="1"/>
    <xf numFmtId="170" fontId="17" fillId="6" borderId="20" xfId="7" applyNumberFormat="1" applyBorder="1" applyAlignment="1">
      <alignment horizontal="center"/>
    </xf>
    <xf numFmtId="166" fontId="16" fillId="0" borderId="14" xfId="0" applyNumberFormat="1" applyFont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166" fontId="1" fillId="7" borderId="12" xfId="8" applyNumberFormat="1" applyBorder="1" applyAlignment="1">
      <alignment horizontal="center"/>
    </xf>
    <xf numFmtId="166" fontId="0" fillId="0" borderId="14" xfId="0" applyNumberFormat="1" applyFont="1" applyBorder="1" applyAlignment="1">
      <alignment horizontal="center"/>
    </xf>
    <xf numFmtId="0" fontId="0" fillId="0" borderId="14" xfId="0" quotePrefix="1" applyFont="1" applyBorder="1" applyAlignment="1">
      <alignment horizontal="center"/>
    </xf>
    <xf numFmtId="166" fontId="21" fillId="0" borderId="13" xfId="0" applyNumberFormat="1" applyFont="1" applyBorder="1" applyAlignment="1">
      <alignment horizontal="center"/>
    </xf>
    <xf numFmtId="166" fontId="0" fillId="0" borderId="12" xfId="0" applyNumberFormat="1" applyFont="1" applyBorder="1" applyAlignment="1">
      <alignment horizontal="center"/>
    </xf>
    <xf numFmtId="170" fontId="36" fillId="0" borderId="14" xfId="0" quotePrefix="1" applyNumberFormat="1" applyFont="1" applyBorder="1" applyAlignment="1">
      <alignment horizontal="center"/>
    </xf>
    <xf numFmtId="3" fontId="21" fillId="0" borderId="0" xfId="0" quotePrefix="1" applyNumberFormat="1" applyFont="1" applyAlignment="1">
      <alignment horizontal="center"/>
    </xf>
    <xf numFmtId="3" fontId="21" fillId="0" borderId="0" xfId="0" quotePrefix="1" applyNumberFormat="1" applyFont="1"/>
    <xf numFmtId="3" fontId="1" fillId="7" borderId="0" xfId="8" quotePrefix="1" applyNumberFormat="1" applyAlignment="1">
      <alignment horizontal="center"/>
    </xf>
    <xf numFmtId="3" fontId="1" fillId="7" borderId="0" xfId="8" quotePrefix="1" applyNumberFormat="1"/>
    <xf numFmtId="0" fontId="0" fillId="0" borderId="0" xfId="0" quotePrefix="1" applyFont="1" applyAlignment="1">
      <alignment horizontal="center"/>
    </xf>
    <xf numFmtId="0" fontId="36" fillId="0" borderId="0" xfId="0" applyFont="1" applyAlignment="1">
      <alignment horizontal="center"/>
    </xf>
    <xf numFmtId="3" fontId="33" fillId="0" borderId="0" xfId="0" quotePrefix="1" applyNumberFormat="1" applyFont="1"/>
    <xf numFmtId="3" fontId="16" fillId="0" borderId="0" xfId="0" quotePrefix="1" applyNumberFormat="1" applyFont="1"/>
    <xf numFmtId="3" fontId="21" fillId="0" borderId="16" xfId="0" applyNumberFormat="1" applyFont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27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170" fontId="0" fillId="0" borderId="18" xfId="0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14" fillId="4" borderId="27" xfId="4" applyNumberFormat="1" applyBorder="1" applyAlignment="1">
      <alignment horizontal="center"/>
    </xf>
    <xf numFmtId="164" fontId="14" fillId="4" borderId="21" xfId="4" applyNumberFormat="1" applyBorder="1" applyAlignment="1">
      <alignment horizontal="center"/>
    </xf>
    <xf numFmtId="170" fontId="0" fillId="0" borderId="19" xfId="0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164" fontId="14" fillId="4" borderId="12" xfId="4" applyNumberFormat="1" applyBorder="1" applyAlignment="1">
      <alignment horizontal="center"/>
    </xf>
    <xf numFmtId="164" fontId="14" fillId="4" borderId="14" xfId="4" applyNumberForma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3" fontId="5" fillId="0" borderId="0" xfId="0" quotePrefix="1" applyNumberFormat="1" applyFont="1"/>
    <xf numFmtId="164" fontId="0" fillId="0" borderId="0" xfId="1" applyNumberFormat="1" applyFont="1" applyAlignment="1">
      <alignment horizontal="left"/>
    </xf>
    <xf numFmtId="170" fontId="12" fillId="0" borderId="0" xfId="0" applyNumberFormat="1" applyFont="1" applyFill="1" applyBorder="1"/>
    <xf numFmtId="170" fontId="15" fillId="5" borderId="27" xfId="5" applyNumberFormat="1" applyBorder="1"/>
    <xf numFmtId="170" fontId="12" fillId="0" borderId="20" xfId="0" applyNumberFormat="1" applyFont="1" applyFill="1" applyBorder="1"/>
    <xf numFmtId="170" fontId="15" fillId="5" borderId="12" xfId="5" applyNumberFormat="1" applyBorder="1"/>
    <xf numFmtId="171" fontId="0" fillId="0" borderId="0" xfId="0" applyNumberFormat="1" applyFont="1"/>
    <xf numFmtId="167" fontId="17" fillId="6" borderId="17" xfId="7" applyNumberFormat="1" applyBorder="1"/>
    <xf numFmtId="0" fontId="16" fillId="0" borderId="0" xfId="0" applyFont="1" applyAlignment="1">
      <alignment horizontal="center"/>
    </xf>
    <xf numFmtId="0" fontId="0" fillId="7" borderId="0" xfId="8" applyFont="1" applyAlignment="1">
      <alignment horizontal="center"/>
    </xf>
    <xf numFmtId="3" fontId="0" fillId="0" borderId="0" xfId="0" quotePrefix="1" applyNumberFormat="1" applyAlignment="1">
      <alignment horizontal="left"/>
    </xf>
    <xf numFmtId="0" fontId="0" fillId="0" borderId="0" xfId="0" quotePrefix="1" applyFont="1" applyAlignment="1">
      <alignment horizontal="left"/>
    </xf>
    <xf numFmtId="4" fontId="0" fillId="0" borderId="0" xfId="0" quotePrefix="1" applyNumberFormat="1" applyAlignment="1">
      <alignment horizontal="left"/>
    </xf>
    <xf numFmtId="2" fontId="0" fillId="0" borderId="0" xfId="0" applyNumberFormat="1" applyFont="1" applyAlignment="1">
      <alignment horizontal="left"/>
    </xf>
    <xf numFmtId="4" fontId="1" fillId="7" borderId="0" xfId="8" applyNumberFormat="1" applyAlignment="1">
      <alignment horizontal="left"/>
    </xf>
    <xf numFmtId="167" fontId="17" fillId="6" borderId="0" xfId="7" applyNumberFormat="1"/>
    <xf numFmtId="3" fontId="23" fillId="2" borderId="1" xfId="0" applyNumberFormat="1" applyFont="1" applyFill="1" applyBorder="1" applyAlignment="1">
      <alignment horizontal="center"/>
    </xf>
    <xf numFmtId="170" fontId="12" fillId="2" borderId="0" xfId="0" applyNumberFormat="1" applyFont="1" applyFill="1" applyBorder="1"/>
    <xf numFmtId="170" fontId="12" fillId="2" borderId="27" xfId="0" applyNumberFormat="1" applyFont="1" applyFill="1" applyBorder="1"/>
    <xf numFmtId="170" fontId="12" fillId="2" borderId="20" xfId="0" applyNumberFormat="1" applyFont="1" applyFill="1" applyBorder="1"/>
    <xf numFmtId="170" fontId="12" fillId="2" borderId="12" xfId="0" applyNumberFormat="1" applyFont="1" applyFill="1" applyBorder="1"/>
    <xf numFmtId="3" fontId="12" fillId="2" borderId="20" xfId="0" applyNumberFormat="1" applyFont="1" applyFill="1" applyBorder="1"/>
    <xf numFmtId="3" fontId="12" fillId="2" borderId="12" xfId="0" applyNumberFormat="1" applyFont="1" applyFill="1" applyBorder="1"/>
    <xf numFmtId="4" fontId="0" fillId="2" borderId="29" xfId="0" applyNumberFormat="1" applyFont="1" applyFill="1" applyBorder="1"/>
    <xf numFmtId="0" fontId="0" fillId="2" borderId="29" xfId="0" applyFont="1" applyFill="1" applyBorder="1"/>
    <xf numFmtId="9" fontId="0" fillId="2" borderId="1" xfId="1" applyFont="1" applyFill="1" applyBorder="1" applyAlignment="1">
      <alignment horizontal="center"/>
    </xf>
    <xf numFmtId="3" fontId="12" fillId="2" borderId="21" xfId="7" applyNumberFormat="1" applyFont="1" applyFill="1" applyBorder="1" applyAlignment="1">
      <alignment horizontal="center"/>
    </xf>
    <xf numFmtId="3" fontId="12" fillId="2" borderId="14" xfId="7" applyNumberFormat="1" applyFont="1" applyFill="1" applyBorder="1" applyAlignment="1">
      <alignment horizontal="center"/>
    </xf>
    <xf numFmtId="3" fontId="52" fillId="2" borderId="1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3" fontId="0" fillId="2" borderId="27" xfId="0" applyNumberFormat="1" applyFont="1" applyFill="1" applyBorder="1" applyAlignment="1">
      <alignment horizontal="right"/>
    </xf>
    <xf numFmtId="3" fontId="21" fillId="2" borderId="28" xfId="0" applyNumberFormat="1" applyFont="1" applyFill="1" applyBorder="1"/>
    <xf numFmtId="4" fontId="5" fillId="2" borderId="26" xfId="0" applyNumberFormat="1" applyFont="1" applyFill="1" applyBorder="1"/>
    <xf numFmtId="4" fontId="5" fillId="2" borderId="27" xfId="0" applyNumberFormat="1" applyFont="1" applyFill="1" applyBorder="1"/>
    <xf numFmtId="4" fontId="0" fillId="2" borderId="12" xfId="0" applyNumberFormat="1" applyFont="1" applyFill="1" applyBorder="1"/>
    <xf numFmtId="3" fontId="16" fillId="2" borderId="16" xfId="0" applyNumberFormat="1" applyFont="1" applyFill="1" applyBorder="1"/>
    <xf numFmtId="3" fontId="16" fillId="2" borderId="18" xfId="0" applyNumberFormat="1" applyFont="1" applyFill="1" applyBorder="1"/>
    <xf numFmtId="4" fontId="5" fillId="0" borderId="0" xfId="0" applyNumberFormat="1" applyFont="1" applyAlignment="1">
      <alignment horizontal="center"/>
    </xf>
    <xf numFmtId="3" fontId="1" fillId="12" borderId="0" xfId="14" applyNumberFormat="1"/>
    <xf numFmtId="166" fontId="14" fillId="4" borderId="0" xfId="4" applyNumberFormat="1" applyAlignment="1">
      <alignment horizontal="center"/>
    </xf>
    <xf numFmtId="0" fontId="25" fillId="0" borderId="0" xfId="0" applyFont="1" applyAlignment="1">
      <alignment horizontal="centerContinuous"/>
    </xf>
    <xf numFmtId="0" fontId="0" fillId="0" borderId="27" xfId="0" applyBorder="1" applyAlignment="1">
      <alignment horizontal="centerContinuous"/>
    </xf>
    <xf numFmtId="3" fontId="15" fillId="5" borderId="27" xfId="5" applyNumberFormat="1" applyBorder="1"/>
    <xf numFmtId="3" fontId="1" fillId="7" borderId="27" xfId="8" applyNumberFormat="1" applyBorder="1"/>
    <xf numFmtId="3" fontId="1" fillId="11" borderId="0" xfId="11" applyNumberFormat="1"/>
    <xf numFmtId="3" fontId="0" fillId="0" borderId="27" xfId="0" applyNumberFormat="1" applyBorder="1"/>
    <xf numFmtId="0" fontId="17" fillId="6" borderId="0" xfId="7" applyAlignment="1">
      <alignment horizontal="centerContinuous"/>
    </xf>
    <xf numFmtId="0" fontId="2" fillId="0" borderId="20" xfId="0" applyFont="1" applyBorder="1" applyAlignment="1"/>
    <xf numFmtId="0" fontId="2" fillId="0" borderId="27" xfId="0" applyFont="1" applyBorder="1" applyAlignment="1">
      <alignment horizontal="center"/>
    </xf>
    <xf numFmtId="3" fontId="15" fillId="5" borderId="0" xfId="5" applyNumberFormat="1"/>
    <xf numFmtId="0" fontId="14" fillId="4" borderId="0" xfId="4" applyAlignment="1">
      <alignment horizontal="centerContinuous"/>
    </xf>
    <xf numFmtId="3" fontId="33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centerContinuous"/>
    </xf>
    <xf numFmtId="0" fontId="0" fillId="2" borderId="27" xfId="0" applyFill="1" applyBorder="1" applyAlignment="1">
      <alignment horizontal="centerContinuous"/>
    </xf>
    <xf numFmtId="3" fontId="0" fillId="2" borderId="0" xfId="0" applyNumberFormat="1" applyFill="1" applyAlignment="1">
      <alignment horizontal="right"/>
    </xf>
    <xf numFmtId="0" fontId="34" fillId="13" borderId="0" xfId="0" applyFont="1" applyFill="1" applyBorder="1" applyAlignment="1">
      <alignment horizontal="center"/>
    </xf>
    <xf numFmtId="0" fontId="16" fillId="13" borderId="0" xfId="0" applyFont="1" applyFill="1"/>
    <xf numFmtId="0" fontId="0" fillId="13" borderId="0" xfId="0" applyFill="1"/>
    <xf numFmtId="0" fontId="0" fillId="13" borderId="20" xfId="0" applyFill="1" applyBorder="1" applyAlignment="1">
      <alignment horizontal="center"/>
    </xf>
    <xf numFmtId="0" fontId="21" fillId="13" borderId="20" xfId="0" applyFont="1" applyFill="1" applyBorder="1"/>
    <xf numFmtId="4" fontId="12" fillId="0" borderId="0" xfId="0" applyNumberFormat="1" applyFont="1"/>
    <xf numFmtId="0" fontId="5" fillId="2" borderId="0" xfId="0" applyFont="1" applyFill="1" applyBorder="1" applyProtection="1"/>
    <xf numFmtId="4" fontId="15" fillId="5" borderId="0" xfId="5" applyNumberFormat="1"/>
    <xf numFmtId="3" fontId="0" fillId="0" borderId="12" xfId="0" applyNumberFormat="1" applyBorder="1"/>
    <xf numFmtId="9" fontId="0" fillId="8" borderId="0" xfId="1" applyFont="1" applyFill="1" applyAlignment="1">
      <alignment horizontal="center"/>
    </xf>
    <xf numFmtId="3" fontId="0" fillId="0" borderId="0" xfId="0" applyNumberFormat="1" applyBorder="1"/>
    <xf numFmtId="9" fontId="0" fillId="2" borderId="0" xfId="1" applyFont="1" applyFill="1"/>
    <xf numFmtId="3" fontId="0" fillId="2" borderId="17" xfId="0" applyNumberFormat="1" applyFill="1" applyBorder="1"/>
    <xf numFmtId="3" fontId="0" fillId="2" borderId="0" xfId="0" applyNumberFormat="1" applyFill="1" applyBorder="1"/>
    <xf numFmtId="170" fontId="0" fillId="2" borderId="27" xfId="0" applyNumberFormat="1" applyFill="1" applyBorder="1"/>
    <xf numFmtId="9" fontId="17" fillId="6" borderId="1" xfId="7" applyNumberFormat="1" applyBorder="1" applyAlignment="1">
      <alignment horizontal="center"/>
    </xf>
    <xf numFmtId="1" fontId="17" fillId="6" borderId="1" xfId="7" applyNumberFormat="1" applyBorder="1" applyAlignment="1">
      <alignment horizontal="center"/>
    </xf>
    <xf numFmtId="3" fontId="1" fillId="7" borderId="13" xfId="8" applyNumberFormat="1" applyBorder="1" applyAlignment="1">
      <alignment horizontal="center"/>
    </xf>
    <xf numFmtId="3" fontId="1" fillId="7" borderId="28" xfId="8" applyNumberFormat="1" applyBorder="1"/>
    <xf numFmtId="3" fontId="1" fillId="7" borderId="29" xfId="8" applyNumberFormat="1" applyBorder="1"/>
    <xf numFmtId="3" fontId="17" fillId="6" borderId="13" xfId="7" applyNumberFormat="1" applyBorder="1" applyAlignment="1">
      <alignment horizontal="center"/>
    </xf>
    <xf numFmtId="3" fontId="17" fillId="6" borderId="28" xfId="7" applyNumberFormat="1" applyBorder="1"/>
    <xf numFmtId="3" fontId="17" fillId="6" borderId="29" xfId="7" applyNumberFormat="1" applyBorder="1"/>
    <xf numFmtId="3" fontId="24" fillId="0" borderId="0" xfId="0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29" xfId="0" applyFont="1" applyBorder="1" applyProtection="1">
      <protection locked="0"/>
    </xf>
    <xf numFmtId="0" fontId="2" fillId="14" borderId="13" xfId="0" applyFont="1" applyFill="1" applyBorder="1" applyProtection="1">
      <protection locked="0"/>
    </xf>
    <xf numFmtId="0" fontId="22" fillId="14" borderId="28" xfId="0" applyFont="1" applyFill="1" applyBorder="1" applyProtection="1">
      <protection locked="0"/>
    </xf>
    <xf numFmtId="0" fontId="0" fillId="14" borderId="28" xfId="0" applyFont="1" applyFill="1" applyBorder="1" applyProtection="1">
      <protection locked="0"/>
    </xf>
    <xf numFmtId="0" fontId="0" fillId="14" borderId="29" xfId="0" applyFont="1" applyFill="1" applyBorder="1" applyProtection="1">
      <protection locked="0"/>
    </xf>
    <xf numFmtId="3" fontId="0" fillId="0" borderId="17" xfId="0" applyNumberFormat="1" applyFont="1" applyBorder="1" applyAlignment="1">
      <alignment horizontal="centerContinuous"/>
    </xf>
    <xf numFmtId="3" fontId="0" fillId="14" borderId="0" xfId="0" applyNumberFormat="1" applyFill="1"/>
    <xf numFmtId="0" fontId="0" fillId="14" borderId="0" xfId="0" applyFill="1"/>
    <xf numFmtId="3" fontId="0" fillId="14" borderId="15" xfId="0" applyNumberFormat="1" applyFill="1" applyBorder="1"/>
    <xf numFmtId="3" fontId="0" fillId="14" borderId="17" xfId="0" applyNumberFormat="1" applyFont="1" applyFill="1" applyBorder="1" applyAlignment="1">
      <alignment horizontal="centerContinuous"/>
    </xf>
    <xf numFmtId="3" fontId="0" fillId="14" borderId="17" xfId="0" applyNumberFormat="1" applyFill="1" applyBorder="1" applyAlignment="1">
      <alignment horizontal="centerContinuous"/>
    </xf>
    <xf numFmtId="3" fontId="0" fillId="14" borderId="26" xfId="0" applyNumberFormat="1" applyFill="1" applyBorder="1" applyAlignment="1">
      <alignment horizontal="centerContinuous"/>
    </xf>
    <xf numFmtId="2" fontId="0" fillId="14" borderId="14" xfId="0" applyNumberFormat="1" applyFill="1" applyBorder="1" applyAlignment="1">
      <alignment horizontal="center"/>
    </xf>
    <xf numFmtId="1" fontId="0" fillId="14" borderId="20" xfId="0" applyNumberFormat="1" applyFill="1" applyBorder="1" applyAlignment="1">
      <alignment horizontal="center"/>
    </xf>
    <xf numFmtId="1" fontId="0" fillId="14" borderId="12" xfId="0" applyNumberFormat="1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3" fontId="0" fillId="14" borderId="0" xfId="0" applyNumberFormat="1" applyFill="1" applyBorder="1" applyAlignment="1">
      <alignment horizontal="center"/>
    </xf>
    <xf numFmtId="3" fontId="0" fillId="14" borderId="27" xfId="0" applyNumberFormat="1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3" fontId="0" fillId="14" borderId="20" xfId="0" applyNumberFormat="1" applyFill="1" applyBorder="1" applyAlignment="1">
      <alignment horizontal="center"/>
    </xf>
    <xf numFmtId="3" fontId="0" fillId="14" borderId="12" xfId="0" applyNumberFormat="1" applyFill="1" applyBorder="1" applyAlignment="1">
      <alignment horizontal="center"/>
    </xf>
    <xf numFmtId="0" fontId="17" fillId="6" borderId="1" xfId="7" applyBorder="1" applyAlignment="1">
      <alignment horizontal="center"/>
    </xf>
    <xf numFmtId="3" fontId="14" fillId="4" borderId="13" xfId="4" applyNumberFormat="1" applyBorder="1" applyAlignment="1">
      <alignment horizontal="center"/>
    </xf>
    <xf numFmtId="3" fontId="14" fillId="4" borderId="28" xfId="4" applyNumberFormat="1" applyBorder="1" applyAlignment="1">
      <alignment horizontal="center"/>
    </xf>
    <xf numFmtId="3" fontId="0" fillId="0" borderId="17" xfId="0" applyNumberFormat="1" applyBorder="1" applyAlignment="1">
      <alignment horizontal="right"/>
    </xf>
    <xf numFmtId="0" fontId="17" fillId="6" borderId="1" xfId="7" applyBorder="1" applyAlignment="1" applyProtection="1">
      <alignment horizontal="center"/>
    </xf>
    <xf numFmtId="4" fontId="0" fillId="2" borderId="29" xfId="0" applyNumberFormat="1" applyFill="1" applyBorder="1" applyAlignment="1">
      <alignment horizontal="center"/>
    </xf>
    <xf numFmtId="3" fontId="12" fillId="6" borderId="0" xfId="7" applyNumberFormat="1" applyFont="1"/>
    <xf numFmtId="3" fontId="12" fillId="0" borderId="0" xfId="7" applyNumberFormat="1" applyFont="1" applyFill="1"/>
    <xf numFmtId="3" fontId="22" fillId="0" borderId="16" xfId="0" applyNumberFormat="1" applyFont="1" applyBorder="1"/>
    <xf numFmtId="3" fontId="22" fillId="0" borderId="17" xfId="0" applyNumberFormat="1" applyFont="1" applyBorder="1"/>
    <xf numFmtId="3" fontId="22" fillId="0" borderId="26" xfId="0" applyNumberFormat="1" applyFont="1" applyBorder="1"/>
    <xf numFmtId="3" fontId="22" fillId="0" borderId="19" xfId="0" applyNumberFormat="1" applyFont="1" applyBorder="1"/>
    <xf numFmtId="3" fontId="22" fillId="0" borderId="20" xfId="0" applyNumberFormat="1" applyFont="1" applyBorder="1"/>
    <xf numFmtId="3" fontId="22" fillId="0" borderId="12" xfId="0" applyNumberFormat="1" applyFont="1" applyBorder="1"/>
    <xf numFmtId="0" fontId="1" fillId="7" borderId="0" xfId="8"/>
    <xf numFmtId="1" fontId="27" fillId="0" borderId="20" xfId="0" quotePrefix="1" applyNumberFormat="1" applyFont="1" applyBorder="1" applyAlignment="1">
      <alignment horizontal="center"/>
    </xf>
    <xf numFmtId="1" fontId="27" fillId="0" borderId="12" xfId="0" quotePrefix="1" applyNumberFormat="1" applyFont="1" applyBorder="1" applyAlignment="1">
      <alignment horizontal="center"/>
    </xf>
    <xf numFmtId="170" fontId="1" fillId="7" borderId="0" xfId="8" applyNumberFormat="1" applyBorder="1" applyAlignment="1">
      <alignment horizontal="center"/>
    </xf>
    <xf numFmtId="170" fontId="1" fillId="12" borderId="0" xfId="14" applyNumberFormat="1" applyBorder="1" applyAlignment="1">
      <alignment horizontal="center"/>
    </xf>
    <xf numFmtId="170" fontId="1" fillId="11" borderId="0" xfId="11" applyNumberFormat="1" applyBorder="1" applyAlignment="1">
      <alignment horizontal="center"/>
    </xf>
    <xf numFmtId="170" fontId="0" fillId="0" borderId="27" xfId="0" applyNumberFormat="1" applyFill="1" applyBorder="1" applyAlignment="1">
      <alignment horizontal="center"/>
    </xf>
    <xf numFmtId="16" fontId="55" fillId="0" borderId="0" xfId="0" quotePrefix="1" applyNumberFormat="1" applyFont="1" applyAlignment="1">
      <alignment horizontal="right"/>
    </xf>
    <xf numFmtId="170" fontId="1" fillId="7" borderId="0" xfId="8" applyNumberFormat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0" fontId="55" fillId="0" borderId="0" xfId="0" quotePrefix="1" applyFont="1" applyAlignment="1">
      <alignment horizontal="right"/>
    </xf>
    <xf numFmtId="170" fontId="1" fillId="12" borderId="0" xfId="14" applyNumberFormat="1" applyAlignment="1">
      <alignment horizontal="center"/>
    </xf>
    <xf numFmtId="170" fontId="1" fillId="11" borderId="0" xfId="11" applyNumberFormat="1" applyAlignment="1">
      <alignment horizontal="center"/>
    </xf>
    <xf numFmtId="0" fontId="21" fillId="0" borderId="1" xfId="0" applyFont="1" applyBorder="1" applyAlignment="1">
      <alignment horizontal="center"/>
    </xf>
    <xf numFmtId="170" fontId="21" fillId="0" borderId="28" xfId="0" applyNumberFormat="1" applyFont="1" applyFill="1" applyBorder="1" applyAlignment="1">
      <alignment horizontal="center"/>
    </xf>
    <xf numFmtId="170" fontId="21" fillId="0" borderId="29" xfId="0" applyNumberFormat="1" applyFont="1" applyFill="1" applyBorder="1" applyAlignment="1">
      <alignment horizontal="center"/>
    </xf>
    <xf numFmtId="3" fontId="12" fillId="0" borderId="27" xfId="0" applyNumberFormat="1" applyFont="1" applyFill="1" applyBorder="1" applyAlignment="1">
      <alignment horizontal="center"/>
    </xf>
    <xf numFmtId="0" fontId="55" fillId="0" borderId="0" xfId="0" applyFont="1" applyAlignment="1">
      <alignment horizontal="right"/>
    </xf>
    <xf numFmtId="170" fontId="21" fillId="0" borderId="0" xfId="0" applyNumberFormat="1" applyFont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3" fontId="1" fillId="12" borderId="0" xfId="14" applyNumberFormat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1" fillId="7" borderId="20" xfId="8" applyNumberFormat="1" applyBorder="1" applyAlignment="1">
      <alignment horizontal="center"/>
    </xf>
    <xf numFmtId="3" fontId="1" fillId="12" borderId="20" xfId="14" applyNumberFormat="1" applyBorder="1" applyAlignment="1">
      <alignment horizontal="center"/>
    </xf>
    <xf numFmtId="3" fontId="1" fillId="11" borderId="12" xfId="11" applyNumberFormat="1" applyBorder="1" applyAlignment="1">
      <alignment horizontal="center"/>
    </xf>
    <xf numFmtId="3" fontId="0" fillId="12" borderId="0" xfId="14" applyNumberFormat="1" applyFont="1"/>
    <xf numFmtId="0" fontId="1" fillId="12" borderId="0" xfId="14"/>
    <xf numFmtId="3" fontId="15" fillId="5" borderId="12" xfId="5" applyNumberFormat="1" applyBorder="1" applyAlignment="1">
      <alignment horizontal="center"/>
    </xf>
    <xf numFmtId="3" fontId="15" fillId="5" borderId="27" xfId="5" applyNumberFormat="1" applyBorder="1" applyAlignment="1">
      <alignment horizontal="center"/>
    </xf>
    <xf numFmtId="3" fontId="12" fillId="0" borderId="0" xfId="8" applyNumberFormat="1" applyFont="1" applyFill="1" applyAlignment="1">
      <alignment horizontal="center"/>
    </xf>
    <xf numFmtId="3" fontId="12" fillId="0" borderId="0" xfId="11" applyNumberFormat="1" applyFont="1" applyFill="1" applyAlignment="1">
      <alignment horizontal="center"/>
    </xf>
    <xf numFmtId="3" fontId="1" fillId="11" borderId="20" xfId="11" applyNumberFormat="1" applyBorder="1" applyAlignment="1">
      <alignment horizontal="center"/>
    </xf>
    <xf numFmtId="170" fontId="15" fillId="5" borderId="0" xfId="5" applyNumberFormat="1" applyAlignment="1">
      <alignment horizontal="center"/>
    </xf>
    <xf numFmtId="3" fontId="12" fillId="0" borderId="0" xfId="10" applyNumberFormat="1" applyFont="1" applyFill="1" applyAlignment="1">
      <alignment horizontal="center"/>
    </xf>
    <xf numFmtId="3" fontId="32" fillId="0" borderId="0" xfId="0" applyNumberFormat="1" applyFont="1" applyAlignment="1">
      <alignment horizontal="center"/>
    </xf>
    <xf numFmtId="171" fontId="22" fillId="0" borderId="0" xfId="0" applyNumberFormat="1" applyFont="1"/>
    <xf numFmtId="3" fontId="0" fillId="0" borderId="28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27" xfId="0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66" fontId="17" fillId="6" borderId="1" xfId="7" applyNumberFormat="1" applyBorder="1" applyAlignment="1" applyProtection="1">
      <alignment horizontal="center"/>
    </xf>
    <xf numFmtId="3" fontId="56" fillId="2" borderId="0" xfId="0" applyNumberFormat="1" applyFont="1" applyFill="1"/>
    <xf numFmtId="2" fontId="0" fillId="2" borderId="12" xfId="0" applyNumberForma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0" fontId="0" fillId="2" borderId="15" xfId="0" applyFill="1" applyBorder="1"/>
    <xf numFmtId="3" fontId="16" fillId="2" borderId="28" xfId="0" applyNumberFormat="1" applyFont="1" applyFill="1" applyBorder="1" applyAlignment="1">
      <alignment horizontal="centerContinuous"/>
    </xf>
    <xf numFmtId="3" fontId="16" fillId="2" borderId="29" xfId="0" applyNumberFormat="1" applyFont="1" applyFill="1" applyBorder="1" applyAlignment="1">
      <alignment horizontal="centerContinuous"/>
    </xf>
    <xf numFmtId="3" fontId="0" fillId="2" borderId="21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16" fillId="2" borderId="20" xfId="0" applyNumberFormat="1" applyFont="1" applyFill="1" applyBorder="1" applyAlignment="1">
      <alignment horizontal="center"/>
    </xf>
    <xf numFmtId="3" fontId="16" fillId="2" borderId="1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Continuous"/>
    </xf>
    <xf numFmtId="174" fontId="0" fillId="2" borderId="27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Continuous"/>
    </xf>
    <xf numFmtId="3" fontId="0" fillId="2" borderId="27" xfId="0" applyNumberForma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3" fontId="22" fillId="0" borderId="18" xfId="0" applyNumberFormat="1" applyFont="1" applyBorder="1"/>
    <xf numFmtId="170" fontId="21" fillId="0" borderId="27" xfId="0" applyNumberFormat="1" applyFont="1" applyFill="1" applyBorder="1" applyAlignment="1">
      <alignment horizontal="center"/>
    </xf>
    <xf numFmtId="170" fontId="21" fillId="0" borderId="0" xfId="0" applyNumberFormat="1" applyFont="1" applyFill="1" applyBorder="1" applyAlignment="1">
      <alignment horizontal="center"/>
    </xf>
    <xf numFmtId="170" fontId="21" fillId="0" borderId="20" xfId="0" applyNumberFormat="1" applyFont="1" applyFill="1" applyBorder="1" applyAlignment="1">
      <alignment horizontal="center"/>
    </xf>
    <xf numFmtId="170" fontId="0" fillId="0" borderId="20" xfId="0" applyNumberFormat="1" applyFill="1" applyBorder="1" applyAlignment="1">
      <alignment horizontal="center"/>
    </xf>
    <xf numFmtId="170" fontId="0" fillId="0" borderId="12" xfId="0" applyNumberFormat="1" applyFill="1" applyBorder="1" applyAlignment="1">
      <alignment horizontal="center"/>
    </xf>
    <xf numFmtId="170" fontId="21" fillId="0" borderId="28" xfId="0" applyNumberFormat="1" applyFont="1" applyBorder="1" applyAlignment="1">
      <alignment horizontal="center"/>
    </xf>
    <xf numFmtId="170" fontId="21" fillId="0" borderId="29" xfId="0" applyNumberFormat="1" applyFont="1" applyBorder="1" applyAlignment="1">
      <alignment horizontal="center"/>
    </xf>
    <xf numFmtId="0" fontId="57" fillId="5" borderId="0" xfId="5" applyFont="1"/>
    <xf numFmtId="3" fontId="17" fillId="6" borderId="0" xfId="7" applyNumberFormat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1" fillId="7" borderId="0" xfId="8" applyNumberFormat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3" fontId="12" fillId="0" borderId="20" xfId="0" applyNumberFormat="1" applyFont="1" applyFill="1" applyBorder="1" applyAlignment="1">
      <alignment horizontal="center"/>
    </xf>
    <xf numFmtId="3" fontId="12" fillId="0" borderId="12" xfId="0" applyNumberFormat="1" applyFont="1" applyFill="1" applyBorder="1" applyAlignment="1">
      <alignment horizontal="center"/>
    </xf>
    <xf numFmtId="3" fontId="27" fillId="0" borderId="20" xfId="0" applyNumberFormat="1" applyFont="1" applyFill="1" applyBorder="1" applyAlignment="1">
      <alignment horizontal="center"/>
    </xf>
    <xf numFmtId="0" fontId="1" fillId="7" borderId="0" xfId="8" applyAlignment="1">
      <alignment horizontal="center"/>
    </xf>
    <xf numFmtId="0" fontId="5" fillId="0" borderId="1" xfId="0" applyFont="1" applyBorder="1" applyAlignment="1">
      <alignment horizontal="center"/>
    </xf>
    <xf numFmtId="3" fontId="1" fillId="12" borderId="0" xfId="14" applyNumberForma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1" fontId="0" fillId="0" borderId="13" xfId="0" applyNumberFormat="1" applyFont="1" applyBorder="1" applyAlignment="1">
      <alignment horizontal="center"/>
    </xf>
    <xf numFmtId="10" fontId="14" fillId="4" borderId="0" xfId="4" applyNumberFormat="1" applyAlignment="1">
      <alignment horizontal="center"/>
    </xf>
    <xf numFmtId="3" fontId="32" fillId="2" borderId="16" xfId="0" applyNumberFormat="1" applyFont="1" applyFill="1" applyBorder="1"/>
    <xf numFmtId="3" fontId="16" fillId="2" borderId="17" xfId="0" applyNumberFormat="1" applyFont="1" applyFill="1" applyBorder="1"/>
    <xf numFmtId="3" fontId="16" fillId="2" borderId="26" xfId="0" applyNumberFormat="1" applyFont="1" applyFill="1" applyBorder="1"/>
    <xf numFmtId="3" fontId="32" fillId="2" borderId="19" xfId="0" applyNumberFormat="1" applyFont="1" applyFill="1" applyBorder="1"/>
    <xf numFmtId="3" fontId="16" fillId="2" borderId="20" xfId="0" applyNumberFormat="1" applyFont="1" applyFill="1" applyBorder="1"/>
    <xf numFmtId="3" fontId="16" fillId="2" borderId="12" xfId="0" applyNumberFormat="1" applyFont="1" applyFill="1" applyBorder="1"/>
    <xf numFmtId="3" fontId="32" fillId="2" borderId="13" xfId="0" applyNumberFormat="1" applyFont="1" applyFill="1" applyBorder="1"/>
    <xf numFmtId="3" fontId="12" fillId="2" borderId="26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 applyProtection="1">
      <alignment horizontal="center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3" fontId="0" fillId="0" borderId="26" xfId="0" applyNumberFormat="1" applyFont="1" applyBorder="1" applyProtection="1">
      <protection locked="0"/>
    </xf>
    <xf numFmtId="0" fontId="0" fillId="0" borderId="19" xfId="0" applyFont="1" applyBorder="1" applyProtection="1">
      <protection locked="0"/>
    </xf>
    <xf numFmtId="0" fontId="0" fillId="0" borderId="20" xfId="0" applyFont="1" applyBorder="1" applyProtection="1">
      <protection locked="0"/>
    </xf>
    <xf numFmtId="3" fontId="0" fillId="0" borderId="12" xfId="0" applyNumberFormat="1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3" fontId="0" fillId="0" borderId="29" xfId="0" applyNumberFormat="1" applyFont="1" applyBorder="1" applyProtection="1">
      <protection locked="0"/>
    </xf>
    <xf numFmtId="0" fontId="12" fillId="2" borderId="0" xfId="0" quotePrefix="1" applyFont="1" applyFill="1" applyBorder="1" applyAlignment="1" applyProtection="1">
      <alignment horizontal="center"/>
    </xf>
    <xf numFmtId="0" fontId="0" fillId="2" borderId="0" xfId="0" applyFont="1" applyFill="1" applyAlignment="1">
      <alignment horizontal="center"/>
    </xf>
    <xf numFmtId="0" fontId="38" fillId="2" borderId="0" xfId="0" applyFont="1" applyFill="1"/>
    <xf numFmtId="172" fontId="15" fillId="2" borderId="0" xfId="5" applyNumberForma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6" borderId="13" xfId="7" applyBorder="1" applyAlignment="1">
      <alignment horizontal="centerContinuous"/>
    </xf>
    <xf numFmtId="0" fontId="17" fillId="6" borderId="29" xfId="7" applyBorder="1" applyAlignment="1">
      <alignment horizontal="centerContinuous"/>
    </xf>
    <xf numFmtId="0" fontId="33" fillId="0" borderId="26" xfId="0" applyFont="1" applyBorder="1" applyAlignment="1">
      <alignment horizontal="center"/>
    </xf>
    <xf numFmtId="167" fontId="33" fillId="0" borderId="16" xfId="0" applyNumberFormat="1" applyFont="1" applyBorder="1" applyAlignment="1">
      <alignment horizontal="center"/>
    </xf>
    <xf numFmtId="167" fontId="33" fillId="0" borderId="17" xfId="0" applyNumberFormat="1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167" fontId="27" fillId="0" borderId="0" xfId="0" applyNumberFormat="1" applyFont="1" applyBorder="1" applyAlignment="1">
      <alignment horizontal="center"/>
    </xf>
    <xf numFmtId="173" fontId="44" fillId="0" borderId="0" xfId="0" applyNumberFormat="1" applyFont="1" applyFill="1" applyAlignment="1">
      <alignment horizontal="right"/>
    </xf>
    <xf numFmtId="3" fontId="35" fillId="0" borderId="0" xfId="0" applyNumberFormat="1" applyFont="1"/>
    <xf numFmtId="0" fontId="16" fillId="0" borderId="17" xfId="0" applyFon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3" fontId="0" fillId="0" borderId="17" xfId="1" applyNumberFormat="1" applyFont="1" applyBorder="1" applyAlignment="1">
      <alignment horizontal="center"/>
    </xf>
    <xf numFmtId="0" fontId="16" fillId="0" borderId="27" xfId="0" applyFont="1" applyBorder="1" applyAlignment="1"/>
    <xf numFmtId="0" fontId="16" fillId="0" borderId="21" xfId="0" applyFont="1" applyBorder="1" applyAlignment="1">
      <alignment horizontal="center"/>
    </xf>
    <xf numFmtId="0" fontId="16" fillId="0" borderId="14" xfId="0" applyFont="1" applyBorder="1" applyAlignment="1"/>
    <xf numFmtId="3" fontId="0" fillId="8" borderId="27" xfId="0" applyNumberFormat="1" applyFont="1" applyFill="1" applyBorder="1" applyAlignment="1">
      <alignment horizontal="center"/>
    </xf>
    <xf numFmtId="3" fontId="0" fillId="0" borderId="15" xfId="0" applyNumberFormat="1" applyFont="1" applyBorder="1"/>
    <xf numFmtId="0" fontId="17" fillId="6" borderId="20" xfId="7" applyBorder="1" applyAlignment="1">
      <alignment horizontal="center"/>
    </xf>
    <xf numFmtId="0" fontId="0" fillId="0" borderId="20" xfId="0" applyFont="1" applyBorder="1" applyAlignment="1">
      <alignment horizontal="centerContinuous"/>
    </xf>
    <xf numFmtId="0" fontId="0" fillId="0" borderId="20" xfId="0" applyFont="1" applyBorder="1" applyAlignment="1">
      <alignment horizontal="left"/>
    </xf>
    <xf numFmtId="4" fontId="17" fillId="6" borderId="20" xfId="7" applyNumberFormat="1" applyBorder="1"/>
    <xf numFmtId="0" fontId="0" fillId="0" borderId="0" xfId="0" applyFont="1" applyAlignment="1">
      <alignment horizontal="left"/>
    </xf>
    <xf numFmtId="4" fontId="1" fillId="7" borderId="0" xfId="8" applyNumberFormat="1"/>
    <xf numFmtId="0" fontId="1" fillId="7" borderId="20" xfId="8" applyBorder="1" applyAlignment="1">
      <alignment horizontal="center"/>
    </xf>
    <xf numFmtId="3" fontId="0" fillId="0" borderId="20" xfId="0" applyNumberFormat="1" applyFont="1" applyBorder="1" applyAlignment="1">
      <alignment horizontal="centerContinuous"/>
    </xf>
    <xf numFmtId="3" fontId="0" fillId="0" borderId="20" xfId="0" applyNumberFormat="1" applyFont="1" applyBorder="1" applyAlignment="1">
      <alignment horizontal="left"/>
    </xf>
    <xf numFmtId="4" fontId="1" fillId="7" borderId="20" xfId="8" applyNumberFormat="1" applyBorder="1"/>
    <xf numFmtId="0" fontId="0" fillId="15" borderId="0" xfId="15" applyFont="1" applyAlignment="1">
      <alignment horizontal="center"/>
    </xf>
    <xf numFmtId="4" fontId="0" fillId="8" borderId="0" xfId="0" applyNumberFormat="1" applyFont="1" applyFill="1"/>
    <xf numFmtId="0" fontId="1" fillId="12" borderId="20" xfId="14" applyBorder="1" applyAlignment="1">
      <alignment horizontal="center"/>
    </xf>
    <xf numFmtId="4" fontId="1" fillId="12" borderId="20" xfId="14" applyNumberFormat="1" applyBorder="1"/>
    <xf numFmtId="0" fontId="0" fillId="2" borderId="13" xfId="0" applyFill="1" applyBorder="1"/>
    <xf numFmtId="0" fontId="0" fillId="2" borderId="29" xfId="0" applyFill="1" applyBorder="1"/>
    <xf numFmtId="0" fontId="0" fillId="2" borderId="1" xfId="0" applyFont="1" applyFill="1" applyBorder="1"/>
    <xf numFmtId="3" fontId="6" fillId="0" borderId="0" xfId="0" applyNumberFormat="1" applyFont="1" applyAlignment="1">
      <alignment horizontal="right"/>
    </xf>
    <xf numFmtId="4" fontId="12" fillId="0" borderId="17" xfId="4" applyNumberFormat="1" applyFont="1" applyFill="1" applyBorder="1" applyAlignment="1">
      <alignment horizontal="center"/>
    </xf>
    <xf numFmtId="3" fontId="38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4" fontId="14" fillId="4" borderId="1" xfId="4" applyNumberFormat="1" applyBorder="1"/>
    <xf numFmtId="0" fontId="0" fillId="2" borderId="16" xfId="0" applyFill="1" applyBorder="1"/>
    <xf numFmtId="0" fontId="0" fillId="2" borderId="17" xfId="0" applyFill="1" applyBorder="1"/>
    <xf numFmtId="166" fontId="0" fillId="2" borderId="26" xfId="0" applyNumberFormat="1" applyFill="1" applyBorder="1" applyAlignment="1">
      <alignment horizontal="right"/>
    </xf>
    <xf numFmtId="0" fontId="0" fillId="2" borderId="18" xfId="0" applyFill="1" applyBorder="1"/>
    <xf numFmtId="164" fontId="0" fillId="2" borderId="27" xfId="1" applyNumberFormat="1" applyFont="1" applyFill="1" applyBorder="1"/>
    <xf numFmtId="0" fontId="0" fillId="2" borderId="0" xfId="0" applyFill="1" applyBorder="1"/>
    <xf numFmtId="0" fontId="0" fillId="2" borderId="19" xfId="0" applyFill="1" applyBorder="1"/>
    <xf numFmtId="44" fontId="0" fillId="2" borderId="12" xfId="6" applyFont="1" applyFill="1" applyBorder="1"/>
    <xf numFmtId="0" fontId="0" fillId="2" borderId="20" xfId="0" applyFill="1" applyBorder="1"/>
    <xf numFmtId="3" fontId="2" fillId="0" borderId="17" xfId="0" applyNumberFormat="1" applyFont="1" applyBorder="1" applyAlignment="1">
      <alignment horizontal="centerContinuous"/>
    </xf>
    <xf numFmtId="3" fontId="0" fillId="0" borderId="26" xfId="0" applyNumberFormat="1" applyFont="1" applyBorder="1" applyAlignment="1">
      <alignment horizontal="centerContinuous"/>
    </xf>
    <xf numFmtId="3" fontId="27" fillId="0" borderId="17" xfId="0" applyNumberFormat="1" applyFont="1" applyBorder="1" applyAlignment="1">
      <alignment horizontal="center"/>
    </xf>
    <xf numFmtId="3" fontId="0" fillId="0" borderId="21" xfId="0" applyNumberFormat="1" applyFont="1" applyBorder="1"/>
    <xf numFmtId="3" fontId="23" fillId="0" borderId="0" xfId="0" applyNumberFormat="1" applyFont="1" applyBorder="1" applyAlignment="1">
      <alignment horizontal="center"/>
    </xf>
    <xf numFmtId="3" fontId="23" fillId="0" borderId="27" xfId="0" applyNumberFormat="1" applyFont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0" fontId="0" fillId="2" borderId="16" xfId="0" applyFont="1" applyFill="1" applyBorder="1"/>
    <xf numFmtId="164" fontId="0" fillId="2" borderId="26" xfId="1" applyNumberFormat="1" applyFont="1" applyFill="1" applyBorder="1" applyAlignment="1">
      <alignment horizontal="center"/>
    </xf>
    <xf numFmtId="3" fontId="0" fillId="0" borderId="14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3" fontId="21" fillId="0" borderId="20" xfId="0" applyNumberFormat="1" applyFont="1" applyBorder="1" applyAlignment="1">
      <alignment horizontal="center"/>
    </xf>
    <xf numFmtId="3" fontId="0" fillId="0" borderId="20" xfId="0" quotePrefix="1" applyNumberFormat="1" applyFont="1" applyBorder="1"/>
    <xf numFmtId="0" fontId="0" fillId="2" borderId="19" xfId="0" applyFont="1" applyFill="1" applyBorder="1"/>
    <xf numFmtId="164" fontId="0" fillId="2" borderId="12" xfId="1" applyNumberFormat="1" applyFont="1" applyFill="1" applyBorder="1" applyAlignment="1">
      <alignment horizontal="center"/>
    </xf>
    <xf numFmtId="0" fontId="0" fillId="0" borderId="27" xfId="0" applyNumberFormat="1" applyFont="1" applyBorder="1" applyAlignment="1">
      <alignment horizontal="center"/>
    </xf>
    <xf numFmtId="0" fontId="0" fillId="2" borderId="18" xfId="0" applyFont="1" applyFill="1" applyBorder="1"/>
    <xf numFmtId="0" fontId="6" fillId="2" borderId="27" xfId="0" applyFont="1" applyFill="1" applyBorder="1"/>
    <xf numFmtId="164" fontId="0" fillId="2" borderId="27" xfId="1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28" xfId="0" applyFont="1" applyFill="1" applyBorder="1"/>
    <xf numFmtId="3" fontId="6" fillId="2" borderId="0" xfId="0" applyNumberFormat="1" applyFont="1" applyFill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14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2" borderId="0" xfId="0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4" fontId="17" fillId="6" borderId="1" xfId="7" applyNumberFormat="1" applyBorder="1" applyAlignment="1">
      <alignment horizontal="center"/>
    </xf>
    <xf numFmtId="0" fontId="0" fillId="2" borderId="20" xfId="0" applyFill="1" applyBorder="1" applyAlignment="1">
      <alignment horizontal="right"/>
    </xf>
    <xf numFmtId="166" fontId="0" fillId="2" borderId="27" xfId="0" applyNumberFormat="1" applyFill="1" applyBorder="1" applyAlignment="1">
      <alignment horizontal="center"/>
    </xf>
    <xf numFmtId="172" fontId="0" fillId="2" borderId="27" xfId="6" applyNumberFormat="1" applyFont="1" applyFill="1" applyBorder="1" applyAlignment="1">
      <alignment horizontal="center"/>
    </xf>
    <xf numFmtId="170" fontId="0" fillId="0" borderId="0" xfId="0" applyNumberFormat="1" applyFont="1" applyAlignment="1">
      <alignment horizontal="left"/>
    </xf>
    <xf numFmtId="4" fontId="21" fillId="0" borderId="0" xfId="0" applyNumberFormat="1" applyFont="1" applyAlignment="1">
      <alignment horizontal="left"/>
    </xf>
    <xf numFmtId="166" fontId="0" fillId="0" borderId="0" xfId="0" applyNumberFormat="1" applyFont="1" applyAlignment="1">
      <alignment horizontal="left"/>
    </xf>
    <xf numFmtId="172" fontId="39" fillId="2" borderId="27" xfId="6" applyNumberFormat="1" applyFont="1" applyFill="1" applyBorder="1" applyAlignment="1">
      <alignment horizontal="center"/>
    </xf>
    <xf numFmtId="3" fontId="0" fillId="0" borderId="20" xfId="0" applyNumberFormat="1" applyFont="1" applyBorder="1" applyAlignment="1">
      <alignment horizontal="right"/>
    </xf>
    <xf numFmtId="172" fontId="40" fillId="2" borderId="12" xfId="6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left"/>
    </xf>
    <xf numFmtId="172" fontId="39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3" fontId="0" fillId="8" borderId="0" xfId="8" applyNumberFormat="1" applyFont="1" applyFill="1" applyAlignment="1">
      <alignment horizontal="center"/>
    </xf>
    <xf numFmtId="4" fontId="0" fillId="8" borderId="0" xfId="0" applyNumberFormat="1" applyFont="1" applyFill="1" applyAlignment="1">
      <alignment horizontal="left"/>
    </xf>
    <xf numFmtId="4" fontId="0" fillId="0" borderId="0" xfId="0" applyNumberFormat="1" applyFont="1" applyAlignment="1">
      <alignment horizontal="left"/>
    </xf>
    <xf numFmtId="4" fontId="1" fillId="12" borderId="0" xfId="14" applyNumberFormat="1" applyAlignment="1">
      <alignment horizontal="left"/>
    </xf>
    <xf numFmtId="3" fontId="0" fillId="8" borderId="0" xfId="0" applyNumberFormat="1" applyFont="1" applyFill="1"/>
    <xf numFmtId="1" fontId="0" fillId="2" borderId="1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3" fontId="0" fillId="0" borderId="30" xfId="0" applyNumberFormat="1" applyFont="1" applyBorder="1"/>
    <xf numFmtId="3" fontId="12" fillId="0" borderId="0" xfId="0" applyNumberFormat="1" applyFont="1" applyAlignment="1">
      <alignment horizontal="centerContinuous"/>
    </xf>
    <xf numFmtId="3" fontId="0" fillId="0" borderId="31" xfId="0" applyNumberFormat="1" applyFont="1" applyBorder="1"/>
    <xf numFmtId="0" fontId="0" fillId="0" borderId="32" xfId="0" applyFont="1" applyBorder="1"/>
    <xf numFmtId="3" fontId="0" fillId="0" borderId="32" xfId="0" applyNumberFormat="1" applyFont="1" applyBorder="1"/>
    <xf numFmtId="3" fontId="16" fillId="0" borderId="0" xfId="0" applyNumberFormat="1" applyFont="1" applyAlignment="1">
      <alignment horizontal="right"/>
    </xf>
    <xf numFmtId="171" fontId="17" fillId="6" borderId="0" xfId="7" applyNumberFormat="1" applyAlignment="1">
      <alignment horizontal="center"/>
    </xf>
    <xf numFmtId="171" fontId="0" fillId="0" borderId="0" xfId="0" applyNumberFormat="1" applyFont="1" applyAlignment="1">
      <alignment horizontal="center"/>
    </xf>
    <xf numFmtId="171" fontId="1" fillId="16" borderId="0" xfId="16" applyNumberFormat="1" applyAlignment="1">
      <alignment horizontal="center"/>
    </xf>
    <xf numFmtId="171" fontId="14" fillId="4" borderId="0" xfId="4" applyNumberFormat="1" applyBorder="1" applyAlignment="1">
      <alignment horizontal="center"/>
    </xf>
    <xf numFmtId="166" fontId="0" fillId="0" borderId="27" xfId="1" applyNumberFormat="1" applyFont="1" applyBorder="1" applyAlignment="1">
      <alignment horizontal="center"/>
    </xf>
    <xf numFmtId="171" fontId="14" fillId="4" borderId="20" xfId="4" applyNumberFormat="1" applyBorder="1" applyAlignment="1">
      <alignment horizontal="center"/>
    </xf>
    <xf numFmtId="3" fontId="12" fillId="0" borderId="0" xfId="0" applyNumberFormat="1" applyFont="1" applyFill="1" applyBorder="1"/>
    <xf numFmtId="3" fontId="12" fillId="0" borderId="27" xfId="0" applyNumberFormat="1" applyFont="1" applyFill="1" applyBorder="1"/>
    <xf numFmtId="3" fontId="12" fillId="0" borderId="20" xfId="0" applyNumberFormat="1" applyFont="1" applyFill="1" applyBorder="1"/>
    <xf numFmtId="3" fontId="12" fillId="0" borderId="12" xfId="0" applyNumberFormat="1" applyFont="1" applyFill="1" applyBorder="1"/>
    <xf numFmtId="3" fontId="0" fillId="0" borderId="28" xfId="0" quotePrefix="1" applyNumberFormat="1" applyFont="1" applyBorder="1" applyAlignment="1">
      <alignment horizontal="center"/>
    </xf>
    <xf numFmtId="170" fontId="0" fillId="0" borderId="0" xfId="0" applyNumberFormat="1" applyFont="1" applyFill="1" applyBorder="1"/>
    <xf numFmtId="170" fontId="0" fillId="0" borderId="27" xfId="0" applyNumberFormat="1" applyFont="1" applyFill="1" applyBorder="1"/>
    <xf numFmtId="170" fontId="0" fillId="0" borderId="20" xfId="0" applyNumberFormat="1" applyFont="1" applyFill="1" applyBorder="1"/>
    <xf numFmtId="170" fontId="0" fillId="0" borderId="12" xfId="0" applyNumberFormat="1" applyFont="1" applyFill="1" applyBorder="1"/>
    <xf numFmtId="170" fontId="0" fillId="0" borderId="0" xfId="0" applyNumberFormat="1" applyFont="1"/>
    <xf numFmtId="170" fontId="5" fillId="0" borderId="0" xfId="0" applyNumberFormat="1" applyFont="1"/>
    <xf numFmtId="0" fontId="2" fillId="0" borderId="1" xfId="0" applyFont="1" applyBorder="1" applyAlignment="1">
      <alignment horizontal="center"/>
    </xf>
    <xf numFmtId="170" fontId="1" fillId="7" borderId="28" xfId="8" applyNumberFormat="1" applyBorder="1"/>
    <xf numFmtId="170" fontId="1" fillId="7" borderId="29" xfId="8" applyNumberFormat="1" applyBorder="1"/>
    <xf numFmtId="170" fontId="1" fillId="7" borderId="20" xfId="8" applyNumberFormat="1" applyBorder="1" applyAlignment="1">
      <alignment horizontal="center"/>
    </xf>
    <xf numFmtId="0" fontId="0" fillId="0" borderId="20" xfId="0" quotePrefix="1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3" fontId="12" fillId="0" borderId="31" xfId="0" applyNumberFormat="1" applyFont="1" applyBorder="1" applyAlignment="1">
      <alignment horizontal="center"/>
    </xf>
    <xf numFmtId="9" fontId="16" fillId="0" borderId="0" xfId="1" applyFont="1" applyAlignment="1">
      <alignment horizontal="center"/>
    </xf>
    <xf numFmtId="0" fontId="2" fillId="0" borderId="29" xfId="0" applyFont="1" applyBorder="1" applyAlignment="1">
      <alignment horizontal="center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Border="1"/>
    <xf numFmtId="1" fontId="0" fillId="2" borderId="13" xfId="0" applyNumberFormat="1" applyFont="1" applyFill="1" applyBorder="1" applyAlignment="1">
      <alignment horizontal="center"/>
    </xf>
    <xf numFmtId="0" fontId="0" fillId="2" borderId="28" xfId="0" quotePrefix="1" applyNumberFormat="1" applyFont="1" applyFill="1" applyBorder="1" applyAlignment="1">
      <alignment horizontal="center"/>
    </xf>
    <xf numFmtId="0" fontId="0" fillId="2" borderId="29" xfId="0" quotePrefix="1" applyNumberFormat="1" applyFont="1" applyFill="1" applyBorder="1" applyAlignment="1">
      <alignment horizontal="center"/>
    </xf>
    <xf numFmtId="3" fontId="12" fillId="2" borderId="28" xfId="0" applyNumberFormat="1" applyFont="1" applyFill="1" applyBorder="1" applyAlignment="1">
      <alignment horizontal="left"/>
    </xf>
    <xf numFmtId="3" fontId="0" fillId="2" borderId="18" xfId="0" applyNumberFormat="1" applyFont="1" applyFill="1" applyBorder="1" applyAlignment="1">
      <alignment horizontal="center"/>
    </xf>
    <xf numFmtId="3" fontId="2" fillId="2" borderId="27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5" fillId="2" borderId="18" xfId="0" applyNumberFormat="1" applyFont="1" applyFill="1" applyBorder="1" applyAlignment="1">
      <alignment horizontal="center"/>
    </xf>
    <xf numFmtId="9" fontId="5" fillId="2" borderId="17" xfId="1" applyFont="1" applyFill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0" fontId="0" fillId="0" borderId="20" xfId="0" applyBorder="1"/>
    <xf numFmtId="0" fontId="0" fillId="0" borderId="20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7" fillId="2" borderId="4" xfId="2" quotePrefix="1" applyFont="1" applyFill="1" applyBorder="1" applyAlignment="1" applyProtection="1">
      <alignment horizontal="right"/>
    </xf>
    <xf numFmtId="0" fontId="7" fillId="0" borderId="5" xfId="2" applyFont="1" applyBorder="1" applyAlignment="1">
      <alignment horizontal="right"/>
    </xf>
    <xf numFmtId="170" fontId="5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170" fontId="5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170" fontId="5" fillId="0" borderId="16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170" fontId="5" fillId="0" borderId="19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" fontId="0" fillId="2" borderId="0" xfId="0" quotePrefix="1" applyNumberFormat="1" applyFill="1" applyBorder="1" applyAlignment="1">
      <alignment horizontal="center"/>
    </xf>
    <xf numFmtId="0" fontId="0" fillId="2" borderId="0" xfId="0" quotePrefix="1" applyFill="1" applyBorder="1" applyAlignment="1">
      <alignment horizontal="center"/>
    </xf>
    <xf numFmtId="0" fontId="7" fillId="2" borderId="5" xfId="2" quotePrefix="1" applyFont="1" applyFill="1" applyBorder="1" applyAlignment="1" applyProtection="1">
      <alignment horizontal="right"/>
    </xf>
  </cellXfs>
  <cellStyles count="17">
    <cellStyle name="40% - Accent1" xfId="8" builtinId="31"/>
    <cellStyle name="40% - Accent2" xfId="14" builtinId="35"/>
    <cellStyle name="40% - Accent3" xfId="15" builtinId="39"/>
    <cellStyle name="40% - Accent4" xfId="10" builtinId="43"/>
    <cellStyle name="40% - Accent5" xfId="16" builtinId="47"/>
    <cellStyle name="40% - Accent6" xfId="11" builtinId="51"/>
    <cellStyle name="Bad" xfId="5" builtinId="27"/>
    <cellStyle name="Comma" xfId="9" builtinId="3"/>
    <cellStyle name="Currency" xfId="6" builtinId="4"/>
    <cellStyle name="Currency 2" xfId="12"/>
    <cellStyle name="Good" xfId="4" builtinId="26"/>
    <cellStyle name="Hyperlink" xfId="2" builtinId="8"/>
    <cellStyle name="Neutral" xfId="7" builtinId="28"/>
    <cellStyle name="Normal" xfId="0" builtinId="0"/>
    <cellStyle name="Normal 2" xfId="3"/>
    <cellStyle name="Normal 2 3" xfId="13"/>
    <cellStyle name="Percent" xfId="1" builtinId="5"/>
  </cellStyles>
  <dxfs count="12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209552</xdr:colOff>
      <xdr:row>5</xdr:row>
      <xdr:rowOff>142877</xdr:rowOff>
    </xdr:from>
    <xdr:to>
      <xdr:col>19</xdr:col>
      <xdr:colOff>581026</xdr:colOff>
      <xdr:row>14</xdr:row>
      <xdr:rowOff>107459</xdr:rowOff>
    </xdr:to>
    <xdr:pic>
      <xdr:nvPicPr>
        <xdr:cNvPr id="4" name="Picture 3" descr="rate change diagram not foun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2" y="1095377"/>
          <a:ext cx="5248274" cy="1698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</xdr:colOff>
      <xdr:row>13</xdr:row>
      <xdr:rowOff>10583</xdr:rowOff>
    </xdr:from>
    <xdr:to>
      <xdr:col>20</xdr:col>
      <xdr:colOff>10583</xdr:colOff>
      <xdr:row>25</xdr:row>
      <xdr:rowOff>0</xdr:rowOff>
    </xdr:to>
    <xdr:cxnSp macro="">
      <xdr:nvCxnSpPr>
        <xdr:cNvPr id="10" name="Straight Connector 9"/>
        <xdr:cNvCxnSpPr/>
      </xdr:nvCxnSpPr>
      <xdr:spPr>
        <a:xfrm flipV="1">
          <a:off x="10792883" y="2487083"/>
          <a:ext cx="1219200" cy="227541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21166</xdr:colOff>
      <xdr:row>13</xdr:row>
      <xdr:rowOff>10583</xdr:rowOff>
    </xdr:from>
    <xdr:to>
      <xdr:col>25</xdr:col>
      <xdr:colOff>21167</xdr:colOff>
      <xdr:row>25</xdr:row>
      <xdr:rowOff>0</xdr:rowOff>
    </xdr:to>
    <xdr:cxnSp macro="">
      <xdr:nvCxnSpPr>
        <xdr:cNvPr id="11" name="Straight Connector 10"/>
        <xdr:cNvCxnSpPr/>
      </xdr:nvCxnSpPr>
      <xdr:spPr>
        <a:xfrm flipV="1">
          <a:off x="14032441" y="2487083"/>
          <a:ext cx="1219201" cy="227541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243419</xdr:colOff>
      <xdr:row>17</xdr:row>
      <xdr:rowOff>74084</xdr:rowOff>
    </xdr:from>
    <xdr:to>
      <xdr:col>17</xdr:col>
      <xdr:colOff>232835</xdr:colOff>
      <xdr:row>19</xdr:row>
      <xdr:rowOff>179917</xdr:rowOff>
    </xdr:to>
    <xdr:sp macro="" textlink="">
      <xdr:nvSpPr>
        <xdr:cNvPr id="12" name="TextBox 11"/>
        <xdr:cNvSpPr txBox="1"/>
      </xdr:nvSpPr>
      <xdr:spPr>
        <a:xfrm>
          <a:off x="9806519" y="3312584"/>
          <a:ext cx="599016" cy="486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2400"/>
            <a:t>A1</a:t>
          </a:r>
        </a:p>
      </xdr:txBody>
    </xdr:sp>
    <xdr:clientData/>
  </xdr:twoCellAnchor>
  <xdr:twoCellAnchor>
    <xdr:from>
      <xdr:col>18</xdr:col>
      <xdr:colOff>222249</xdr:colOff>
      <xdr:row>23</xdr:row>
      <xdr:rowOff>0</xdr:rowOff>
    </xdr:from>
    <xdr:to>
      <xdr:col>18</xdr:col>
      <xdr:colOff>571499</xdr:colOff>
      <xdr:row>24</xdr:row>
      <xdr:rowOff>158750</xdr:rowOff>
    </xdr:to>
    <xdr:sp macro="" textlink="">
      <xdr:nvSpPr>
        <xdr:cNvPr id="13" name="TextBox 12"/>
        <xdr:cNvSpPr txBox="1"/>
      </xdr:nvSpPr>
      <xdr:spPr>
        <a:xfrm>
          <a:off x="11004549" y="4381500"/>
          <a:ext cx="349250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/>
            <a:t>A2</a:t>
          </a:r>
        </a:p>
      </xdr:txBody>
    </xdr:sp>
    <xdr:clientData/>
  </xdr:twoCellAnchor>
  <xdr:twoCellAnchor>
    <xdr:from>
      <xdr:col>19</xdr:col>
      <xdr:colOff>31750</xdr:colOff>
      <xdr:row>13</xdr:row>
      <xdr:rowOff>63500</xdr:rowOff>
    </xdr:from>
    <xdr:to>
      <xdr:col>19</xdr:col>
      <xdr:colOff>381000</xdr:colOff>
      <xdr:row>15</xdr:row>
      <xdr:rowOff>31750</xdr:rowOff>
    </xdr:to>
    <xdr:sp macro="" textlink="">
      <xdr:nvSpPr>
        <xdr:cNvPr id="14" name="TextBox 13"/>
        <xdr:cNvSpPr txBox="1"/>
      </xdr:nvSpPr>
      <xdr:spPr>
        <a:xfrm>
          <a:off x="11423650" y="2540000"/>
          <a:ext cx="349250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/>
            <a:t>A3</a:t>
          </a:r>
        </a:p>
      </xdr:txBody>
    </xdr:sp>
    <xdr:clientData/>
  </xdr:twoCellAnchor>
  <xdr:twoCellAnchor>
    <xdr:from>
      <xdr:col>20</xdr:col>
      <xdr:colOff>444500</xdr:colOff>
      <xdr:row>17</xdr:row>
      <xdr:rowOff>105834</xdr:rowOff>
    </xdr:from>
    <xdr:to>
      <xdr:col>21</xdr:col>
      <xdr:colOff>433917</xdr:colOff>
      <xdr:row>20</xdr:row>
      <xdr:rowOff>21167</xdr:rowOff>
    </xdr:to>
    <xdr:sp macro="" textlink="">
      <xdr:nvSpPr>
        <xdr:cNvPr id="15" name="TextBox 14"/>
        <xdr:cNvSpPr txBox="1"/>
      </xdr:nvSpPr>
      <xdr:spPr>
        <a:xfrm>
          <a:off x="12446000" y="3344334"/>
          <a:ext cx="703792" cy="486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2400"/>
            <a:t>A4</a:t>
          </a:r>
        </a:p>
      </xdr:txBody>
    </xdr:sp>
    <xdr:clientData/>
  </xdr:twoCellAnchor>
  <xdr:twoCellAnchor>
    <xdr:from>
      <xdr:col>23</xdr:col>
      <xdr:colOff>127000</xdr:colOff>
      <xdr:row>14</xdr:row>
      <xdr:rowOff>42333</xdr:rowOff>
    </xdr:from>
    <xdr:to>
      <xdr:col>24</xdr:col>
      <xdr:colOff>116417</xdr:colOff>
      <xdr:row>16</xdr:row>
      <xdr:rowOff>148166</xdr:rowOff>
    </xdr:to>
    <xdr:sp macro="" textlink="">
      <xdr:nvSpPr>
        <xdr:cNvPr id="16" name="TextBox 15"/>
        <xdr:cNvSpPr txBox="1"/>
      </xdr:nvSpPr>
      <xdr:spPr>
        <a:xfrm>
          <a:off x="14138275" y="2709333"/>
          <a:ext cx="599017" cy="486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2400"/>
            <a:t>A5</a:t>
          </a:r>
        </a:p>
      </xdr:txBody>
    </xdr:sp>
    <xdr:clientData/>
  </xdr:twoCellAnchor>
  <xdr:twoCellAnchor>
    <xdr:from>
      <xdr:col>25</xdr:col>
      <xdr:colOff>95250</xdr:colOff>
      <xdr:row>18</xdr:row>
      <xdr:rowOff>42334</xdr:rowOff>
    </xdr:from>
    <xdr:to>
      <xdr:col>26</xdr:col>
      <xdr:colOff>84666</xdr:colOff>
      <xdr:row>20</xdr:row>
      <xdr:rowOff>148167</xdr:rowOff>
    </xdr:to>
    <xdr:sp macro="" textlink="">
      <xdr:nvSpPr>
        <xdr:cNvPr id="17" name="TextBox 16"/>
        <xdr:cNvSpPr txBox="1"/>
      </xdr:nvSpPr>
      <xdr:spPr>
        <a:xfrm>
          <a:off x="15325725" y="3471334"/>
          <a:ext cx="599016" cy="486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2400"/>
            <a:t>A6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497417</xdr:colOff>
      <xdr:row>27</xdr:row>
      <xdr:rowOff>158751</xdr:rowOff>
    </xdr:from>
    <xdr:to>
      <xdr:col>19</xdr:col>
      <xdr:colOff>560917</xdr:colOff>
      <xdr:row>31</xdr:row>
      <xdr:rowOff>148167</xdr:rowOff>
    </xdr:to>
    <xdr:cxnSp macro="">
      <xdr:nvCxnSpPr>
        <xdr:cNvPr id="4" name="Straight Arrow Connector 3"/>
        <xdr:cNvCxnSpPr/>
      </xdr:nvCxnSpPr>
      <xdr:spPr>
        <a:xfrm flipH="1">
          <a:off x="12498917" y="920751"/>
          <a:ext cx="711200" cy="75141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127000</xdr:colOff>
      <xdr:row>55</xdr:row>
      <xdr:rowOff>158751</xdr:rowOff>
    </xdr:from>
    <xdr:to>
      <xdr:col>19</xdr:col>
      <xdr:colOff>560918</xdr:colOff>
      <xdr:row>58</xdr:row>
      <xdr:rowOff>74083</xdr:rowOff>
    </xdr:to>
    <xdr:cxnSp macro="">
      <xdr:nvCxnSpPr>
        <xdr:cNvPr id="5" name="Straight Arrow Connector 4"/>
        <xdr:cNvCxnSpPr/>
      </xdr:nvCxnSpPr>
      <xdr:spPr>
        <a:xfrm flipH="1">
          <a:off x="12776200" y="6254751"/>
          <a:ext cx="433918" cy="4868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95251</xdr:colOff>
      <xdr:row>14</xdr:row>
      <xdr:rowOff>127000</xdr:rowOff>
    </xdr:from>
    <xdr:to>
      <xdr:col>21</xdr:col>
      <xdr:colOff>571500</xdr:colOff>
      <xdr:row>17</xdr:row>
      <xdr:rowOff>169333</xdr:rowOff>
    </xdr:to>
    <xdr:cxnSp macro="">
      <xdr:nvCxnSpPr>
        <xdr:cNvPr id="2" name="Straight Arrow Connector 1"/>
        <xdr:cNvCxnSpPr/>
      </xdr:nvCxnSpPr>
      <xdr:spPr>
        <a:xfrm flipH="1">
          <a:off x="11487151" y="1841500"/>
          <a:ext cx="1085849" cy="61383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>
      <selection activeCell="A7" sqref="A7"/>
    </sheetView>
  </sheetViews>
  <sheetFormatPr defaultRowHeight="15"/>
  <cols>
    <col min="1" max="11" width="9.140625" style="35"/>
    <col min="12" max="12" width="7" style="35" customWidth="1"/>
    <col min="13" max="13" width="12.42578125" style="35" customWidth="1"/>
    <col min="14" max="16384" width="9.140625" style="35"/>
  </cols>
  <sheetData>
    <row r="6" spans="1:13" ht="21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>
      <c r="A8" s="35" t="s">
        <v>16</v>
      </c>
    </row>
    <row r="10" spans="1:13">
      <c r="A10" s="35" t="s">
        <v>27</v>
      </c>
    </row>
    <row r="12" spans="1:13">
      <c r="A12" s="35" t="s">
        <v>17</v>
      </c>
    </row>
    <row r="14" spans="1:13">
      <c r="A14" s="35" t="s">
        <v>28</v>
      </c>
    </row>
    <row r="15" spans="1:13">
      <c r="A15" s="35" t="s">
        <v>18</v>
      </c>
    </row>
    <row r="17" spans="1:13">
      <c r="A17" s="35" t="s">
        <v>19</v>
      </c>
    </row>
    <row r="18" spans="1:13">
      <c r="A18" s="35" t="s">
        <v>29</v>
      </c>
    </row>
    <row r="19" spans="1:13">
      <c r="A19" s="35" t="s">
        <v>30</v>
      </c>
    </row>
    <row r="20" spans="1:13" ht="15.75" thickBot="1"/>
    <row r="21" spans="1:13" ht="15.75" thickBot="1">
      <c r="A21" s="35" t="s">
        <v>22</v>
      </c>
      <c r="M21" s="5"/>
    </row>
    <row r="23" spans="1:13">
      <c r="A23" s="35" t="s">
        <v>31</v>
      </c>
    </row>
    <row r="25" spans="1:13">
      <c r="A25" s="35" t="s">
        <v>20</v>
      </c>
    </row>
    <row r="26" spans="1:13">
      <c r="A26" s="35" t="s">
        <v>21</v>
      </c>
    </row>
    <row r="27" spans="1:13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.75">
      <c r="A28" s="13" t="s">
        <v>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2"/>
  <sheetViews>
    <sheetView topLeftCell="A8" zoomScaleNormal="100" workbookViewId="0">
      <selection activeCell="A33" sqref="A33"/>
    </sheetView>
  </sheetViews>
  <sheetFormatPr defaultRowHeight="15"/>
  <cols>
    <col min="1" max="1" width="9.7109375" style="35" customWidth="1"/>
    <col min="2" max="2" width="10.42578125" style="35" customWidth="1"/>
    <col min="3" max="9" width="6.7109375" style="35" customWidth="1"/>
    <col min="10" max="10" width="14.140625" style="35" bestFit="1" customWidth="1"/>
    <col min="11" max="11" width="2.7109375" style="35" customWidth="1"/>
    <col min="12" max="12" width="12.7109375" style="35" customWidth="1"/>
    <col min="13" max="19" width="6.7109375" style="35" customWidth="1"/>
    <col min="20" max="26" width="9.140625" style="35"/>
    <col min="27" max="27" width="12.140625" style="35" bestFit="1" customWidth="1"/>
    <col min="28" max="28" width="12.7109375" style="35" customWidth="1"/>
    <col min="29" max="16384" width="9.140625" style="35"/>
  </cols>
  <sheetData>
    <row r="1" spans="1:29" ht="15.75" thickBot="1">
      <c r="T1" s="522"/>
      <c r="U1" s="522"/>
      <c r="V1" s="522"/>
      <c r="W1" s="522"/>
      <c r="X1" s="522"/>
    </row>
    <row r="2" spans="1:29" ht="15" customHeight="1" thickBot="1">
      <c r="L2" s="14" t="s">
        <v>25</v>
      </c>
      <c r="M2" s="28">
        <f t="array" ref="M2">IF(SUM(IF(M8:S64="",0,1))=0,"",SUM(M8:S64))</f>
        <v>0</v>
      </c>
      <c r="O2" s="10" t="s">
        <v>14</v>
      </c>
      <c r="P2" s="6">
        <f>IF(M2="","",M2/M3)</f>
        <v>0</v>
      </c>
      <c r="S2" s="522"/>
      <c r="T2" s="522"/>
      <c r="U2" s="522"/>
      <c r="V2" s="522"/>
      <c r="W2" s="522"/>
      <c r="X2" s="522"/>
    </row>
    <row r="3" spans="1:29">
      <c r="L3" s="15" t="s">
        <v>26</v>
      </c>
      <c r="M3" s="29">
        <f>SUM(B8:B37)</f>
        <v>60</v>
      </c>
      <c r="S3" s="522"/>
      <c r="T3" s="522"/>
      <c r="U3" s="522"/>
      <c r="V3" s="522"/>
      <c r="W3" s="522"/>
      <c r="X3" s="522"/>
    </row>
    <row r="4" spans="1:29">
      <c r="S4" s="522"/>
      <c r="T4" s="522"/>
      <c r="U4" s="522"/>
      <c r="V4" s="522"/>
      <c r="W4" s="522"/>
      <c r="X4" s="522"/>
    </row>
    <row r="5" spans="1:29" ht="23.25">
      <c r="A5" s="11" t="s">
        <v>366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29" ht="15.75">
      <c r="A6" s="1"/>
      <c r="B6" s="1026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  <c r="Z6" s="522"/>
      <c r="AA6" s="522"/>
      <c r="AB6" s="522"/>
      <c r="AC6" s="522"/>
    </row>
    <row r="7" spans="1:29">
      <c r="A7" s="3" t="s">
        <v>0</v>
      </c>
      <c r="B7" s="1027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  <c r="Y7" s="522"/>
      <c r="Z7" s="522"/>
      <c r="AA7" s="522"/>
      <c r="AB7" s="522"/>
      <c r="AC7" s="522"/>
    </row>
    <row r="8" spans="1:29">
      <c r="A8" s="37">
        <v>1</v>
      </c>
      <c r="B8" s="52">
        <f>SUM(C8:I8)</f>
        <v>1</v>
      </c>
      <c r="C8" s="38">
        <v>1</v>
      </c>
      <c r="D8" s="38"/>
      <c r="E8" s="38"/>
      <c r="F8" s="38"/>
      <c r="G8" s="38"/>
      <c r="H8" s="38"/>
      <c r="I8" s="38"/>
      <c r="J8" s="39" t="str">
        <f ca="1">INDIRECT("'"&amp;A8&amp;"'!B1")</f>
        <v>Incomplete</v>
      </c>
      <c r="L8" s="37">
        <f>A8</f>
        <v>1</v>
      </c>
      <c r="M8" s="1025">
        <f>IFERROR(INDEX('1'!$A:$A,MATCH(M$7,'1'!$A:$A,FALSE)+2),"")</f>
        <v>0</v>
      </c>
      <c r="N8" s="1025" t="str">
        <f t="array" ref="N8">IFERROR(INDEX('1'!$A:$A,MATCH(N$7,'1'!$A:$A,FALSE)+2),"")</f>
        <v/>
      </c>
      <c r="O8" s="1025" t="str">
        <f t="array" ref="O8">IFERROR(INDEX('1'!$A:$A,MATCH(O$7,'1'!$A:$A,FALSE)+2),"")</f>
        <v/>
      </c>
      <c r="P8" s="1025" t="str">
        <f t="array" ref="P8">IFERROR(INDEX('1'!$A:$A,MATCH(P$7,'1'!$A:$A,FALSE)+2),"")</f>
        <v/>
      </c>
      <c r="Q8" s="1025" t="str">
        <f t="array" ref="Q8">IFERROR(INDEX('1'!$A:$A,MATCH(Q$7,'1'!$A:$A,FALSE)+2),"")</f>
        <v/>
      </c>
      <c r="R8" s="1025" t="str">
        <f t="array" ref="R8">IFERROR(INDEX('1'!$A:$A,MATCH(R$7,'1'!$A:$A,FALSE)+2),"")</f>
        <v/>
      </c>
      <c r="S8" s="1025" t="str">
        <f t="array" ref="S8">IFERROR(INDEX('1'!$A:$A,MATCH(S$7,'1'!$A:$A,FALSE)+2),"")</f>
        <v/>
      </c>
      <c r="T8" s="510" t="s">
        <v>42</v>
      </c>
      <c r="U8" s="510"/>
      <c r="V8" s="510"/>
      <c r="W8" s="510"/>
      <c r="X8" s="510"/>
      <c r="Y8" s="522"/>
      <c r="Z8" s="522"/>
      <c r="AA8" s="522"/>
      <c r="AB8" s="522"/>
      <c r="AC8" s="522"/>
    </row>
    <row r="9" spans="1:29">
      <c r="A9" s="37">
        <v>2</v>
      </c>
      <c r="B9" s="47">
        <f t="shared" ref="B9:B32" si="0">SUM(C9:I9)</f>
        <v>1</v>
      </c>
      <c r="C9" s="38">
        <v>1</v>
      </c>
      <c r="D9" s="38"/>
      <c r="E9" s="38"/>
      <c r="F9" s="38"/>
      <c r="G9" s="38"/>
      <c r="H9" s="38"/>
      <c r="I9" s="38"/>
      <c r="J9" s="39" t="str">
        <f t="shared" ref="J9:J26" ca="1" si="1">INDIRECT("'"&amp;A9&amp;"'!B1")</f>
        <v>Incomplete</v>
      </c>
      <c r="L9" s="37">
        <f t="shared" ref="L9:L26" si="2">A9</f>
        <v>2</v>
      </c>
      <c r="M9" s="1025">
        <f t="array" ref="M9">IFERROR(INDEX('2'!$A:$A,MATCH(M$7,'2'!$A:$A,FALSE)+2),"")</f>
        <v>0</v>
      </c>
      <c r="N9" s="1025" t="str">
        <f t="array" ref="N9">IFERROR(INDEX('2'!$A:$A,MATCH(N$7,'2'!$A:$A,FALSE)+2),"")</f>
        <v/>
      </c>
      <c r="O9" s="1025" t="str">
        <f t="array" ref="O9">IFERROR(INDEX('2'!$A:$A,MATCH(O$7,'2'!$A:$A,FALSE)+2),"")</f>
        <v/>
      </c>
      <c r="P9" s="1025" t="str">
        <f t="array" ref="P9">IFERROR(INDEX('2'!$A:$A,MATCH(P$7,'2'!$A:$A,FALSE)+2),"")</f>
        <v/>
      </c>
      <c r="Q9" s="1025" t="str">
        <f t="array" ref="Q9">IFERROR(INDEX('2'!$A:$A,MATCH(Q$7,'2'!$A:$A,FALSE)+2),"")</f>
        <v/>
      </c>
      <c r="R9" s="1025" t="str">
        <f t="array" ref="R9">IFERROR(INDEX('2'!$A:$A,MATCH(R$7,'2'!$A:$A,FALSE)+2),"")</f>
        <v/>
      </c>
      <c r="S9" s="1025" t="str">
        <f t="array" ref="S9">IFERROR(INDEX('2'!$A:$A,MATCH(S$7,'2'!$A:$A,FALSE)+2),"")</f>
        <v/>
      </c>
      <c r="T9" s="510" t="s">
        <v>42</v>
      </c>
      <c r="U9" s="510"/>
      <c r="V9" s="510"/>
      <c r="W9" s="510"/>
      <c r="X9" s="510"/>
      <c r="Y9" s="522"/>
      <c r="Z9" s="522"/>
      <c r="AA9" s="522"/>
      <c r="AB9" s="522"/>
      <c r="AC9" s="522"/>
    </row>
    <row r="10" spans="1:29">
      <c r="A10" s="37">
        <v>3</v>
      </c>
      <c r="B10" s="47">
        <f t="shared" si="0"/>
        <v>1</v>
      </c>
      <c r="C10" s="38">
        <v>1</v>
      </c>
      <c r="D10" s="38"/>
      <c r="E10" s="38"/>
      <c r="F10" s="38"/>
      <c r="G10" s="38"/>
      <c r="H10" s="38"/>
      <c r="I10" s="38"/>
      <c r="J10" s="39" t="str">
        <f t="shared" ca="1" si="1"/>
        <v>Incomplete</v>
      </c>
      <c r="L10" s="37">
        <f t="shared" si="2"/>
        <v>3</v>
      </c>
      <c r="M10" s="1025">
        <f t="array" ref="M10">IFERROR(INDEX('3'!$A:$A,MATCH(M$7,'3'!$A:$A,FALSE)+2),"")</f>
        <v>0</v>
      </c>
      <c r="N10" s="1025" t="str">
        <f t="array" ref="N10">IFERROR(INDEX('3'!$A:$A,MATCH(N$7,'3'!$A:$A,FALSE)+2),"")</f>
        <v/>
      </c>
      <c r="O10" s="1025" t="str">
        <f t="array" ref="O10">IFERROR(INDEX('3'!$A:$A,MATCH(O$7,'3'!$A:$A,FALSE)+2),"")</f>
        <v/>
      </c>
      <c r="P10" s="1025" t="str">
        <f t="array" ref="P10">IFERROR(INDEX('3'!$A:$A,MATCH(P$7,'3'!$A:$A,FALSE)+2),"")</f>
        <v/>
      </c>
      <c r="Q10" s="1025" t="str">
        <f t="array" ref="Q10">IFERROR(INDEX('3'!$A:$A,MATCH(Q$7,'3'!$A:$A,FALSE)+2),"")</f>
        <v/>
      </c>
      <c r="R10" s="1025" t="str">
        <f t="array" ref="R10">IFERROR(INDEX('3'!$A:$A,MATCH(R$7,'3'!$A:$A,FALSE)+2),"")</f>
        <v/>
      </c>
      <c r="S10" s="1025" t="str">
        <f t="array" ref="S10">IFERROR(INDEX('3'!$A:$A,MATCH(S$7,'3'!$A:$A,FALSE)+2),"")</f>
        <v/>
      </c>
      <c r="T10" s="510" t="s">
        <v>43</v>
      </c>
      <c r="U10" s="510"/>
      <c r="V10" s="510"/>
      <c r="W10" s="510"/>
      <c r="X10" s="510"/>
      <c r="Y10" s="522"/>
      <c r="Z10" s="522"/>
      <c r="AA10" s="522"/>
      <c r="AB10" s="522"/>
      <c r="AC10" s="522"/>
    </row>
    <row r="11" spans="1:29">
      <c r="A11" s="37">
        <v>4</v>
      </c>
      <c r="B11" s="47">
        <f t="shared" si="0"/>
        <v>1</v>
      </c>
      <c r="C11" s="38">
        <v>1</v>
      </c>
      <c r="D11" s="38"/>
      <c r="E11" s="38"/>
      <c r="F11" s="38"/>
      <c r="G11" s="38"/>
      <c r="H11" s="38"/>
      <c r="I11" s="38"/>
      <c r="J11" s="39" t="str">
        <f t="shared" ca="1" si="1"/>
        <v>Incomplete</v>
      </c>
      <c r="L11" s="37">
        <f t="shared" si="2"/>
        <v>4</v>
      </c>
      <c r="M11" s="1025">
        <f t="array" ref="M11">IFERROR(INDEX('4'!$A:$A,MATCH(M$7,'4'!$A:$A,FALSE)+2),"")</f>
        <v>0</v>
      </c>
      <c r="N11" s="1025" t="str">
        <f t="array" ref="N11">IFERROR(INDEX('4'!$A:$A,MATCH(N$7,'4'!$A:$A,FALSE)+2),"")</f>
        <v/>
      </c>
      <c r="O11" s="1025" t="str">
        <f t="array" ref="O11">IFERROR(INDEX('4'!$A:$A,MATCH(O$7,'4'!$A:$A,FALSE)+2),"")</f>
        <v/>
      </c>
      <c r="P11" s="1025" t="str">
        <f t="array" ref="P11">IFERROR(INDEX('4'!$A:$A,MATCH(P$7,'4'!$A:$A,FALSE)+2),"")</f>
        <v/>
      </c>
      <c r="Q11" s="1025" t="str">
        <f t="array" ref="Q11">IFERROR(INDEX('4'!$A:$A,MATCH(Q$7,'4'!$A:$A,FALSE)+2),"")</f>
        <v/>
      </c>
      <c r="R11" s="1025" t="str">
        <f t="array" ref="R11">IFERROR(INDEX('4'!$A:$A,MATCH(R$7,'4'!$A:$A,FALSE)+2),"")</f>
        <v/>
      </c>
      <c r="S11" s="1025" t="str">
        <f t="array" ref="S11">IFERROR(INDEX('4'!$A:$A,MATCH(S$7,'4'!$A:$A,FALSE)+2),"")</f>
        <v/>
      </c>
      <c r="T11" s="510" t="s">
        <v>43</v>
      </c>
      <c r="U11" s="510"/>
      <c r="V11" s="510"/>
      <c r="W11" s="510"/>
      <c r="X11" s="510"/>
      <c r="Y11" s="522"/>
      <c r="Z11" s="522"/>
      <c r="AA11" s="522"/>
      <c r="AB11" s="522"/>
      <c r="AC11" s="522"/>
    </row>
    <row r="12" spans="1:29">
      <c r="A12" s="37">
        <v>5</v>
      </c>
      <c r="B12" s="47">
        <f t="shared" si="0"/>
        <v>1</v>
      </c>
      <c r="C12" s="38">
        <v>1</v>
      </c>
      <c r="D12" s="38"/>
      <c r="E12" s="38"/>
      <c r="F12" s="38"/>
      <c r="G12" s="38"/>
      <c r="H12" s="38"/>
      <c r="I12" s="38"/>
      <c r="J12" s="39" t="str">
        <f t="shared" ca="1" si="1"/>
        <v>Incomplete</v>
      </c>
      <c r="L12" s="37">
        <f t="shared" si="2"/>
        <v>5</v>
      </c>
      <c r="M12" s="1025">
        <f t="array" ref="M12">IFERROR(INDEX('5'!$A:$A,MATCH(M$7,'5'!$A:$A,FALSE)+2),"")</f>
        <v>0</v>
      </c>
      <c r="N12" s="1025" t="str">
        <f t="array" ref="N12">IFERROR(INDEX('5'!$A:$A,MATCH(N$7,'5'!$A:$A,FALSE)+2),"")</f>
        <v/>
      </c>
      <c r="O12" s="1025" t="str">
        <f t="array" ref="O12">IFERROR(INDEX('5'!$A:$A,MATCH(O$7,'5'!$A:$A,FALSE)+2),"")</f>
        <v/>
      </c>
      <c r="P12" s="1025" t="str">
        <f t="array" ref="P12">IFERROR(INDEX('5'!$A:$A,MATCH(P$7,'5'!$A:$A,FALSE)+2),"")</f>
        <v/>
      </c>
      <c r="Q12" s="1025" t="str">
        <f t="array" ref="Q12">IFERROR(INDEX('5'!$A:$A,MATCH(Q$7,'5'!$A:$A,FALSE)+2),"")</f>
        <v/>
      </c>
      <c r="R12" s="1025" t="str">
        <f t="array" ref="R12">IFERROR(INDEX('5'!$A:$A,MATCH(R$7,'5'!$A:$A,FALSE)+2),"")</f>
        <v/>
      </c>
      <c r="S12" s="1025" t="str">
        <f t="array" ref="S12">IFERROR(INDEX('5'!$A:$A,MATCH(S$7,'5'!$A:$A,FALSE)+2),"")</f>
        <v/>
      </c>
      <c r="T12" s="510" t="s">
        <v>416</v>
      </c>
      <c r="U12" s="510"/>
      <c r="V12" s="510"/>
      <c r="W12" s="510"/>
      <c r="X12" s="510"/>
      <c r="Y12" s="522"/>
      <c r="Z12" s="522"/>
      <c r="AA12" s="522"/>
      <c r="AB12" s="522"/>
      <c r="AC12" s="522"/>
    </row>
    <row r="13" spans="1:29">
      <c r="A13" s="37">
        <v>6</v>
      </c>
      <c r="B13" s="47">
        <f t="shared" si="0"/>
        <v>1</v>
      </c>
      <c r="C13" s="38">
        <v>1</v>
      </c>
      <c r="D13" s="38"/>
      <c r="E13" s="38"/>
      <c r="F13" s="38"/>
      <c r="G13" s="38"/>
      <c r="H13" s="38"/>
      <c r="I13" s="38"/>
      <c r="J13" s="39" t="str">
        <f t="shared" ca="1" si="1"/>
        <v>Incomplete</v>
      </c>
      <c r="L13" s="37">
        <f t="shared" si="2"/>
        <v>6</v>
      </c>
      <c r="M13" s="1025">
        <f t="array" ref="M13">IFERROR(INDEX('6'!$A:$A,MATCH(M$7,'6'!$A:$A,FALSE)+2),"")</f>
        <v>0</v>
      </c>
      <c r="N13" s="1025" t="str">
        <f t="array" ref="N13">IFERROR(INDEX('6'!$A:$A,MATCH(N$7,'6'!$A:$A,FALSE)+2),"")</f>
        <v/>
      </c>
      <c r="O13" s="1025" t="str">
        <f t="array" ref="O13">IFERROR(INDEX('6'!$A:$A,MATCH(O$7,'6'!$A:$A,FALSE)+2),"")</f>
        <v/>
      </c>
      <c r="P13" s="1025" t="str">
        <f t="array" ref="P13">IFERROR(INDEX('6'!$A:$A,MATCH(P$7,'6'!$A:$A,FALSE)+2),"")</f>
        <v/>
      </c>
      <c r="Q13" s="1025" t="str">
        <f t="array" ref="Q13">IFERROR(INDEX('6'!$A:$A,MATCH(Q$7,'6'!$A:$A,FALSE)+2),"")</f>
        <v/>
      </c>
      <c r="R13" s="1025" t="str">
        <f t="array" ref="R13">IFERROR(INDEX('6'!$A:$A,MATCH(R$7,'6'!$A:$A,FALSE)+2),"")</f>
        <v/>
      </c>
      <c r="S13" s="1025" t="str">
        <f t="array" ref="S13">IFERROR(INDEX('6'!$A:$A,MATCH(S$7,'6'!$A:$A,FALSE)+2),"")</f>
        <v/>
      </c>
      <c r="T13" s="1023" t="s">
        <v>44</v>
      </c>
      <c r="U13" s="1023"/>
      <c r="V13" s="1023"/>
      <c r="W13" s="1023"/>
      <c r="X13" s="1023"/>
      <c r="Y13" s="522"/>
      <c r="Z13" s="522"/>
      <c r="AA13" s="522"/>
      <c r="AB13" s="522"/>
      <c r="AC13" s="522"/>
    </row>
    <row r="14" spans="1:29">
      <c r="A14" s="37">
        <v>7</v>
      </c>
      <c r="B14" s="47">
        <f t="shared" si="0"/>
        <v>2</v>
      </c>
      <c r="C14" s="38">
        <v>0.75</v>
      </c>
      <c r="D14" s="38">
        <v>0.5</v>
      </c>
      <c r="E14" s="38">
        <v>0.75</v>
      </c>
      <c r="F14" s="38"/>
      <c r="G14" s="38"/>
      <c r="H14" s="38"/>
      <c r="I14" s="38"/>
      <c r="J14" s="39" t="str">
        <f t="shared" ca="1" si="1"/>
        <v>Incomplete</v>
      </c>
      <c r="L14" s="37">
        <f t="shared" si="2"/>
        <v>7</v>
      </c>
      <c r="M14" s="1025">
        <f t="array" ref="M14">IFERROR(INDEX('7'!$A:$A,MATCH(M$7,'7'!$A:$A,FALSE)+2),"")</f>
        <v>0</v>
      </c>
      <c r="N14" s="1025">
        <f t="array" ref="N14">IFERROR(INDEX('7'!$A:$A,MATCH(N$7,'7'!$A:$A,FALSE)+2),"")</f>
        <v>0</v>
      </c>
      <c r="O14" s="1025">
        <f t="array" ref="O14">IFERROR(INDEX('7'!$A:$A,MATCH(O$7,'7'!$A:$A,FALSE)+2),"")</f>
        <v>0</v>
      </c>
      <c r="P14" s="1025" t="str">
        <f t="array" ref="P14">IFERROR(INDEX('7'!$A:$A,MATCH(P$7,'7'!$A:$A,FALSE)+2),"")</f>
        <v/>
      </c>
      <c r="Q14" s="1025" t="str">
        <f t="array" ref="Q14">IFERROR(INDEX('7'!$A:$A,MATCH(Q$7,'7'!$A:$A,FALSE)+2),"")</f>
        <v/>
      </c>
      <c r="R14" s="1025" t="str">
        <f t="array" ref="R14">IFERROR(INDEX('7'!$A:$A,MATCH(R$7,'7'!$A:$A,FALSE)+2),"")</f>
        <v/>
      </c>
      <c r="S14" s="1025" t="str">
        <f t="array" ref="S14">IFERROR(INDEX('7'!$A:$A,MATCH(S$7,'7'!$A:$A,FALSE)+2),"")</f>
        <v/>
      </c>
      <c r="T14" s="510" t="s">
        <v>63</v>
      </c>
      <c r="U14" s="510"/>
      <c r="V14" s="510"/>
      <c r="W14" s="510"/>
      <c r="X14" s="510"/>
      <c r="Y14" s="522"/>
      <c r="Z14" s="522"/>
      <c r="AA14" s="522"/>
      <c r="AB14" s="522"/>
      <c r="AC14" s="522"/>
    </row>
    <row r="15" spans="1:29">
      <c r="A15" s="37">
        <v>8</v>
      </c>
      <c r="B15" s="47">
        <f t="shared" si="0"/>
        <v>2.5</v>
      </c>
      <c r="C15" s="38">
        <v>2</v>
      </c>
      <c r="D15" s="38">
        <v>0.5</v>
      </c>
      <c r="E15" s="38"/>
      <c r="F15" s="38"/>
      <c r="G15" s="38"/>
      <c r="H15" s="38"/>
      <c r="I15" s="38"/>
      <c r="J15" s="39" t="str">
        <f t="shared" ca="1" si="1"/>
        <v>Incomplete</v>
      </c>
      <c r="L15" s="37">
        <f t="shared" si="2"/>
        <v>8</v>
      </c>
      <c r="M15" s="1025">
        <f t="array" ref="M15">IFERROR(INDEX('8'!$A:$A,MATCH(M$7,'8'!$A:$A,FALSE)+2),"")</f>
        <v>0</v>
      </c>
      <c r="N15" s="1025">
        <f t="array" ref="N15">IFERROR(INDEX('8'!$A:$A,MATCH(N$7,'8'!$A:$A,FALSE)+2),"")</f>
        <v>0</v>
      </c>
      <c r="O15" s="1025" t="str">
        <f t="array" ref="O15">IFERROR(INDEX('8'!$A:$A,MATCH(O$7,'8'!$A:$A,FALSE)+2),"")</f>
        <v/>
      </c>
      <c r="P15" s="1025" t="str">
        <f t="array" ref="P15">IFERROR(INDEX('8'!$A:$A,MATCH(P$7,'8'!$A:$A,FALSE)+2),"")</f>
        <v/>
      </c>
      <c r="Q15" s="1025" t="str">
        <f t="array" ref="Q15">IFERROR(INDEX('8'!$A:$A,MATCH(Q$7,'8'!$A:$A,FALSE)+2),"")</f>
        <v/>
      </c>
      <c r="R15" s="1025" t="str">
        <f t="array" ref="R15">IFERROR(INDEX('8'!$A:$A,MATCH(R$7,'8'!$A:$A,FALSE)+2),"")</f>
        <v/>
      </c>
      <c r="S15" s="1025" t="str">
        <f t="array" ref="S15">IFERROR(INDEX('8'!$A:$A,MATCH(S$7,'8'!$A:$A,FALSE)+2),"")</f>
        <v/>
      </c>
      <c r="T15" s="510" t="s">
        <v>64</v>
      </c>
      <c r="U15" s="510"/>
      <c r="V15" s="510"/>
      <c r="W15" s="510"/>
      <c r="X15" s="510"/>
      <c r="Y15" s="522"/>
      <c r="Z15" s="522"/>
      <c r="AA15" s="522"/>
      <c r="AB15" s="522"/>
      <c r="AC15" s="522"/>
    </row>
    <row r="16" spans="1:29">
      <c r="A16" s="37">
        <v>9</v>
      </c>
      <c r="B16" s="47">
        <f t="shared" si="0"/>
        <v>2.5</v>
      </c>
      <c r="C16" s="38">
        <v>0.5</v>
      </c>
      <c r="D16" s="38">
        <v>2</v>
      </c>
      <c r="E16" s="38"/>
      <c r="F16" s="38"/>
      <c r="G16" s="38"/>
      <c r="H16" s="38"/>
      <c r="I16" s="38"/>
      <c r="J16" s="39" t="str">
        <f t="shared" ca="1" si="1"/>
        <v>Incomplete</v>
      </c>
      <c r="L16" s="37">
        <f t="shared" si="2"/>
        <v>9</v>
      </c>
      <c r="M16" s="1025">
        <f t="array" ref="M16">IFERROR(INDEX('9'!$A:$A,MATCH(M$7,'9'!$A:$A,FALSE)+2),"")</f>
        <v>0</v>
      </c>
      <c r="N16" s="1025">
        <f t="array" ref="N16">IFERROR(INDEX('9'!$A:$A,MATCH(N$7,'9'!$A:$A,FALSE)+2),"")</f>
        <v>0</v>
      </c>
      <c r="O16" s="1025" t="str">
        <f t="array" ref="O16">IFERROR(INDEX('9'!$A:$A,MATCH(O$7,'9'!$A:$A,FALSE)+2),"")</f>
        <v/>
      </c>
      <c r="P16" s="1025" t="str">
        <f t="array" ref="P16">IFERROR(INDEX('9'!$A:$A,MATCH(P$7,'9'!$A:$A,FALSE)+2),"")</f>
        <v/>
      </c>
      <c r="Q16" s="1025" t="str">
        <f t="array" ref="Q16">IFERROR(INDEX('9'!$A:$A,MATCH(Q$7,'9'!$A:$A,FALSE)+2),"")</f>
        <v/>
      </c>
      <c r="R16" s="1025" t="str">
        <f t="array" ref="R16">IFERROR(INDEX('9'!$A:$A,MATCH(R$7,'9'!$A:$A,FALSE)+2),"")</f>
        <v/>
      </c>
      <c r="S16" s="1025" t="str">
        <f t="array" ref="S16">IFERROR(INDEX('9'!$A:$A,MATCH(S$7,'9'!$A:$A,FALSE)+2),"")</f>
        <v/>
      </c>
      <c r="T16" s="510" t="s">
        <v>97</v>
      </c>
      <c r="U16" s="510"/>
      <c r="V16" s="510"/>
      <c r="W16" s="510"/>
      <c r="X16" s="510"/>
      <c r="Y16" s="522"/>
      <c r="Z16" s="522"/>
      <c r="AA16" s="522"/>
      <c r="AB16" s="522"/>
      <c r="AC16" s="522"/>
    </row>
    <row r="17" spans="1:29">
      <c r="A17" s="37">
        <v>10</v>
      </c>
      <c r="B17" s="47">
        <f t="shared" si="0"/>
        <v>2</v>
      </c>
      <c r="C17" s="38">
        <v>0.5</v>
      </c>
      <c r="D17" s="38">
        <v>1.5</v>
      </c>
      <c r="E17" s="38"/>
      <c r="F17" s="38"/>
      <c r="G17" s="38"/>
      <c r="H17" s="38"/>
      <c r="I17" s="38"/>
      <c r="J17" s="39" t="str">
        <f t="shared" ca="1" si="1"/>
        <v>Incomplete</v>
      </c>
      <c r="L17" s="37">
        <f t="shared" si="2"/>
        <v>10</v>
      </c>
      <c r="M17" s="1025">
        <f t="array" ref="M17">IFERROR(INDEX('10'!$A:$A,MATCH(M$7,'10'!$A:$A,FALSE)+2),"")</f>
        <v>0</v>
      </c>
      <c r="N17" s="1025">
        <f t="array" ref="N17">IFERROR(INDEX('10'!$A:$A,MATCH(N$7,'10'!$A:$A,FALSE)+2),"")</f>
        <v>0</v>
      </c>
      <c r="O17" s="1025" t="str">
        <f t="array" ref="O17">IFERROR(INDEX('10'!$A:$A,MATCH(O$7,'10'!$A:$A,FALSE)+2),"")</f>
        <v/>
      </c>
      <c r="P17" s="1025" t="str">
        <f t="array" ref="P17">IFERROR(INDEX('10'!$A:$A,MATCH(P$7,'10'!$A:$A,FALSE)+2),"")</f>
        <v/>
      </c>
      <c r="Q17" s="1025" t="str">
        <f t="array" ref="Q17">IFERROR(INDEX('10'!$A:$A,MATCH(Q$7,'10'!$A:$A,FALSE)+2),"")</f>
        <v/>
      </c>
      <c r="R17" s="1025" t="str">
        <f t="array" ref="R17">IFERROR(INDEX('10'!$A:$A,MATCH(R$7,'10'!$A:$A,FALSE)+2),"")</f>
        <v/>
      </c>
      <c r="S17" s="1025" t="str">
        <f t="array" ref="S17">IFERROR(INDEX('10'!$A:$A,MATCH(S$7,'10'!$A:$A,FALSE)+2),"")</f>
        <v/>
      </c>
      <c r="T17" s="510" t="s">
        <v>116</v>
      </c>
      <c r="U17" s="510"/>
      <c r="V17" s="510"/>
      <c r="W17" s="510"/>
      <c r="X17" s="510"/>
      <c r="Y17" s="522"/>
      <c r="Z17" s="522"/>
      <c r="AA17" s="522"/>
      <c r="AB17" s="522"/>
      <c r="AC17" s="522"/>
    </row>
    <row r="18" spans="1:29">
      <c r="A18" s="37">
        <v>11</v>
      </c>
      <c r="B18" s="47">
        <f t="shared" si="0"/>
        <v>3.5</v>
      </c>
      <c r="C18" s="38">
        <v>1.5</v>
      </c>
      <c r="D18" s="38">
        <v>1.5</v>
      </c>
      <c r="E18" s="38">
        <v>0.5</v>
      </c>
      <c r="F18" s="38"/>
      <c r="G18" s="38"/>
      <c r="H18" s="38"/>
      <c r="I18" s="38"/>
      <c r="J18" s="39" t="str">
        <f t="shared" ca="1" si="1"/>
        <v>Incomplete</v>
      </c>
      <c r="L18" s="37">
        <f t="shared" si="2"/>
        <v>11</v>
      </c>
      <c r="M18" s="1025">
        <f t="array" ref="M18">IFERROR(INDEX('11'!$A:$A,MATCH(M$7,'11'!$A:$A,FALSE)+2),"")</f>
        <v>0</v>
      </c>
      <c r="N18" s="1025">
        <f t="array" ref="N18">IFERROR(INDEX('11'!$A:$A,MATCH(N$7,'11'!$A:$A,FALSE)+2),"")</f>
        <v>0</v>
      </c>
      <c r="O18" s="1025">
        <f t="array" ref="O18">IFERROR(INDEX('11'!$A:$A,MATCH(O$7,'11'!$A:$A,FALSE)+2),"")</f>
        <v>0</v>
      </c>
      <c r="P18" s="1025" t="str">
        <f t="array" ref="P18">IFERROR(INDEX('11'!$A:$A,MATCH(P$7,'11'!$A:$A,FALSE)+2),"")</f>
        <v/>
      </c>
      <c r="Q18" s="1025" t="str">
        <f t="array" ref="Q18">IFERROR(INDEX('11'!$A:$A,MATCH(Q$7,'11'!$A:$A,FALSE)+2),"")</f>
        <v/>
      </c>
      <c r="R18" s="1025" t="str">
        <f t="array" ref="R18">IFERROR(INDEX('11'!$A:$A,MATCH(R$7,'11'!$A:$A,FALSE)+2),"")</f>
        <v/>
      </c>
      <c r="S18" s="1025" t="str">
        <f t="array" ref="S18">IFERROR(INDEX('11'!$A:$A,MATCH(S$7,'11'!$A:$A,FALSE)+2),"")</f>
        <v/>
      </c>
      <c r="T18" s="510" t="s">
        <v>124</v>
      </c>
      <c r="U18" s="510"/>
      <c r="V18" s="510"/>
      <c r="W18" s="510"/>
      <c r="X18" s="510"/>
      <c r="Y18" s="522"/>
      <c r="Z18" s="522"/>
      <c r="AA18" s="522"/>
      <c r="AB18" s="522"/>
      <c r="AC18" s="522"/>
    </row>
    <row r="19" spans="1:29">
      <c r="A19" s="37">
        <v>12</v>
      </c>
      <c r="B19" s="47">
        <f t="shared" si="0"/>
        <v>3.25</v>
      </c>
      <c r="C19" s="38">
        <v>3.25</v>
      </c>
      <c r="D19" s="38"/>
      <c r="E19" s="38"/>
      <c r="F19" s="38"/>
      <c r="G19" s="38"/>
      <c r="H19" s="38"/>
      <c r="I19" s="38"/>
      <c r="J19" s="39" t="str">
        <f t="shared" ca="1" si="1"/>
        <v>Incomplete</v>
      </c>
      <c r="L19" s="37">
        <f t="shared" si="2"/>
        <v>12</v>
      </c>
      <c r="M19" s="1025">
        <f t="array" ref="M19">IFERROR(INDEX('12'!$A:$A,MATCH(M$7,'12'!$A:$A,FALSE)+2),"")</f>
        <v>0</v>
      </c>
      <c r="N19" s="1025" t="str">
        <f t="array" ref="N19">IFERROR(INDEX('12'!$A:$A,MATCH(N$7,'12'!$A:$A,FALSE)+2),"")</f>
        <v/>
      </c>
      <c r="O19" s="1025" t="str">
        <f t="array" ref="O19">IFERROR(INDEX('12'!$A:$A,MATCH(O$7,'12'!$A:$A,FALSE)+2),"")</f>
        <v/>
      </c>
      <c r="P19" s="1025" t="str">
        <f t="array" ref="P19">IFERROR(INDEX('12'!$A:$A,MATCH(P$7,'12'!$A:$A,FALSE)+2),"")</f>
        <v/>
      </c>
      <c r="Q19" s="1025" t="str">
        <f t="array" ref="Q19">IFERROR(INDEX('12'!$A:$A,MATCH(Q$7,'12'!$A:$A,FALSE)+2),"")</f>
        <v/>
      </c>
      <c r="R19" s="1025" t="str">
        <f t="array" ref="R19">IFERROR(INDEX('12'!$A:$A,MATCH(R$7,'12'!$A:$A,FALSE)+2),"")</f>
        <v/>
      </c>
      <c r="S19" s="1025" t="str">
        <f t="array" ref="S19">IFERROR(INDEX('12'!$A:$A,MATCH(S$7,'12'!$A:$A,FALSE)+2),"")</f>
        <v/>
      </c>
      <c r="T19" s="510" t="s">
        <v>1011</v>
      </c>
      <c r="U19" s="510"/>
      <c r="V19" s="510"/>
      <c r="W19" s="510"/>
      <c r="X19" s="510"/>
      <c r="Y19" s="522"/>
      <c r="Z19" s="522"/>
      <c r="AA19" s="522"/>
      <c r="AB19" s="522"/>
      <c r="AC19" s="522"/>
    </row>
    <row r="20" spans="1:29">
      <c r="A20" s="37">
        <v>13</v>
      </c>
      <c r="B20" s="47">
        <f t="shared" si="0"/>
        <v>3.75</v>
      </c>
      <c r="C20" s="38">
        <v>3.75</v>
      </c>
      <c r="D20" s="38"/>
      <c r="E20" s="38"/>
      <c r="F20" s="38"/>
      <c r="G20" s="38"/>
      <c r="H20" s="38"/>
      <c r="I20" s="38"/>
      <c r="J20" s="39" t="str">
        <f t="shared" ca="1" si="1"/>
        <v>Incomplete</v>
      </c>
      <c r="L20" s="37">
        <f t="shared" si="2"/>
        <v>13</v>
      </c>
      <c r="M20" s="1025">
        <f t="array" ref="M20">IFERROR(INDEX('13'!$A:$A,MATCH(M$7,'13'!$A:$A,FALSE)+2),"")</f>
        <v>0</v>
      </c>
      <c r="N20" s="1025" t="str">
        <f t="array" ref="N20">IFERROR(INDEX('13'!$A:$A,MATCH(N$7,'13'!$A:$A,FALSE)+2),"")</f>
        <v/>
      </c>
      <c r="O20" s="1025" t="str">
        <f t="array" ref="O20">IFERROR(INDEX('13'!$A:$A,MATCH(O$7,'13'!$A:$A,FALSE)+2),"")</f>
        <v/>
      </c>
      <c r="P20" s="1025" t="str">
        <f t="array" ref="P20">IFERROR(INDEX('13'!$A:$A,MATCH(P$7,'13'!$A:$A,FALSE)+2),"")</f>
        <v/>
      </c>
      <c r="Q20" s="1025" t="str">
        <f t="array" ref="Q20">IFERROR(INDEX('13'!$A:$A,MATCH(Q$7,'13'!$A:$A,FALSE)+2),"")</f>
        <v/>
      </c>
      <c r="R20" s="1025" t="str">
        <f t="array" ref="R20">IFERROR(INDEX('13'!$A:$A,MATCH(R$7,'13'!$A:$A,FALSE)+2),"")</f>
        <v/>
      </c>
      <c r="S20" s="1025" t="str">
        <f t="array" ref="S20">IFERROR(INDEX('13'!$A:$A,MATCH(S$7,'13'!$A:$A,FALSE)+2),"")</f>
        <v/>
      </c>
      <c r="T20" s="510" t="s">
        <v>148</v>
      </c>
      <c r="U20" s="510"/>
      <c r="V20" s="510"/>
      <c r="W20" s="510"/>
      <c r="X20" s="510"/>
      <c r="Y20" s="522"/>
      <c r="Z20" s="522"/>
      <c r="AA20" s="522"/>
      <c r="AB20" s="522"/>
      <c r="AC20" s="522"/>
    </row>
    <row r="21" spans="1:29">
      <c r="A21" s="37">
        <v>14</v>
      </c>
      <c r="B21" s="47">
        <f t="shared" si="0"/>
        <v>0.5</v>
      </c>
      <c r="C21" s="38">
        <v>0.25</v>
      </c>
      <c r="D21" s="38">
        <v>0.25</v>
      </c>
      <c r="E21" s="38"/>
      <c r="F21" s="38"/>
      <c r="G21" s="38"/>
      <c r="H21" s="38"/>
      <c r="I21" s="38"/>
      <c r="J21" s="39" t="str">
        <f t="shared" ca="1" si="1"/>
        <v>Incomplete</v>
      </c>
      <c r="L21" s="37">
        <f t="shared" si="2"/>
        <v>14</v>
      </c>
      <c r="M21" s="1025">
        <f t="array" ref="M21">IFERROR(INDEX('14'!$A:$A,MATCH(M$7,'14'!$A:$A,FALSE)+2),"")</f>
        <v>0</v>
      </c>
      <c r="N21" s="1025">
        <f t="array" ref="N21">IFERROR(INDEX('14'!$A:$A,MATCH(N$7,'14'!$A:$A,FALSE)+2),"")</f>
        <v>0</v>
      </c>
      <c r="O21" s="1025" t="str">
        <f t="array" ref="O21">IFERROR(INDEX('14'!$A:$A,MATCH(O$7,'14'!$A:$A,FALSE)+2),"")</f>
        <v/>
      </c>
      <c r="P21" s="1025" t="str">
        <f t="array" ref="P21">IFERROR(INDEX('14'!$A:$A,MATCH(P$7,'14'!$A:$A,FALSE)+2),"")</f>
        <v/>
      </c>
      <c r="Q21" s="1025" t="str">
        <f t="array" ref="Q21">IFERROR(INDEX('14'!$A:$A,MATCH(Q$7,'14'!$A:$A,FALSE)+2),"")</f>
        <v/>
      </c>
      <c r="R21" s="1025" t="str">
        <f t="array" ref="R21">IFERROR(INDEX('14'!$A:$A,MATCH(R$7,'14'!$A:$A,FALSE)+2),"")</f>
        <v/>
      </c>
      <c r="S21" s="1025" t="str">
        <f t="array" ref="S21">IFERROR(INDEX('14'!$A:$A,MATCH(S$7,'14'!$A:$A,FALSE)+2),"")</f>
        <v/>
      </c>
      <c r="T21" s="510" t="s">
        <v>149</v>
      </c>
      <c r="U21" s="510"/>
      <c r="V21" s="510"/>
      <c r="W21" s="510"/>
      <c r="X21" s="510"/>
      <c r="Y21" s="522"/>
      <c r="Z21" s="522"/>
      <c r="AA21" s="522"/>
      <c r="AB21" s="522"/>
      <c r="AC21" s="522"/>
    </row>
    <row r="22" spans="1:29">
      <c r="A22" s="37">
        <v>15</v>
      </c>
      <c r="B22" s="47">
        <f t="shared" si="0"/>
        <v>1</v>
      </c>
      <c r="C22" s="38">
        <v>0.5</v>
      </c>
      <c r="D22" s="38">
        <v>0.5</v>
      </c>
      <c r="E22" s="38"/>
      <c r="F22" s="38"/>
      <c r="G22" s="38"/>
      <c r="H22" s="38"/>
      <c r="I22" s="38"/>
      <c r="J22" s="39" t="str">
        <f t="shared" ca="1" si="1"/>
        <v>Incomplete</v>
      </c>
      <c r="L22" s="37">
        <f t="shared" si="2"/>
        <v>15</v>
      </c>
      <c r="M22" s="1025">
        <f t="array" ref="M22">IFERROR(INDEX('15'!$A:$A,MATCH(M$7,'15'!$A:$A,FALSE)+2),"")</f>
        <v>0</v>
      </c>
      <c r="N22" s="1025">
        <f t="array" ref="N22">IFERROR(INDEX('15'!$A:$A,MATCH(N$7,'15'!$A:$A,FALSE)+2),"")</f>
        <v>0</v>
      </c>
      <c r="O22" s="1025" t="str">
        <f t="array" ref="O22">IFERROR(INDEX('15'!$A:$A,MATCH(O$7,'15'!$A:$A,FALSE)+2),"")</f>
        <v/>
      </c>
      <c r="P22" s="1025" t="str">
        <f t="array" ref="P22">IFERROR(INDEX('15'!$A:$A,MATCH(P$7,'15'!$A:$A,FALSE)+2),"")</f>
        <v/>
      </c>
      <c r="Q22" s="1025" t="str">
        <f t="array" ref="Q22">IFERROR(INDEX('15'!$A:$A,MATCH(Q$7,'15'!$A:$A,FALSE)+2),"")</f>
        <v/>
      </c>
      <c r="R22" s="1025" t="str">
        <f t="array" ref="R22">IFERROR(INDEX('15'!$A:$A,MATCH(R$7,'15'!$A:$A,FALSE)+2),"")</f>
        <v/>
      </c>
      <c r="S22" s="1025" t="str">
        <f t="array" ref="S22">IFERROR(INDEX('15'!$A:$A,MATCH(S$7,'15'!$A:$A,FALSE)+2),"")</f>
        <v/>
      </c>
      <c r="T22" s="510" t="s">
        <v>153</v>
      </c>
      <c r="U22" s="510"/>
      <c r="V22" s="510"/>
      <c r="W22" s="510"/>
      <c r="X22" s="510"/>
      <c r="Y22" s="522"/>
      <c r="Z22" s="522"/>
      <c r="AA22" s="522"/>
      <c r="AB22" s="522"/>
      <c r="AC22" s="522"/>
    </row>
    <row r="23" spans="1:29">
      <c r="A23" s="37">
        <v>16</v>
      </c>
      <c r="B23" s="47">
        <f t="shared" si="0"/>
        <v>2.5</v>
      </c>
      <c r="C23" s="38">
        <v>0.25</v>
      </c>
      <c r="D23" s="38">
        <v>0.5</v>
      </c>
      <c r="E23" s="38">
        <v>0.75</v>
      </c>
      <c r="F23" s="38">
        <v>1</v>
      </c>
      <c r="G23" s="38"/>
      <c r="H23" s="38"/>
      <c r="I23" s="38"/>
      <c r="J23" s="39" t="str">
        <f t="shared" ca="1" si="1"/>
        <v>Incomplete</v>
      </c>
      <c r="L23" s="37">
        <f t="shared" si="2"/>
        <v>16</v>
      </c>
      <c r="M23" s="1025">
        <f t="array" ref="M23">IFERROR(INDEX('16'!$A:$A,MATCH(M$7,'16'!$A:$A,FALSE)+2),"")</f>
        <v>0</v>
      </c>
      <c r="N23" s="1025">
        <f t="array" ref="N23">IFERROR(INDEX('16'!$A:$A,MATCH(N$7,'16'!$A:$A,FALSE)+2),"")</f>
        <v>0</v>
      </c>
      <c r="O23" s="1025">
        <f t="array" ref="O23">IFERROR(INDEX('16'!$A:$A,MATCH(O$7,'16'!$A:$A,FALSE)+2),"")</f>
        <v>0</v>
      </c>
      <c r="P23" s="1025">
        <f t="array" ref="P23">IFERROR(INDEX('16'!$A:$A,MATCH(P$7,'16'!$A:$A,FALSE)+2),"")</f>
        <v>0</v>
      </c>
      <c r="Q23" s="1025" t="str">
        <f t="array" ref="Q23">IFERROR(INDEX('16'!$A:$A,MATCH(Q$7,'16'!$A:$A,FALSE)+2),"")</f>
        <v/>
      </c>
      <c r="R23" s="1025" t="str">
        <f t="array" ref="R23">IFERROR(INDEX('16'!$A:$A,MATCH(R$7,'16'!$A:$A,FALSE)+2),"")</f>
        <v/>
      </c>
      <c r="S23" s="1025" t="str">
        <f t="array" ref="S23">IFERROR(INDEX('16'!$A:$A,MATCH(S$7,'16'!$A:$A,FALSE)+2),"")</f>
        <v/>
      </c>
      <c r="T23" s="510" t="s">
        <v>153</v>
      </c>
      <c r="U23" s="510"/>
      <c r="V23" s="510"/>
      <c r="W23" s="510"/>
      <c r="X23" s="510"/>
      <c r="Y23" s="522"/>
      <c r="Z23" s="522"/>
      <c r="AA23" s="522"/>
      <c r="AB23" s="522"/>
      <c r="AC23" s="522"/>
    </row>
    <row r="24" spans="1:29">
      <c r="A24" s="37">
        <v>17</v>
      </c>
      <c r="B24" s="47">
        <f t="shared" si="0"/>
        <v>3.5</v>
      </c>
      <c r="C24" s="38">
        <v>1.5</v>
      </c>
      <c r="D24" s="38">
        <v>2</v>
      </c>
      <c r="E24" s="38"/>
      <c r="F24" s="38"/>
      <c r="G24" s="38"/>
      <c r="H24" s="38"/>
      <c r="I24" s="38"/>
      <c r="J24" s="39" t="str">
        <f t="shared" ca="1" si="1"/>
        <v>Incomplete</v>
      </c>
      <c r="L24" s="37">
        <f t="shared" si="2"/>
        <v>17</v>
      </c>
      <c r="M24" s="1025">
        <f t="array" ref="M24">IFERROR(INDEX('17'!$A:$A,MATCH(M$7,'17'!$A:$A,FALSE)+2),"")</f>
        <v>0</v>
      </c>
      <c r="N24" s="1025">
        <f t="array" ref="N24">IFERROR(INDEX('17'!$A:$A,MATCH(N$7,'17'!$A:$A,FALSE)+2),"")</f>
        <v>0</v>
      </c>
      <c r="O24" s="1025" t="str">
        <f t="array" ref="O24">IFERROR(INDEX('17'!$A:$A,MATCH(O$7,'17'!$A:$A,FALSE)+2),"")</f>
        <v/>
      </c>
      <c r="P24" s="1025" t="str">
        <f t="array" ref="P24">IFERROR(INDEX('17'!$A:$A,MATCH(P$7,'17'!$A:$A,FALSE)+2),"")</f>
        <v/>
      </c>
      <c r="Q24" s="1025" t="str">
        <f t="array" ref="Q24">IFERROR(INDEX('17'!$A:$A,MATCH(Q$7,'17'!$A:$A,FALSE)+2),"")</f>
        <v/>
      </c>
      <c r="R24" s="1025" t="str">
        <f t="array" ref="R24">IFERROR(INDEX('17'!$A:$A,MATCH(R$7,'17'!$A:$A,FALSE)+2),"")</f>
        <v/>
      </c>
      <c r="S24" s="1025" t="str">
        <f t="array" ref="S24">IFERROR(INDEX('17'!$A:$A,MATCH(S$7,'17'!$A:$A,FALSE)+2),"")</f>
        <v/>
      </c>
      <c r="T24" s="510" t="s">
        <v>198</v>
      </c>
      <c r="U24" s="510"/>
      <c r="V24" s="510"/>
      <c r="W24" s="510"/>
      <c r="X24" s="510"/>
      <c r="Y24" s="522"/>
      <c r="Z24" s="522"/>
      <c r="AA24" s="522"/>
      <c r="AB24" s="522"/>
      <c r="AC24" s="522"/>
    </row>
    <row r="25" spans="1:29">
      <c r="A25" s="37">
        <v>18</v>
      </c>
      <c r="B25" s="47">
        <f t="shared" si="0"/>
        <v>1.5</v>
      </c>
      <c r="C25" s="38">
        <v>1.5</v>
      </c>
      <c r="D25" s="38"/>
      <c r="E25" s="38"/>
      <c r="F25" s="38"/>
      <c r="G25" s="38"/>
      <c r="H25" s="38"/>
      <c r="I25" s="38"/>
      <c r="J25" s="39" t="str">
        <f t="shared" ca="1" si="1"/>
        <v>Incomplete</v>
      </c>
      <c r="L25" s="37">
        <f t="shared" si="2"/>
        <v>18</v>
      </c>
      <c r="M25" s="1025">
        <f t="array" ref="M25">IFERROR(INDEX('18'!$A:$A,MATCH(M$7,'18'!$A:$A,FALSE)+2),"")</f>
        <v>0</v>
      </c>
      <c r="N25" s="1025" t="str">
        <f t="array" ref="N25">IFERROR(INDEX('18'!$A:$A,MATCH(N$7,'18'!$A:$A,FALSE)+2),"")</f>
        <v/>
      </c>
      <c r="O25" s="1025" t="str">
        <f t="array" ref="O25">IFERROR(INDEX('18'!$A:$A,MATCH(O$7,'18'!$A:$A,FALSE)+2),"")</f>
        <v/>
      </c>
      <c r="P25" s="1025" t="str">
        <f t="array" ref="P25">IFERROR(INDEX('18'!$A:$A,MATCH(P$7,'18'!$A:$A,FALSE)+2),"")</f>
        <v/>
      </c>
      <c r="Q25" s="1025" t="str">
        <f t="array" ref="Q25">IFERROR(INDEX('18'!$A:$A,MATCH(Q$7,'18'!$A:$A,FALSE)+2),"")</f>
        <v/>
      </c>
      <c r="R25" s="1025" t="str">
        <f t="array" ref="R25">IFERROR(INDEX('18'!$A:$A,MATCH(R$7,'18'!$A:$A,FALSE)+2),"")</f>
        <v/>
      </c>
      <c r="S25" s="1025" t="str">
        <f t="array" ref="S25">IFERROR(INDEX('18'!$A:$A,MATCH(S$7,'18'!$A:$A,FALSE)+2),"")</f>
        <v/>
      </c>
      <c r="T25" s="1023" t="s">
        <v>365</v>
      </c>
      <c r="U25" s="1023"/>
      <c r="V25" s="1023"/>
      <c r="W25" s="1023"/>
      <c r="X25" s="1023"/>
      <c r="Y25" s="522"/>
      <c r="Z25" s="522"/>
      <c r="AA25" s="522"/>
      <c r="AB25" s="522"/>
      <c r="AC25" s="522"/>
    </row>
    <row r="26" spans="1:29">
      <c r="A26" s="37">
        <v>19</v>
      </c>
      <c r="B26" s="47">
        <f t="shared" si="0"/>
        <v>0.5</v>
      </c>
      <c r="C26" s="38">
        <v>0.5</v>
      </c>
      <c r="D26" s="38"/>
      <c r="E26" s="38"/>
      <c r="F26" s="38"/>
      <c r="G26" s="38"/>
      <c r="H26" s="38"/>
      <c r="I26" s="38"/>
      <c r="J26" s="39" t="str">
        <f t="shared" ca="1" si="1"/>
        <v>Incomplete</v>
      </c>
      <c r="L26" s="37">
        <f t="shared" si="2"/>
        <v>19</v>
      </c>
      <c r="M26" s="1025">
        <f t="array" ref="M26">IFERROR(INDEX('19'!$A:$A,MATCH(M$7,'19'!$A:$A,FALSE)+2),"")</f>
        <v>0</v>
      </c>
      <c r="N26" s="1025" t="str">
        <f t="array" ref="N26">IFERROR(INDEX('19'!$A:$A,MATCH(N$7,'19'!$A:$A,FALSE)+2),"")</f>
        <v/>
      </c>
      <c r="O26" s="1025" t="str">
        <f t="array" ref="O26">IFERROR(INDEX('19'!$A:$A,MATCH(O$7,'19'!$A:$A,FALSE)+2),"")</f>
        <v/>
      </c>
      <c r="P26" s="1025" t="str">
        <f t="array" ref="P26">IFERROR(INDEX('19'!$A:$A,MATCH(P$7,'19'!$A:$A,FALSE)+2),"")</f>
        <v/>
      </c>
      <c r="Q26" s="1025" t="str">
        <f t="array" ref="Q26">IFERROR(INDEX('19'!$A:$A,MATCH(Q$7,'19'!$A:$A,FALSE)+2),"")</f>
        <v/>
      </c>
      <c r="R26" s="1025" t="str">
        <f t="array" ref="R26">IFERROR(INDEX('19'!$A:$A,MATCH(R$7,'19'!$A:$A,FALSE)+2),"")</f>
        <v/>
      </c>
      <c r="S26" s="1025" t="str">
        <f t="array" ref="S26">IFERROR(INDEX('19'!$A:$A,MATCH(S$7,'19'!$A:$A,FALSE)+2),"")</f>
        <v/>
      </c>
      <c r="T26" s="510" t="s">
        <v>214</v>
      </c>
      <c r="U26" s="510"/>
      <c r="V26" s="510"/>
      <c r="W26" s="510"/>
      <c r="X26" s="510"/>
      <c r="Y26" s="522"/>
      <c r="Z26" s="522"/>
      <c r="AA26" s="522"/>
      <c r="AB26" s="522"/>
      <c r="AC26" s="522"/>
    </row>
    <row r="27" spans="1:29">
      <c r="A27" s="37">
        <v>20</v>
      </c>
      <c r="B27" s="47">
        <f t="shared" si="0"/>
        <v>2</v>
      </c>
      <c r="C27" s="38">
        <v>2</v>
      </c>
      <c r="D27" s="38"/>
      <c r="E27" s="38"/>
      <c r="F27" s="38"/>
      <c r="G27" s="38"/>
      <c r="H27" s="38"/>
      <c r="I27" s="38"/>
      <c r="J27" s="39" t="str">
        <f t="shared" ref="J27:J32" ca="1" si="3">INDIRECT("'"&amp;A27&amp;"'!B1")</f>
        <v>Incomplete</v>
      </c>
      <c r="L27" s="37">
        <f t="shared" ref="L27:L32" si="4">A27</f>
        <v>20</v>
      </c>
      <c r="M27" s="1025">
        <f t="array" ref="M27">IFERROR(INDEX('20'!$A:$A,MATCH(M$7,'20'!$A:$A,FALSE)+2),"")</f>
        <v>0</v>
      </c>
      <c r="N27" s="1025" t="str">
        <f t="array" ref="N27">IFERROR(INDEX('20'!$A:$A,MATCH(N$7,'20'!$A:$A,FALSE)+2),"")</f>
        <v/>
      </c>
      <c r="O27" s="1025" t="str">
        <f t="array" ref="O27">IFERROR(INDEX('20'!$A:$A,MATCH(O$7,'20'!$A:$A,FALSE)+2),"")</f>
        <v/>
      </c>
      <c r="P27" s="1025" t="str">
        <f t="array" ref="P27">IFERROR(INDEX('20'!$A:$A,MATCH(P$7,'20'!$A:$A,FALSE)+2),"")</f>
        <v/>
      </c>
      <c r="Q27" s="1025" t="str">
        <f t="array" ref="Q27">IFERROR(INDEX('20'!$A:$A,MATCH(Q$7,'20'!$A:$A,FALSE)+2),"")</f>
        <v/>
      </c>
      <c r="R27" s="1025" t="str">
        <f t="array" ref="R27">IFERROR(INDEX('20'!$A:$A,MATCH(R$7,'20'!$A:$A,FALSE)+2),"")</f>
        <v/>
      </c>
      <c r="S27" s="1025" t="str">
        <f t="array" ref="S27">IFERROR(INDEX('20'!$A:$A,MATCH(S$7,'20'!$A:$A,FALSE)+2),"")</f>
        <v/>
      </c>
      <c r="T27" s="510" t="s">
        <v>221</v>
      </c>
      <c r="U27" s="510"/>
      <c r="V27" s="510"/>
      <c r="W27" s="510"/>
      <c r="X27" s="510"/>
      <c r="Y27" s="522"/>
      <c r="Z27" s="522"/>
      <c r="AA27" s="522"/>
      <c r="AB27" s="522"/>
      <c r="AC27" s="522"/>
    </row>
    <row r="28" spans="1:29">
      <c r="A28" s="37">
        <v>21</v>
      </c>
      <c r="B28" s="47">
        <f t="shared" si="0"/>
        <v>1</v>
      </c>
      <c r="C28" s="38">
        <v>1</v>
      </c>
      <c r="D28" s="38"/>
      <c r="E28" s="38"/>
      <c r="F28" s="38"/>
      <c r="G28" s="38"/>
      <c r="H28" s="38"/>
      <c r="I28" s="38"/>
      <c r="J28" s="39" t="str">
        <f t="shared" ca="1" si="3"/>
        <v>Incomplete</v>
      </c>
      <c r="L28" s="37">
        <f t="shared" si="4"/>
        <v>21</v>
      </c>
      <c r="M28" s="1025">
        <f t="array" ref="M28">IFERROR(INDEX('21'!$A:$A,MATCH(M$7,'21'!$A:$A,FALSE)+2),"")</f>
        <v>0</v>
      </c>
      <c r="N28" s="1025" t="str">
        <f t="array" ref="N28">IFERROR(INDEX('21'!$A:$A,MATCH(N$7,'21'!$A:$A,FALSE)+2),"")</f>
        <v/>
      </c>
      <c r="O28" s="1025" t="str">
        <f t="array" ref="O28">IFERROR(INDEX('21'!$A:$A,MATCH(O$7,'21'!$A:$A,FALSE)+2),"")</f>
        <v/>
      </c>
      <c r="P28" s="1025" t="str">
        <f t="array" ref="P28">IFERROR(INDEX('21'!$A:$A,MATCH(P$7,'21'!$A:$A,FALSE)+2),"")</f>
        <v/>
      </c>
      <c r="Q28" s="1025" t="str">
        <f t="array" ref="Q28">IFERROR(INDEX('21'!$A:$A,MATCH(Q$7,'21'!$A:$A,FALSE)+2),"")</f>
        <v/>
      </c>
      <c r="R28" s="1025" t="str">
        <f t="array" ref="R28">IFERROR(INDEX('21'!$A:$A,MATCH(R$7,'21'!$A:$A,FALSE)+2),"")</f>
        <v/>
      </c>
      <c r="S28" s="1025" t="str">
        <f t="array" ref="S28">IFERROR(INDEX('21'!$A:$A,MATCH(S$7,'21'!$A:$A,FALSE)+2),"")</f>
        <v/>
      </c>
      <c r="T28" s="510" t="s">
        <v>222</v>
      </c>
      <c r="U28" s="510"/>
      <c r="V28" s="510"/>
      <c r="W28" s="510"/>
      <c r="X28" s="510"/>
      <c r="Y28" s="522"/>
      <c r="Z28" s="522"/>
      <c r="AA28" s="522"/>
      <c r="AB28" s="522"/>
      <c r="AC28" s="522"/>
    </row>
    <row r="29" spans="1:29">
      <c r="A29" s="37">
        <v>22</v>
      </c>
      <c r="B29" s="47">
        <f t="shared" si="0"/>
        <v>2</v>
      </c>
      <c r="C29" s="38">
        <v>0.25</v>
      </c>
      <c r="D29" s="38">
        <v>1.75</v>
      </c>
      <c r="E29" s="38"/>
      <c r="F29" s="38"/>
      <c r="G29" s="38"/>
      <c r="H29" s="38"/>
      <c r="I29" s="38"/>
      <c r="J29" s="39" t="str">
        <f t="shared" ca="1" si="3"/>
        <v>Incomplete</v>
      </c>
      <c r="L29" s="37">
        <f t="shared" si="4"/>
        <v>22</v>
      </c>
      <c r="M29" s="1025">
        <f t="array" ref="M29">IFERROR(INDEX('22'!$A:$A,MATCH(M$7,'22'!$A:$A,FALSE)+2),"")</f>
        <v>0</v>
      </c>
      <c r="N29" s="1025">
        <f t="array" ref="N29">IFERROR(INDEX('22'!$A:$A,MATCH(N$7,'22'!$A:$A,FALSE)+2),"")</f>
        <v>0</v>
      </c>
      <c r="O29" s="1025" t="str">
        <f t="array" ref="O29">IFERROR(INDEX('22'!$A:$A,MATCH(O$7,'22'!$A:$A,FALSE)+2),"")</f>
        <v/>
      </c>
      <c r="P29" s="1025" t="str">
        <f t="array" ref="P29">IFERROR(INDEX('22'!$A:$A,MATCH(P$7,'22'!$A:$A,FALSE)+2),"")</f>
        <v/>
      </c>
      <c r="Q29" s="1025" t="str">
        <f t="array" ref="Q29">IFERROR(INDEX('22'!$A:$A,MATCH(Q$7,'22'!$A:$A,FALSE)+2),"")</f>
        <v/>
      </c>
      <c r="R29" s="1025" t="str">
        <f t="array" ref="R29">IFERROR(INDEX('22'!$A:$A,MATCH(R$7,'22'!$A:$A,FALSE)+2),"")</f>
        <v/>
      </c>
      <c r="S29" s="1025" t="str">
        <f t="array" ref="S29">IFERROR(INDEX('22'!$A:$A,MATCH(S$7,'22'!$A:$A,FALSE)+2),"")</f>
        <v/>
      </c>
      <c r="T29" s="510" t="s">
        <v>225</v>
      </c>
      <c r="U29" s="510"/>
      <c r="V29" s="510"/>
      <c r="W29" s="510"/>
      <c r="X29" s="510"/>
      <c r="Y29" s="522"/>
      <c r="Z29" s="522"/>
      <c r="AA29" s="522"/>
      <c r="AB29" s="522"/>
      <c r="AC29" s="522"/>
    </row>
    <row r="30" spans="1:29">
      <c r="A30" s="40">
        <v>23</v>
      </c>
      <c r="B30" s="47">
        <f t="shared" si="0"/>
        <v>2</v>
      </c>
      <c r="C30" s="38">
        <v>0.5</v>
      </c>
      <c r="D30" s="38">
        <v>1.5</v>
      </c>
      <c r="E30" s="38"/>
      <c r="F30" s="38"/>
      <c r="G30" s="38"/>
      <c r="H30" s="38"/>
      <c r="I30" s="38"/>
      <c r="J30" s="39" t="str">
        <f t="shared" ca="1" si="3"/>
        <v>Incomplete</v>
      </c>
      <c r="L30" s="37">
        <f t="shared" si="4"/>
        <v>23</v>
      </c>
      <c r="M30" s="1025">
        <f t="array" ref="M30">IFERROR(INDEX('23'!$A:$A,MATCH(M$7,'23'!$A:$A,FALSE)+2),"")</f>
        <v>0</v>
      </c>
      <c r="N30" s="1025">
        <f t="array" ref="N30">IFERROR(INDEX('23'!$A:$A,MATCH(N$7,'23'!$A:$A,FALSE)+2),"")</f>
        <v>0</v>
      </c>
      <c r="O30" s="1025" t="str">
        <f t="array" ref="O30">IFERROR(INDEX('23'!$A:$A,MATCH(O$7,'23'!$A:$A,FALSE)+2),"")</f>
        <v/>
      </c>
      <c r="P30" s="1025" t="str">
        <f t="array" ref="P30">IFERROR(INDEX('23'!$A:$A,MATCH(P$7,'23'!$A:$A,FALSE)+2),"")</f>
        <v/>
      </c>
      <c r="Q30" s="1025" t="str">
        <f t="array" ref="Q30">IFERROR(INDEX('23'!$A:$A,MATCH(Q$7,'23'!$A:$A,FALSE)+2),"")</f>
        <v/>
      </c>
      <c r="R30" s="1025" t="str">
        <f t="array" ref="R30">IFERROR(INDEX('23'!$A:$A,MATCH(R$7,'23'!$A:$A,FALSE)+2),"")</f>
        <v/>
      </c>
      <c r="S30" s="1025" t="str">
        <f t="array" ref="S30">IFERROR(INDEX('23'!$A:$A,MATCH(S$7,'23'!$A:$A,FALSE)+2),"")</f>
        <v/>
      </c>
      <c r="T30" s="510" t="s">
        <v>223</v>
      </c>
      <c r="U30" s="510"/>
      <c r="V30" s="510"/>
      <c r="W30" s="510"/>
      <c r="X30" s="510"/>
      <c r="Y30" s="522"/>
      <c r="Z30" s="522"/>
      <c r="AA30" s="522"/>
      <c r="AB30" s="522"/>
      <c r="AC30" s="522"/>
    </row>
    <row r="31" spans="1:29">
      <c r="A31" s="40">
        <v>24</v>
      </c>
      <c r="B31" s="47">
        <f t="shared" si="0"/>
        <v>4</v>
      </c>
      <c r="C31" s="38">
        <v>1</v>
      </c>
      <c r="D31" s="38">
        <v>3</v>
      </c>
      <c r="E31" s="38"/>
      <c r="F31" s="38"/>
      <c r="G31" s="38"/>
      <c r="H31" s="38"/>
      <c r="I31" s="38"/>
      <c r="J31" s="39" t="str">
        <f t="shared" ca="1" si="3"/>
        <v>Incomplete</v>
      </c>
      <c r="L31" s="37">
        <f t="shared" si="4"/>
        <v>24</v>
      </c>
      <c r="M31" s="1025">
        <f t="array" ref="M31">IFERROR(INDEX('24'!$A:$A,MATCH(M$7,'24'!$A:$A,FALSE)+2),"")</f>
        <v>0</v>
      </c>
      <c r="N31" s="1025">
        <f t="array" ref="N31">IFERROR(INDEX('24'!$A:$A,MATCH(N$7,'24'!$A:$A,FALSE)+2),"")</f>
        <v>0</v>
      </c>
      <c r="O31" s="1025" t="str">
        <f t="array" ref="O31">IFERROR(INDEX('24'!$A:$A,MATCH(O$7,'24'!$A:$A,FALSE)+2),"")</f>
        <v/>
      </c>
      <c r="P31" s="1025" t="str">
        <f t="array" ref="P31">IFERROR(INDEX('24'!$A:$A,MATCH(P$7,'24'!$A:$A,FALSE)+2),"")</f>
        <v/>
      </c>
      <c r="Q31" s="1025" t="str">
        <f t="array" ref="Q31">IFERROR(INDEX('24'!$A:$A,MATCH(Q$7,'24'!$A:$A,FALSE)+2),"")</f>
        <v/>
      </c>
      <c r="R31" s="1025" t="str">
        <f t="array" ref="R31">IFERROR(INDEX('24'!$A:$A,MATCH(R$7,'24'!$A:$A,FALSE)+2),"")</f>
        <v/>
      </c>
      <c r="S31" s="1025" t="str">
        <f t="array" ref="S31">IFERROR(INDEX('24'!$A:$A,MATCH(S$7,'24'!$A:$A,FALSE)+2),"")</f>
        <v/>
      </c>
      <c r="T31" s="510" t="s">
        <v>224</v>
      </c>
      <c r="U31" s="510"/>
      <c r="V31" s="510"/>
      <c r="W31" s="510"/>
      <c r="X31" s="510"/>
      <c r="Y31" s="522"/>
      <c r="Z31" s="522"/>
      <c r="AA31" s="522"/>
      <c r="AB31" s="522"/>
      <c r="AC31" s="522"/>
    </row>
    <row r="32" spans="1:29">
      <c r="A32" s="37">
        <v>25</v>
      </c>
      <c r="B32" s="48">
        <f t="shared" si="0"/>
        <v>1.75</v>
      </c>
      <c r="C32" s="38">
        <v>1.5</v>
      </c>
      <c r="D32" s="38">
        <v>0.25</v>
      </c>
      <c r="E32" s="38"/>
      <c r="F32" s="38"/>
      <c r="G32" s="38"/>
      <c r="H32" s="38"/>
      <c r="I32" s="38"/>
      <c r="J32" s="39" t="str">
        <f t="shared" ca="1" si="3"/>
        <v>Incomplete</v>
      </c>
      <c r="L32" s="37">
        <f t="shared" si="4"/>
        <v>25</v>
      </c>
      <c r="M32" s="1025">
        <f t="array" ref="M32">IFERROR(INDEX('25'!$A:$A,MATCH(M$7,'25'!$A:$A,FALSE)+2),"")</f>
        <v>0</v>
      </c>
      <c r="N32" s="1025">
        <f t="array" ref="N32">IFERROR(INDEX('25'!$A:$A,MATCH(N$7,'25'!$A:$A,FALSE)+2),"")</f>
        <v>0</v>
      </c>
      <c r="O32" s="1025" t="str">
        <f t="array" ref="O32">IFERROR(INDEX('25'!$A:$A,MATCH(O$7,'25'!$A:$A,FALSE)+2),"")</f>
        <v/>
      </c>
      <c r="P32" s="1025" t="str">
        <f t="array" ref="P32">IFERROR(INDEX('25'!$A:$A,MATCH(P$7,'25'!$A:$A,FALSE)+2),"")</f>
        <v/>
      </c>
      <c r="Q32" s="1025" t="str">
        <f t="array" ref="Q32">IFERROR(INDEX('25'!$A:$A,MATCH(Q$7,'25'!$A:$A,FALSE)+2),"")</f>
        <v/>
      </c>
      <c r="R32" s="1025" t="str">
        <f t="array" ref="R32">IFERROR(INDEX('25'!$A:$A,MATCH(R$7,'25'!$A:$A,FALSE)+2),"")</f>
        <v/>
      </c>
      <c r="S32" s="1025" t="str">
        <f t="array" ref="S32">IFERROR(INDEX('25'!$A:$A,MATCH(S$7,'25'!$A:$A,FALSE)+2),"")</f>
        <v/>
      </c>
      <c r="T32" s="510" t="s">
        <v>226</v>
      </c>
      <c r="U32" s="510"/>
      <c r="V32" s="510"/>
      <c r="W32" s="510"/>
      <c r="X32" s="510"/>
      <c r="Y32" s="522"/>
      <c r="Z32" s="522"/>
      <c r="AA32" s="522"/>
      <c r="AB32" s="522"/>
      <c r="AC32" s="522"/>
    </row>
    <row r="33" spans="1:29">
      <c r="A33" s="49">
        <v>26</v>
      </c>
      <c r="B33" s="50">
        <f>SUM(C33:I33)</f>
        <v>3.75</v>
      </c>
      <c r="C33" s="51">
        <v>0.5</v>
      </c>
      <c r="D33" s="51">
        <v>0.25</v>
      </c>
      <c r="E33" s="51">
        <v>2.5</v>
      </c>
      <c r="F33" s="51">
        <v>0.5</v>
      </c>
      <c r="G33" s="51"/>
      <c r="H33" s="51"/>
      <c r="I33" s="38"/>
      <c r="J33" s="39" t="str">
        <f ca="1">INDIRECT("'"&amp;A33&amp;"'!B1")</f>
        <v>Incomplete</v>
      </c>
      <c r="L33" s="49">
        <v>26</v>
      </c>
      <c r="M33" s="1025">
        <f t="array" ref="M33">IFERROR(INDEX('26'!$A:$A,MATCH(M$7,'26'!$A:$A,FALSE)+2),"")</f>
        <v>0</v>
      </c>
      <c r="N33" s="1025">
        <f t="array" ref="N33">IFERROR(INDEX('26'!$A:$A,MATCH(N$7,'26'!$A:$A,FALSE)+2),"")</f>
        <v>0</v>
      </c>
      <c r="O33" s="1025">
        <f t="array" ref="O33">IFERROR(INDEX('26'!$A:$A,MATCH(O$7,'26'!$A:$A,FALSE)+2),"")</f>
        <v>0</v>
      </c>
      <c r="P33" s="1025">
        <f t="array" ref="P33">IFERROR(INDEX('26'!$A:$A,MATCH(P$7,'26'!$A:$A,FALSE)+2),"")</f>
        <v>0</v>
      </c>
      <c r="Q33" s="1025" t="str">
        <f t="array" ref="Q33">IFERROR(INDEX('26'!$A:$A,MATCH(Q$7,'26'!$A:$A,FALSE)+2),"")</f>
        <v/>
      </c>
      <c r="R33" s="1025" t="str">
        <f t="array" ref="R33">IFERROR(INDEX('26'!$A:$A,MATCH(R$7,'26'!$A:$A,FALSE)+2),"")</f>
        <v/>
      </c>
      <c r="S33" s="1025" t="str">
        <f t="array" ref="S33">IFERROR(INDEX('26'!$A:$A,MATCH(S$7,'26'!$A:$A,FALSE)+2),"")</f>
        <v/>
      </c>
      <c r="T33" s="510" t="s">
        <v>227</v>
      </c>
      <c r="U33" s="510"/>
      <c r="V33" s="510"/>
      <c r="W33" s="510"/>
      <c r="X33" s="510"/>
      <c r="Y33" s="522"/>
      <c r="Z33" s="522"/>
      <c r="AA33" s="522"/>
      <c r="AB33" s="522"/>
      <c r="AC33" s="522"/>
    </row>
    <row r="34" spans="1:29">
      <c r="A34" s="49">
        <v>27</v>
      </c>
      <c r="B34" s="50">
        <f>SUM(C34:I34)</f>
        <v>1.5</v>
      </c>
      <c r="C34" s="51">
        <v>1.5</v>
      </c>
      <c r="D34" s="51"/>
      <c r="E34" s="51"/>
      <c r="F34" s="51"/>
      <c r="G34" s="51"/>
      <c r="H34" s="51"/>
      <c r="I34" s="38"/>
      <c r="J34" s="39" t="str">
        <f ca="1">INDIRECT("'"&amp;A34&amp;"'!B1")</f>
        <v>Incomplete</v>
      </c>
      <c r="L34" s="49">
        <v>27</v>
      </c>
      <c r="M34" s="1025">
        <f t="array" ref="M34">IFERROR(INDEX('27'!$A:$A,MATCH(M$7,'27'!$A:$A,FALSE)+2),"")</f>
        <v>0</v>
      </c>
      <c r="N34" s="1025" t="str">
        <f t="array" ref="N34">IFERROR(INDEX('27'!$A:$A,MATCH(N$7,'27'!$A:$A,FALSE)+2),"")</f>
        <v/>
      </c>
      <c r="O34" s="1025" t="str">
        <f t="array" ref="O34">IFERROR(INDEX('27'!$A:$A,MATCH(O$7,'27'!$A:$A,FALSE)+2),"")</f>
        <v/>
      </c>
      <c r="P34" s="1025" t="str">
        <f t="array" ref="P34">IFERROR(INDEX('27'!$A:$A,MATCH(P$7,'27'!$A:$A,FALSE)+2),"")</f>
        <v/>
      </c>
      <c r="Q34" s="1025" t="str">
        <f t="array" ref="Q34">IFERROR(INDEX('27'!$A:$A,MATCH(Q$7,'27'!$A:$A,FALSE)+2),"")</f>
        <v/>
      </c>
      <c r="R34" s="1025" t="str">
        <f t="array" ref="R34">IFERROR(INDEX('27'!$A:$A,MATCH(R$7,'27'!$A:$A,FALSE)+2),"")</f>
        <v/>
      </c>
      <c r="S34" s="1025" t="str">
        <f t="array" ref="S34">IFERROR(INDEX('27'!$A:$A,MATCH(S$7,'27'!$A:$A,FALSE)+2),"")</f>
        <v/>
      </c>
      <c r="T34" s="510" t="s">
        <v>228</v>
      </c>
      <c r="U34" s="510"/>
      <c r="V34" s="510"/>
      <c r="W34" s="510"/>
      <c r="X34" s="510"/>
      <c r="Y34" s="522"/>
      <c r="Z34" s="522"/>
      <c r="AA34" s="522"/>
      <c r="AB34" s="522"/>
      <c r="AC34" s="522"/>
    </row>
    <row r="35" spans="1:29">
      <c r="A35" s="49">
        <v>28</v>
      </c>
      <c r="B35" s="50">
        <f>SUM(C35:I35)</f>
        <v>2.5</v>
      </c>
      <c r="C35" s="51">
        <v>0.5</v>
      </c>
      <c r="D35" s="51">
        <v>0.5</v>
      </c>
      <c r="E35" s="51">
        <v>1.5</v>
      </c>
      <c r="F35" s="51"/>
      <c r="G35" s="51"/>
      <c r="H35" s="51"/>
      <c r="I35" s="38"/>
      <c r="J35" s="39" t="str">
        <f ca="1">INDIRECT("'"&amp;A35&amp;"'!B1")</f>
        <v>Incomplete</v>
      </c>
      <c r="L35" s="49">
        <v>28</v>
      </c>
      <c r="M35" s="1025">
        <f t="array" ref="M35">IFERROR(INDEX('28'!$A:$A,MATCH(M$7,'28'!$A:$A,FALSE)+2),"")</f>
        <v>0</v>
      </c>
      <c r="N35" s="1025">
        <f t="array" ref="N35">IFERROR(INDEX('28'!$A:$A,MATCH(N$7,'28'!$A:$A,FALSE)+2),"")</f>
        <v>0</v>
      </c>
      <c r="O35" s="1025">
        <f t="array" ref="O35">IFERROR(INDEX('28'!$A:$A,MATCH(O$7,'28'!$A:$A,FALSE)+2),"")</f>
        <v>0</v>
      </c>
      <c r="P35" s="1025" t="str">
        <f t="array" ref="P35">IFERROR(INDEX('28'!$A:$A,MATCH(P$7,'28'!$A:$A,FALSE)+2),"")</f>
        <v/>
      </c>
      <c r="Q35" s="1025" t="str">
        <f t="array" ref="Q35">IFERROR(INDEX('28'!$A:$A,MATCH(Q$7,'28'!$A:$A,FALSE)+2),"")</f>
        <v/>
      </c>
      <c r="R35" s="1025" t="str">
        <f t="array" ref="R35">IFERROR(INDEX('28'!$A:$A,MATCH(R$7,'28'!$A:$A,FALSE)+2),"")</f>
        <v/>
      </c>
      <c r="S35" s="1025" t="str">
        <f t="array" ref="S35">IFERROR(INDEX('28'!$A:$A,MATCH(S$7,'28'!$A:$A,FALSE)+2),"")</f>
        <v/>
      </c>
      <c r="T35" s="510" t="s">
        <v>229</v>
      </c>
      <c r="U35" s="510"/>
      <c r="V35" s="510"/>
      <c r="W35" s="510"/>
      <c r="X35" s="510"/>
      <c r="Y35" s="522"/>
      <c r="Z35" s="522"/>
      <c r="AA35" s="522"/>
      <c r="AB35" s="522"/>
      <c r="AC35" s="522"/>
    </row>
    <row r="36" spans="1:29">
      <c r="A36" s="49">
        <v>29</v>
      </c>
      <c r="B36" s="50">
        <f>SUM(C36:I36)</f>
        <v>2</v>
      </c>
      <c r="C36" s="51">
        <v>2</v>
      </c>
      <c r="D36" s="51"/>
      <c r="E36" s="51"/>
      <c r="F36" s="51"/>
      <c r="G36" s="51"/>
      <c r="H36" s="51"/>
      <c r="I36" s="38"/>
      <c r="J36" s="39" t="str">
        <f ca="1">INDIRECT("'"&amp;A36&amp;"'!B1")</f>
        <v>Incomplete</v>
      </c>
      <c r="L36" s="49">
        <v>29</v>
      </c>
      <c r="M36" s="1025">
        <f t="array" ref="M36">IFERROR(INDEX('29'!$A:$A,MATCH(M$7,'29'!$A:$A,FALSE)+2),"")</f>
        <v>0</v>
      </c>
      <c r="N36" s="1025" t="str">
        <f t="array" ref="N36">IFERROR(INDEX('29'!$A:$A,MATCH(N$7,'29'!$A:$A,FALSE)+2),"")</f>
        <v/>
      </c>
      <c r="O36" s="1025" t="str">
        <f t="array" ref="O36">IFERROR(INDEX('29'!$A:$A,MATCH(O$7,'29'!$A:$A,FALSE)+2),"")</f>
        <v/>
      </c>
      <c r="P36" s="1025" t="str">
        <f t="array" ref="P36">IFERROR(INDEX('29'!$A:$A,MATCH(P$7,'29'!$A:$A,FALSE)+2),"")</f>
        <v/>
      </c>
      <c r="Q36" s="1025" t="str">
        <f t="array" ref="Q36">IFERROR(INDEX('29'!$A:$A,MATCH(Q$7,'29'!$A:$A,FALSE)+2),"")</f>
        <v/>
      </c>
      <c r="R36" s="1025" t="str">
        <f t="array" ref="R36">IFERROR(INDEX('29'!$A:$A,MATCH(R$7,'29'!$A:$A,FALSE)+2),"")</f>
        <v/>
      </c>
      <c r="S36" s="1025" t="str">
        <f t="array" ref="S36">IFERROR(INDEX('29'!$A:$A,MATCH(S$7,'29'!$A:$A,FALSE)+2),"")</f>
        <v/>
      </c>
      <c r="T36" s="510" t="s">
        <v>230</v>
      </c>
      <c r="U36" s="510"/>
      <c r="V36" s="510"/>
      <c r="W36" s="510"/>
      <c r="X36" s="510"/>
      <c r="Y36" s="522"/>
      <c r="Z36" s="522"/>
      <c r="AA36" s="522"/>
      <c r="AB36" s="522"/>
      <c r="AC36" s="522"/>
    </row>
    <row r="37" spans="1:29">
      <c r="A37" s="49">
        <v>30</v>
      </c>
      <c r="B37" s="53">
        <f>SUM(C37:I37)</f>
        <v>2.5</v>
      </c>
      <c r="C37" s="51">
        <v>0.75</v>
      </c>
      <c r="D37" s="51">
        <v>1.75</v>
      </c>
      <c r="E37" s="51"/>
      <c r="F37" s="51"/>
      <c r="G37" s="51"/>
      <c r="H37" s="51"/>
      <c r="I37" s="38"/>
      <c r="J37" s="39" t="str">
        <f ca="1">INDIRECT("'"&amp;A37&amp;"'!B1")</f>
        <v>Incomplete</v>
      </c>
      <c r="L37" s="49">
        <v>30</v>
      </c>
      <c r="M37" s="1025">
        <f t="array" ref="M37">IFERROR(INDEX('30'!$A:$A,MATCH(M$7,'30'!$A:$A,FALSE)+2),"")</f>
        <v>0</v>
      </c>
      <c r="N37" s="1025">
        <f t="array" ref="N37">IFERROR(INDEX('30'!$A:$A,MATCH(N$7,'30'!$A:$A,FALSE)+2),"")</f>
        <v>0</v>
      </c>
      <c r="O37" s="1025" t="str">
        <f t="array" ref="O37">IFERROR(INDEX('30'!$A:$A,MATCH(O$7,'30'!$A:$A,FALSE)+2),"")</f>
        <v/>
      </c>
      <c r="P37" s="1025" t="str">
        <f t="array" ref="P37">IFERROR(INDEX('30'!$A:$A,MATCH(P$7,'30'!$A:$A,FALSE)+2),"")</f>
        <v/>
      </c>
      <c r="Q37" s="1025" t="str">
        <f t="array" ref="Q37">IFERROR(INDEX('30'!$A:$A,MATCH(Q$7,'30'!$A:$A,FALSE)+2),"")</f>
        <v/>
      </c>
      <c r="R37" s="1025" t="str">
        <f t="array" ref="R37">IFERROR(INDEX('30'!$A:$A,MATCH(R$7,'30'!$A:$A,FALSE)+2),"")</f>
        <v/>
      </c>
      <c r="S37" s="1025" t="str">
        <f t="array" ref="S37">IFERROR(INDEX('30'!$A:$A,MATCH(S$7,'30'!$A:$A,FALSE)+2),"")</f>
        <v/>
      </c>
      <c r="T37" s="510" t="s">
        <v>231</v>
      </c>
      <c r="U37" s="510"/>
      <c r="V37" s="510"/>
      <c r="W37" s="510"/>
      <c r="X37" s="510"/>
      <c r="Y37" s="522"/>
      <c r="Z37" s="522"/>
      <c r="AA37" s="522"/>
      <c r="AB37" s="522"/>
      <c r="AC37" s="522"/>
    </row>
    <row r="38" spans="1:29">
      <c r="Y38" s="522"/>
      <c r="Z38" s="522"/>
      <c r="AA38" s="522"/>
      <c r="AB38" s="522"/>
      <c r="AC38" s="522"/>
    </row>
    <row r="39" spans="1:29">
      <c r="Y39" s="522"/>
      <c r="Z39" s="522"/>
      <c r="AA39" s="522"/>
      <c r="AB39" s="522"/>
      <c r="AC39" s="522"/>
    </row>
    <row r="40" spans="1:29">
      <c r="Y40" s="522"/>
      <c r="Z40" s="522"/>
      <c r="AA40" s="522"/>
      <c r="AB40" s="522"/>
      <c r="AC40" s="522"/>
    </row>
    <row r="41" spans="1:29">
      <c r="Y41" s="522"/>
      <c r="Z41" s="522"/>
      <c r="AA41" s="522"/>
      <c r="AB41" s="522"/>
      <c r="AC41" s="522"/>
    </row>
    <row r="42" spans="1:29">
      <c r="Y42" s="522"/>
      <c r="Z42" s="522"/>
      <c r="AA42" s="522"/>
      <c r="AB42" s="522"/>
      <c r="AC42" s="522"/>
    </row>
    <row r="43" spans="1:29">
      <c r="Y43" s="522"/>
      <c r="Z43" s="522"/>
      <c r="AA43" s="522"/>
      <c r="AB43" s="522"/>
      <c r="AC43" s="522"/>
    </row>
    <row r="44" spans="1:29">
      <c r="Y44" s="522"/>
      <c r="Z44" s="522"/>
      <c r="AA44" s="522"/>
      <c r="AB44" s="522"/>
      <c r="AC44" s="522"/>
    </row>
    <row r="45" spans="1:29">
      <c r="Y45" s="522"/>
      <c r="Z45" s="522"/>
      <c r="AA45" s="522"/>
      <c r="AB45" s="522"/>
      <c r="AC45" s="522"/>
    </row>
    <row r="46" spans="1:29">
      <c r="Y46" s="522"/>
      <c r="Z46" s="522"/>
      <c r="AA46" s="522"/>
      <c r="AB46" s="522"/>
      <c r="AC46" s="522"/>
    </row>
    <row r="47" spans="1:29">
      <c r="Y47" s="522"/>
      <c r="Z47" s="522"/>
      <c r="AA47" s="522"/>
      <c r="AB47" s="522"/>
      <c r="AC47" s="522"/>
    </row>
    <row r="48" spans="1:29">
      <c r="Y48" s="522"/>
      <c r="Z48" s="522"/>
      <c r="AA48" s="522"/>
      <c r="AB48" s="522"/>
      <c r="AC48" s="522"/>
    </row>
    <row r="49" spans="25:29">
      <c r="Y49" s="522"/>
      <c r="Z49" s="522"/>
      <c r="AA49" s="522"/>
      <c r="AB49" s="522"/>
      <c r="AC49" s="522"/>
    </row>
    <row r="50" spans="25:29">
      <c r="Y50" s="522"/>
      <c r="Z50" s="522"/>
      <c r="AA50" s="522"/>
      <c r="AB50" s="522"/>
      <c r="AC50" s="522"/>
    </row>
    <row r="51" spans="25:29">
      <c r="Y51" s="522"/>
      <c r="Z51" s="522"/>
      <c r="AA51" s="522"/>
      <c r="AB51" s="522"/>
      <c r="AC51" s="522"/>
    </row>
    <row r="52" spans="25:29">
      <c r="Y52" s="522"/>
      <c r="Z52" s="522"/>
      <c r="AA52" s="522"/>
      <c r="AB52" s="522"/>
      <c r="AC52" s="522"/>
    </row>
  </sheetData>
  <mergeCells count="1">
    <mergeCell ref="B6:B7"/>
  </mergeCells>
  <conditionalFormatting sqref="J8:J37">
    <cfRule type="cellIs" dxfId="122" priority="265" operator="equal">
      <formula>"Finished"</formula>
    </cfRule>
    <cfRule type="cellIs" dxfId="121" priority="266" operator="equal">
      <formula>"Flag for Review"</formula>
    </cfRule>
    <cfRule type="cellIs" dxfId="120" priority="267" operator="equal">
      <formula>"Incomplete"</formula>
    </cfRule>
  </conditionalFormatting>
  <conditionalFormatting sqref="P2">
    <cfRule type="expression" dxfId="119" priority="104">
      <formula>LEN(P2)=0</formula>
    </cfRule>
    <cfRule type="cellIs" dxfId="118" priority="262" operator="greaterThanOrEqual">
      <formula>0.75</formula>
    </cfRule>
    <cfRule type="cellIs" dxfId="117" priority="263" operator="greaterThanOrEqual">
      <formula>0.65</formula>
    </cfRule>
    <cfRule type="cellIs" dxfId="116" priority="264" operator="greaterThanOrEqual">
      <formula>0</formula>
    </cfRule>
  </conditionalFormatting>
  <conditionalFormatting sqref="C8:I32 I32:I37 C10:H37">
    <cfRule type="containsBlanks" dxfId="115" priority="268">
      <formula>LEN(TRIM(C8))=0</formula>
    </cfRule>
  </conditionalFormatting>
  <conditionalFormatting sqref="M8:S32">
    <cfRule type="expression" dxfId="114" priority="21">
      <formula>C8=""</formula>
    </cfRule>
    <cfRule type="expression" dxfId="113" priority="22">
      <formula>M8/C8&gt;=0.75</formula>
    </cfRule>
    <cfRule type="expression" dxfId="112" priority="23">
      <formula>M8/C8&gt;=0.65</formula>
    </cfRule>
    <cfRule type="expression" dxfId="111" priority="24">
      <formula>M8/C8&gt;=0</formula>
    </cfRule>
  </conditionalFormatting>
  <conditionalFormatting sqref="M33:S33">
    <cfRule type="expression" dxfId="110" priority="17">
      <formula>C33=""</formula>
    </cfRule>
    <cfRule type="expression" dxfId="109" priority="18">
      <formula>M33/C33&gt;=0.75</formula>
    </cfRule>
    <cfRule type="expression" dxfId="108" priority="19">
      <formula>M33/C33&gt;=0.65</formula>
    </cfRule>
    <cfRule type="expression" dxfId="107" priority="20">
      <formula>M33/C33&gt;=0</formula>
    </cfRule>
  </conditionalFormatting>
  <conditionalFormatting sqref="M34:S34">
    <cfRule type="expression" dxfId="106" priority="13">
      <formula>C34=""</formula>
    </cfRule>
    <cfRule type="expression" dxfId="105" priority="14">
      <formula>M34/C34&gt;=0.75</formula>
    </cfRule>
    <cfRule type="expression" dxfId="104" priority="15">
      <formula>M34/C34&gt;=0.65</formula>
    </cfRule>
    <cfRule type="expression" dxfId="103" priority="16">
      <formula>M34/C34&gt;=0</formula>
    </cfRule>
  </conditionalFormatting>
  <conditionalFormatting sqref="M35:S35">
    <cfRule type="expression" dxfId="102" priority="9">
      <formula>C35=""</formula>
    </cfRule>
    <cfRule type="expression" dxfId="101" priority="10">
      <formula>M35/C35&gt;=0.75</formula>
    </cfRule>
    <cfRule type="expression" dxfId="100" priority="11">
      <formula>M35/C35&gt;=0.65</formula>
    </cfRule>
    <cfRule type="expression" dxfId="99" priority="12">
      <formula>M35/C35&gt;=0</formula>
    </cfRule>
  </conditionalFormatting>
  <conditionalFormatting sqref="M36:S36">
    <cfRule type="expression" dxfId="98" priority="5">
      <formula>C36=""</formula>
    </cfRule>
    <cfRule type="expression" dxfId="97" priority="6">
      <formula>M36/C36&gt;=0.75</formula>
    </cfRule>
    <cfRule type="expression" dxfId="96" priority="7">
      <formula>M36/C36&gt;=0.65</formula>
    </cfRule>
    <cfRule type="expression" dxfId="95" priority="8">
      <formula>M36/C36&gt;=0</formula>
    </cfRule>
  </conditionalFormatting>
  <conditionalFormatting sqref="M37:S37">
    <cfRule type="expression" dxfId="94" priority="1">
      <formula>C37=""</formula>
    </cfRule>
    <cfRule type="expression" dxfId="93" priority="2">
      <formula>M37/C37&gt;=0.75</formula>
    </cfRule>
    <cfRule type="expression" dxfId="92" priority="3">
      <formula>M37/C37&gt;=0.65</formula>
    </cfRule>
    <cfRule type="expression" dxfId="91" priority="4">
      <formula>M37/C37&gt;=0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3" location="'26'!A1" display="'26'!A1"/>
    <hyperlink ref="A34" location="'27'!A1" display="'27'!A1"/>
    <hyperlink ref="A35" location="'28'!A1" display="'28'!A1"/>
    <hyperlink ref="A36" location="'29'!A1" display="'29'!A1"/>
    <hyperlink ref="A37" location="'30'!A1" display="'30'!A1"/>
    <hyperlink ref="L33" location="'26'!A1" display="'26'!A1"/>
    <hyperlink ref="L34" location="'27'!A1" display="'27'!A1"/>
    <hyperlink ref="L35" location="'28'!A1" display="'28'!A1"/>
    <hyperlink ref="L36" location="'29'!A1" display="'29'!A1"/>
    <hyperlink ref="L37" location="'30'!A1" display="'30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General Pricing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135</v>
      </c>
      <c r="L3" t="s">
        <v>372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Grid'!B:B,MATCH('1'!A1,'Point Grid'!A:A,0))</f>
        <v>1</v>
      </c>
      <c r="B4" s="17" t="s">
        <v>37</v>
      </c>
      <c r="C4" s="17"/>
      <c r="D4" s="17"/>
      <c r="E4" s="17"/>
      <c r="F4" s="17"/>
      <c r="G4" s="17"/>
      <c r="H4" s="17"/>
      <c r="I4" s="18"/>
      <c r="J4" s="30"/>
      <c r="K4" s="41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367</v>
      </c>
      <c r="C6" s="17"/>
      <c r="D6" s="17"/>
      <c r="E6" s="17"/>
      <c r="F6" s="17"/>
      <c r="G6" s="17"/>
      <c r="H6" s="17"/>
      <c r="I6" s="18"/>
      <c r="J6" s="30"/>
      <c r="K6" s="41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 t="s">
        <v>368</v>
      </c>
      <c r="C7" s="17"/>
      <c r="D7" s="17"/>
      <c r="E7" s="17"/>
      <c r="F7" s="17"/>
      <c r="G7" s="17"/>
      <c r="H7" s="17"/>
      <c r="I7" s="18"/>
      <c r="J7" s="30"/>
      <c r="K7" s="41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4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34"/>
      <c r="C9" s="17"/>
      <c r="D9" s="17"/>
      <c r="E9" s="17"/>
      <c r="F9" s="17"/>
      <c r="G9" s="17"/>
      <c r="H9" s="17"/>
      <c r="I9" s="18"/>
      <c r="J9" s="30"/>
      <c r="K9" s="41"/>
      <c r="L9"/>
      <c r="M9"/>
      <c r="N9"/>
      <c r="O9"/>
      <c r="P9"/>
      <c r="Q9"/>
      <c r="R9"/>
      <c r="S9"/>
    </row>
    <row r="10" spans="1:21">
      <c r="A10" s="25"/>
      <c r="B10" s="34"/>
      <c r="C10" s="17"/>
      <c r="D10" s="17"/>
      <c r="E10" s="17"/>
      <c r="F10" s="17"/>
      <c r="G10" s="17"/>
      <c r="H10" s="17"/>
      <c r="I10" s="18"/>
      <c r="J10" s="30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33" t="s">
        <v>39</v>
      </c>
      <c r="C11" s="17" t="s">
        <v>371</v>
      </c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33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33"/>
      <c r="C13" s="17"/>
      <c r="D13" s="17"/>
      <c r="E13" s="17"/>
      <c r="F13" s="17"/>
      <c r="G13" s="17"/>
      <c r="H13" s="17"/>
      <c r="I13" s="18"/>
      <c r="J13" s="30"/>
      <c r="K13" s="41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33" t="s">
        <v>38</v>
      </c>
      <c r="C14" s="17" t="s">
        <v>369</v>
      </c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33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33"/>
      <c r="C16" s="17"/>
      <c r="D16" s="17"/>
      <c r="E16" s="17"/>
      <c r="F16" s="17"/>
      <c r="G16" s="17"/>
      <c r="H16" s="17"/>
      <c r="I16" s="18"/>
      <c r="J16" s="30"/>
      <c r="K16" s="41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33" t="s">
        <v>40</v>
      </c>
      <c r="C17" s="17" t="s">
        <v>370</v>
      </c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33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3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3" t="s">
        <v>41</v>
      </c>
      <c r="C20" s="17" t="s">
        <v>372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33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33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33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33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33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33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1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1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90" priority="1" operator="equal">
      <formula>"Incomplete"</formula>
    </cfRule>
    <cfRule type="cellIs" dxfId="89" priority="2" operator="equal">
      <formula>"Flag for Review"</formula>
    </cfRule>
    <cfRule type="cellIs" dxfId="8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2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General Pricing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507" t="s">
        <v>379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132</v>
      </c>
      <c r="L3" s="508" t="s">
        <v>377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1</v>
      </c>
      <c r="B4" s="17" t="s">
        <v>37</v>
      </c>
      <c r="C4" s="17"/>
      <c r="D4" s="17"/>
      <c r="E4" s="17"/>
      <c r="F4" s="17"/>
      <c r="G4" s="17"/>
      <c r="H4" s="17"/>
      <c r="I4" s="18"/>
      <c r="J4" s="30"/>
      <c r="K4" s="41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378</v>
      </c>
      <c r="C6" s="17"/>
      <c r="D6" s="17"/>
      <c r="E6" s="17"/>
      <c r="F6" s="17"/>
      <c r="G6" s="17"/>
      <c r="H6" s="17"/>
      <c r="I6" s="18"/>
      <c r="J6" s="30"/>
      <c r="K6" s="41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 t="s">
        <v>373</v>
      </c>
      <c r="C7" s="17"/>
      <c r="D7" s="17"/>
      <c r="E7" s="17"/>
      <c r="F7" s="17"/>
      <c r="G7" s="17"/>
      <c r="H7" s="17"/>
      <c r="I7" s="18"/>
      <c r="J7" s="30"/>
      <c r="K7" s="41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4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34"/>
      <c r="C9" s="17"/>
      <c r="D9" s="17"/>
      <c r="E9" s="17"/>
      <c r="F9" s="17"/>
      <c r="G9" s="17"/>
      <c r="H9" s="17"/>
      <c r="I9" s="18"/>
      <c r="J9" s="30"/>
      <c r="K9" s="41"/>
      <c r="L9"/>
      <c r="M9"/>
      <c r="N9"/>
      <c r="O9"/>
      <c r="P9"/>
      <c r="Q9"/>
      <c r="R9"/>
      <c r="S9"/>
    </row>
    <row r="10" spans="1:21">
      <c r="A10" s="25"/>
      <c r="B10" s="34"/>
      <c r="C10" s="17"/>
      <c r="D10" s="17"/>
      <c r="E10" s="17"/>
      <c r="F10" s="17"/>
      <c r="G10" s="17"/>
      <c r="H10" s="17"/>
      <c r="I10" s="18"/>
      <c r="J10" s="30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33" t="s">
        <v>39</v>
      </c>
      <c r="C11" s="509" t="s">
        <v>377</v>
      </c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33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33"/>
      <c r="C13" s="17"/>
      <c r="D13" s="17"/>
      <c r="E13" s="17"/>
      <c r="F13" s="17"/>
      <c r="G13" s="17"/>
      <c r="H13" s="17"/>
      <c r="I13" s="18"/>
      <c r="J13" s="30"/>
      <c r="K13" s="41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33" t="s">
        <v>38</v>
      </c>
      <c r="C14" s="17" t="s">
        <v>374</v>
      </c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33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33"/>
      <c r="C16" s="17"/>
      <c r="D16" s="17"/>
      <c r="E16" s="17"/>
      <c r="F16" s="17"/>
      <c r="G16" s="17"/>
      <c r="H16" s="17"/>
      <c r="I16" s="18"/>
      <c r="J16" s="30"/>
      <c r="K16" s="41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33" t="s">
        <v>40</v>
      </c>
      <c r="C17" s="17" t="s">
        <v>375</v>
      </c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33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3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3" t="s">
        <v>41</v>
      </c>
      <c r="C20" s="17" t="s">
        <v>376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33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33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33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33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33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33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1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1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87" priority="1" operator="equal">
      <formula>"Incomplete"</formula>
    </cfRule>
    <cfRule type="cellIs" dxfId="86" priority="2" operator="equal">
      <formula>"Flag for Review"</formula>
    </cfRule>
    <cfRule type="cellIs" dxfId="8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3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General Reserving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134</v>
      </c>
      <c r="L3" t="s">
        <v>383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1</v>
      </c>
      <c r="B4" s="17" t="s">
        <v>37</v>
      </c>
      <c r="C4" s="17"/>
      <c r="D4" s="17"/>
      <c r="E4" s="17"/>
      <c r="F4" s="17"/>
      <c r="G4" s="17"/>
      <c r="H4" s="17"/>
      <c r="I4" s="18"/>
      <c r="J4" s="30"/>
      <c r="K4" s="41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380</v>
      </c>
      <c r="C6" s="17"/>
      <c r="D6" s="17"/>
      <c r="E6" s="17"/>
      <c r="F6" s="17"/>
      <c r="G6" s="17"/>
      <c r="H6" s="17"/>
      <c r="I6" s="18"/>
      <c r="J6" s="30"/>
      <c r="K6" s="41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0"/>
      <c r="K7" s="41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4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34"/>
      <c r="C9" s="17"/>
      <c r="D9" s="17"/>
      <c r="E9" s="17"/>
      <c r="F9" s="17"/>
      <c r="G9" s="17"/>
      <c r="H9" s="17"/>
      <c r="I9" s="18"/>
      <c r="J9" s="30"/>
      <c r="K9" s="41"/>
      <c r="L9"/>
      <c r="M9"/>
      <c r="N9"/>
      <c r="O9"/>
      <c r="P9"/>
      <c r="Q9"/>
      <c r="R9"/>
      <c r="S9"/>
    </row>
    <row r="10" spans="1:21">
      <c r="A10" s="25"/>
      <c r="B10" s="34"/>
      <c r="C10" s="17"/>
      <c r="D10" s="17"/>
      <c r="E10" s="17"/>
      <c r="F10" s="17"/>
      <c r="G10" s="17"/>
      <c r="H10" s="17"/>
      <c r="I10" s="18"/>
      <c r="J10" s="30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33" t="s">
        <v>39</v>
      </c>
      <c r="C11" s="17" t="s">
        <v>381</v>
      </c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33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33"/>
      <c r="C13" s="17"/>
      <c r="D13" s="17"/>
      <c r="E13" s="17"/>
      <c r="F13" s="17"/>
      <c r="G13" s="17"/>
      <c r="H13" s="17"/>
      <c r="I13" s="18"/>
      <c r="J13" s="30"/>
      <c r="K13" s="41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33" t="s">
        <v>38</v>
      </c>
      <c r="C14" s="17" t="s">
        <v>382</v>
      </c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33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33"/>
      <c r="C16" s="17"/>
      <c r="D16" s="17"/>
      <c r="E16" s="17"/>
      <c r="F16" s="17"/>
      <c r="G16" s="17"/>
      <c r="H16" s="17"/>
      <c r="I16" s="18"/>
      <c r="J16" s="30"/>
      <c r="K16" s="41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33" t="s">
        <v>40</v>
      </c>
      <c r="C17" s="17" t="s">
        <v>383</v>
      </c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33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3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3" t="s">
        <v>41</v>
      </c>
      <c r="C20" s="17" t="s">
        <v>384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33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33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33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33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33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33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1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1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84" priority="1" operator="equal">
      <formula>"Incomplete"</formula>
    </cfRule>
    <cfRule type="cellIs" dxfId="83" priority="2" operator="equal">
      <formula>"Flag for Review"</formula>
    </cfRule>
    <cfRule type="cellIs" dxfId="8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4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General Reserving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132</v>
      </c>
      <c r="L3" t="s">
        <v>391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1</v>
      </c>
      <c r="B4" s="17" t="s">
        <v>37</v>
      </c>
      <c r="C4" s="17"/>
      <c r="D4" s="17"/>
      <c r="E4" s="17"/>
      <c r="F4" s="17"/>
      <c r="G4" s="17"/>
      <c r="H4" s="17"/>
      <c r="I4" s="18"/>
      <c r="J4" s="30"/>
      <c r="K4" s="41"/>
      <c r="L4" t="s">
        <v>392</v>
      </c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385</v>
      </c>
      <c r="C6" s="17"/>
      <c r="D6" s="17"/>
      <c r="E6" s="17"/>
      <c r="F6" s="17"/>
      <c r="G6" s="17"/>
      <c r="H6" s="17"/>
      <c r="I6" s="18"/>
      <c r="J6" s="30"/>
      <c r="K6" s="41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 t="s">
        <v>386</v>
      </c>
      <c r="C7" s="17"/>
      <c r="D7" s="17"/>
      <c r="E7" s="17"/>
      <c r="F7" s="17"/>
      <c r="G7" s="17"/>
      <c r="H7" s="17"/>
      <c r="I7" s="18"/>
      <c r="J7" s="30"/>
      <c r="K7" s="41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4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34"/>
      <c r="C9" s="17"/>
      <c r="D9" s="17"/>
      <c r="E9" s="17"/>
      <c r="F9" s="17"/>
      <c r="G9" s="17"/>
      <c r="H9" s="17"/>
      <c r="I9" s="18"/>
      <c r="J9" s="30"/>
      <c r="K9" s="41"/>
      <c r="L9"/>
      <c r="M9"/>
      <c r="N9"/>
      <c r="O9"/>
      <c r="P9"/>
      <c r="Q9"/>
      <c r="R9"/>
      <c r="S9"/>
    </row>
    <row r="10" spans="1:21">
      <c r="A10" s="25"/>
      <c r="B10" s="34"/>
      <c r="C10" s="17"/>
      <c r="D10" s="17"/>
      <c r="E10" s="17"/>
      <c r="F10" s="17"/>
      <c r="G10" s="17"/>
      <c r="H10" s="17"/>
      <c r="I10" s="18"/>
      <c r="J10" s="30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33" t="s">
        <v>39</v>
      </c>
      <c r="C11" s="17" t="s">
        <v>391</v>
      </c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33"/>
      <c r="C12" s="17" t="s">
        <v>392</v>
      </c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33"/>
      <c r="C13" s="17"/>
      <c r="D13" s="17"/>
      <c r="E13" s="17"/>
      <c r="F13" s="17"/>
      <c r="G13" s="17"/>
      <c r="H13" s="17"/>
      <c r="I13" s="18"/>
      <c r="J13" s="30"/>
      <c r="K13" s="41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33" t="s">
        <v>38</v>
      </c>
      <c r="C14" s="17" t="s">
        <v>387</v>
      </c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33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33"/>
      <c r="C16" s="17"/>
      <c r="D16" s="17"/>
      <c r="E16" s="17"/>
      <c r="F16" s="17"/>
      <c r="G16" s="17"/>
      <c r="H16" s="17"/>
      <c r="I16" s="18"/>
      <c r="J16" s="30"/>
      <c r="K16" s="41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33" t="s">
        <v>40</v>
      </c>
      <c r="C17" s="17" t="s">
        <v>388</v>
      </c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33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3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3" t="s">
        <v>41</v>
      </c>
      <c r="C20" s="17" t="s">
        <v>389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33"/>
      <c r="C21" s="17" t="s">
        <v>390</v>
      </c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33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33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33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33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33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1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1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81" priority="1" operator="equal">
      <formula>"Incomplete"</formula>
    </cfRule>
    <cfRule type="cellIs" dxfId="80" priority="2" operator="equal">
      <formula>"Flag for Review"</formula>
    </cfRule>
    <cfRule type="cellIs" dxfId="7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B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3" width="11.140625" style="21" customWidth="1"/>
    <col min="14" max="16384" width="9.140625" style="21"/>
  </cols>
  <sheetData>
    <row r="1" spans="1:28">
      <c r="A1" s="7">
        <v>5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1028" t="s">
        <v>24</v>
      </c>
      <c r="M1" s="1029"/>
      <c r="O1" s="1" t="s">
        <v>32</v>
      </c>
      <c r="P1" s="46" t="str">
        <f>VLOOKUP(A1,'Point Grid'!$L$8:$T$54,9,FALSE)</f>
        <v>Pricing - Chap 3: Data</v>
      </c>
      <c r="Q1"/>
      <c r="R1"/>
      <c r="S1"/>
      <c r="T1"/>
      <c r="U1"/>
      <c r="V1"/>
      <c r="W1"/>
      <c r="X1"/>
      <c r="Y1"/>
    </row>
    <row r="2" spans="1:28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 s="510"/>
      <c r="R2" s="510"/>
      <c r="S2" s="510"/>
      <c r="T2" s="510"/>
      <c r="U2" s="510"/>
      <c r="V2"/>
      <c r="W2"/>
      <c r="X2"/>
      <c r="Y2"/>
    </row>
    <row r="3" spans="1:28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41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</row>
    <row r="4" spans="1:28">
      <c r="A4" s="9">
        <f>INDEX('Point Grid'!B:B,MATCH(A1,'Point Grid'!A:A,0))</f>
        <v>1</v>
      </c>
      <c r="B4" s="17" t="s">
        <v>45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0"/>
      <c r="O4" s="523" t="s">
        <v>2</v>
      </c>
      <c r="P4" s="524" t="s">
        <v>418</v>
      </c>
      <c r="Q4" s="522"/>
      <c r="R4" s="522"/>
      <c r="S4" s="522"/>
      <c r="T4" s="522"/>
      <c r="U4" s="532" t="s">
        <v>419</v>
      </c>
      <c r="V4" s="534" t="s">
        <v>420</v>
      </c>
      <c r="W4" s="529"/>
      <c r="X4" s="529"/>
      <c r="Y4" s="529"/>
      <c r="Z4" s="541">
        <f>E6</f>
        <v>2023</v>
      </c>
      <c r="AA4" s="533"/>
      <c r="AB4" s="523"/>
    </row>
    <row r="5" spans="1:28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0"/>
      <c r="O5" s="526"/>
      <c r="P5" s="522" t="s">
        <v>421</v>
      </c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3"/>
    </row>
    <row r="6" spans="1:28">
      <c r="A6" s="25" t="s">
        <v>2</v>
      </c>
      <c r="B6" s="143" t="s">
        <v>417</v>
      </c>
      <c r="C6" s="143"/>
      <c r="D6" s="121"/>
      <c r="E6" s="511">
        <v>2023</v>
      </c>
      <c r="F6" s="17"/>
      <c r="G6" s="17"/>
      <c r="H6" s="17"/>
      <c r="I6" s="17"/>
      <c r="J6" s="17"/>
      <c r="K6" s="17"/>
      <c r="L6" s="17"/>
      <c r="M6" s="18"/>
      <c r="N6" s="30"/>
      <c r="O6" s="526"/>
      <c r="P6" s="522" t="s">
        <v>422</v>
      </c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3"/>
    </row>
    <row r="7" spans="1:28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0"/>
      <c r="O7" s="526"/>
      <c r="P7" s="522" t="s">
        <v>423</v>
      </c>
      <c r="Q7" s="526"/>
      <c r="R7" s="526"/>
      <c r="S7" s="526"/>
      <c r="T7" s="526"/>
      <c r="U7" s="526"/>
      <c r="V7" s="526"/>
      <c r="W7" s="526"/>
      <c r="X7" s="526"/>
      <c r="Y7" s="526"/>
      <c r="Z7" s="526"/>
      <c r="AA7" s="526"/>
      <c r="AB7" s="523"/>
    </row>
    <row r="8" spans="1:28" ht="15.75" thickBot="1">
      <c r="A8" s="5"/>
      <c r="B8" s="34" t="s">
        <v>36</v>
      </c>
      <c r="C8" s="56"/>
      <c r="D8" s="27"/>
      <c r="E8" s="27"/>
      <c r="F8" s="27"/>
      <c r="G8" s="27"/>
      <c r="H8" s="27"/>
      <c r="I8" s="27"/>
      <c r="J8" s="27"/>
      <c r="K8" s="27"/>
      <c r="L8" s="27"/>
      <c r="M8" s="18"/>
      <c r="N8" s="30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3"/>
    </row>
    <row r="9" spans="1:28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30"/>
      <c r="O9" s="530"/>
      <c r="P9" s="527"/>
      <c r="Q9" s="527" t="s">
        <v>393</v>
      </c>
      <c r="R9" s="527"/>
      <c r="S9" s="527" t="s">
        <v>394</v>
      </c>
      <c r="T9" s="527"/>
      <c r="U9" s="527" t="s">
        <v>395</v>
      </c>
      <c r="V9" s="527"/>
      <c r="W9" s="527" t="s">
        <v>396</v>
      </c>
      <c r="X9" s="526"/>
      <c r="Y9" s="548" t="s">
        <v>412</v>
      </c>
      <c r="Z9" s="528"/>
      <c r="AA9" s="548" t="s">
        <v>343</v>
      </c>
      <c r="AB9" s="523"/>
    </row>
    <row r="10" spans="1:28">
      <c r="A10" s="2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30"/>
      <c r="O10" s="540" t="s">
        <v>413</v>
      </c>
      <c r="P10" s="536" t="s">
        <v>397</v>
      </c>
      <c r="Q10" s="537" t="s">
        <v>398</v>
      </c>
      <c r="R10" s="537"/>
      <c r="S10" s="537" t="s">
        <v>398</v>
      </c>
      <c r="T10" s="537"/>
      <c r="U10" s="537" t="s">
        <v>186</v>
      </c>
      <c r="V10" s="537"/>
      <c r="W10" s="537" t="s">
        <v>399</v>
      </c>
      <c r="X10" s="531"/>
      <c r="Y10" s="549" t="s">
        <v>399</v>
      </c>
      <c r="Z10" s="547"/>
      <c r="AA10" s="549" t="s">
        <v>117</v>
      </c>
      <c r="AB10" s="523"/>
    </row>
    <row r="11" spans="1:28">
      <c r="A11" s="25"/>
      <c r="B11" s="516" t="s">
        <v>415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30"/>
      <c r="O11" s="539" t="str">
        <f>IFERROR(IF(VALUE(LEFT(S11,4))=E6,"yes",""),"")</f>
        <v/>
      </c>
      <c r="P11" s="525" t="str">
        <f t="shared" ref="P11:P24" si="0">C14</f>
        <v>A</v>
      </c>
      <c r="Q11" s="526" t="str">
        <f t="shared" ref="Q11:Q24" si="1">D14</f>
        <v>2021.9.01</v>
      </c>
      <c r="R11" s="526"/>
      <c r="S11" s="526" t="str">
        <f t="shared" ref="S11:S24" si="2">F14</f>
        <v>2022.09.01</v>
      </c>
      <c r="T11" s="526"/>
      <c r="U11" s="526">
        <f t="shared" ref="U11:U24" si="3">H14</f>
        <v>0</v>
      </c>
      <c r="V11" s="526"/>
      <c r="W11" s="526">
        <f t="shared" ref="W11:W24" si="4">J14</f>
        <v>297</v>
      </c>
      <c r="X11" s="526"/>
      <c r="Y11" s="528" t="str">
        <f>IFERROR(IF(P11=#REF!,W11-#REF!,W11),"")</f>
        <v/>
      </c>
      <c r="Z11" s="526"/>
      <c r="AA11" s="528" t="str">
        <f t="shared" ref="AA11:AA24" si="5">IF(O11="yes",U11+Y11,"")</f>
        <v/>
      </c>
      <c r="AB11" s="523"/>
    </row>
    <row r="12" spans="1:28">
      <c r="A12" s="25"/>
      <c r="B12" s="17"/>
      <c r="C12" s="179"/>
      <c r="D12" s="179" t="s">
        <v>393</v>
      </c>
      <c r="E12" s="179"/>
      <c r="F12" s="179" t="s">
        <v>394</v>
      </c>
      <c r="G12" s="179"/>
      <c r="H12" s="179" t="s">
        <v>395</v>
      </c>
      <c r="I12" s="179"/>
      <c r="J12" s="179" t="s">
        <v>396</v>
      </c>
      <c r="K12" s="181"/>
      <c r="L12" s="17"/>
      <c r="M12" s="18"/>
      <c r="N12" s="523"/>
      <c r="O12" s="538" t="str">
        <f>IFERROR(IF(VALUE(LEFT(S12,4))=E6,"yes",""),"")</f>
        <v>yes</v>
      </c>
      <c r="P12" s="535" t="str">
        <f t="shared" si="0"/>
        <v>A</v>
      </c>
      <c r="Q12" s="531" t="str">
        <f t="shared" si="1"/>
        <v>2021.9.01</v>
      </c>
      <c r="R12" s="531"/>
      <c r="S12" s="531" t="str">
        <f t="shared" si="2"/>
        <v>2023.03.01</v>
      </c>
      <c r="T12" s="531"/>
      <c r="U12" s="531">
        <f t="shared" si="3"/>
        <v>300</v>
      </c>
      <c r="V12" s="531"/>
      <c r="W12" s="531">
        <f t="shared" si="4"/>
        <v>0</v>
      </c>
      <c r="X12" s="531"/>
      <c r="Y12" s="547">
        <f t="shared" ref="Y12:Y24" si="6">IFERROR(IF(P12=P11,W12-W11,W12),"")</f>
        <v>-297</v>
      </c>
      <c r="Z12" s="531"/>
      <c r="AA12" s="547">
        <f t="shared" si="5"/>
        <v>3</v>
      </c>
      <c r="AB12" s="523"/>
    </row>
    <row r="13" spans="1:28">
      <c r="A13" s="25"/>
      <c r="B13" s="17"/>
      <c r="C13" s="517" t="s">
        <v>397</v>
      </c>
      <c r="D13" s="520" t="s">
        <v>398</v>
      </c>
      <c r="E13" s="520"/>
      <c r="F13" s="520" t="s">
        <v>398</v>
      </c>
      <c r="G13" s="520"/>
      <c r="H13" s="520" t="s">
        <v>186</v>
      </c>
      <c r="I13" s="520"/>
      <c r="J13" s="520" t="s">
        <v>399</v>
      </c>
      <c r="K13" s="513"/>
      <c r="L13" s="17"/>
      <c r="M13" s="18"/>
      <c r="N13" s="30"/>
      <c r="O13" s="539" t="str">
        <f>IFERROR(IF(VALUE(LEFT(S13,4))=E6,"yes",""),"")</f>
        <v>yes</v>
      </c>
      <c r="P13" s="525" t="str">
        <f t="shared" si="0"/>
        <v>B</v>
      </c>
      <c r="Q13" s="526" t="str">
        <f t="shared" si="1"/>
        <v>2022.4.01</v>
      </c>
      <c r="R13" s="526"/>
      <c r="S13" s="526" t="str">
        <f t="shared" si="2"/>
        <v>2023.04.01</v>
      </c>
      <c r="T13" s="526"/>
      <c r="U13" s="526">
        <f t="shared" si="3"/>
        <v>512</v>
      </c>
      <c r="V13" s="526"/>
      <c r="W13" s="526">
        <f t="shared" si="4"/>
        <v>588</v>
      </c>
      <c r="X13" s="526"/>
      <c r="Y13" s="528">
        <f t="shared" si="6"/>
        <v>588</v>
      </c>
      <c r="Z13" s="526"/>
      <c r="AA13" s="528">
        <f t="shared" si="5"/>
        <v>1100</v>
      </c>
      <c r="AB13" s="523"/>
    </row>
    <row r="14" spans="1:28">
      <c r="A14" s="25"/>
      <c r="B14" s="17"/>
      <c r="C14" s="514" t="s">
        <v>132</v>
      </c>
      <c r="D14" s="232" t="s">
        <v>400</v>
      </c>
      <c r="E14" s="143"/>
      <c r="F14" s="143" t="s">
        <v>401</v>
      </c>
      <c r="G14" s="143"/>
      <c r="H14" s="143">
        <v>0</v>
      </c>
      <c r="I14" s="143"/>
      <c r="J14" s="143">
        <v>297</v>
      </c>
      <c r="K14" s="181"/>
      <c r="L14" s="17"/>
      <c r="M14" s="18"/>
      <c r="N14" s="30"/>
      <c r="O14" s="539" t="str">
        <f>IFERROR(IF(VALUE(LEFT(S14,4))=E6,"yes",""),"")</f>
        <v/>
      </c>
      <c r="P14" s="525" t="str">
        <f t="shared" si="0"/>
        <v>B</v>
      </c>
      <c r="Q14" s="526" t="str">
        <f t="shared" si="1"/>
        <v>2022.4.01</v>
      </c>
      <c r="R14" s="526"/>
      <c r="S14" s="526" t="str">
        <f t="shared" si="2"/>
        <v>2024.01.01</v>
      </c>
      <c r="T14" s="526"/>
      <c r="U14" s="526">
        <f t="shared" si="3"/>
        <v>194</v>
      </c>
      <c r="V14" s="526"/>
      <c r="W14" s="526">
        <f t="shared" si="4"/>
        <v>403</v>
      </c>
      <c r="X14" s="526"/>
      <c r="Y14" s="528">
        <f t="shared" si="6"/>
        <v>-185</v>
      </c>
      <c r="Z14" s="526"/>
      <c r="AA14" s="528" t="str">
        <f t="shared" si="5"/>
        <v/>
      </c>
      <c r="AB14" s="523"/>
    </row>
    <row r="15" spans="1:28">
      <c r="A15" s="25"/>
      <c r="B15" s="17"/>
      <c r="C15" s="517" t="s">
        <v>132</v>
      </c>
      <c r="D15" s="150" t="s">
        <v>400</v>
      </c>
      <c r="E15" s="150"/>
      <c r="F15" s="150" t="s">
        <v>402</v>
      </c>
      <c r="G15" s="150"/>
      <c r="H15" s="150">
        <v>300</v>
      </c>
      <c r="I15" s="150"/>
      <c r="J15" s="150">
        <v>0</v>
      </c>
      <c r="K15" s="513"/>
      <c r="L15" s="17"/>
      <c r="M15" s="18"/>
      <c r="N15" s="30"/>
      <c r="O15" s="539" t="str">
        <f>IFERROR(IF(VALUE(LEFT(S15,4))=E6,"yes",""),"")</f>
        <v/>
      </c>
      <c r="P15" s="525" t="str">
        <f t="shared" si="0"/>
        <v>B</v>
      </c>
      <c r="Q15" s="526" t="str">
        <f t="shared" si="1"/>
        <v>2022.4.01</v>
      </c>
      <c r="R15" s="526"/>
      <c r="S15" s="526" t="str">
        <f t="shared" si="2"/>
        <v>2024.07.01</v>
      </c>
      <c r="T15" s="526"/>
      <c r="U15" s="526">
        <f t="shared" si="3"/>
        <v>56</v>
      </c>
      <c r="V15" s="526"/>
      <c r="W15" s="526">
        <f t="shared" si="4"/>
        <v>338</v>
      </c>
      <c r="X15" s="526"/>
      <c r="Y15" s="528">
        <f t="shared" si="6"/>
        <v>-65</v>
      </c>
      <c r="Z15" s="526"/>
      <c r="AA15" s="528" t="str">
        <f t="shared" si="5"/>
        <v/>
      </c>
      <c r="AB15" s="523"/>
    </row>
    <row r="16" spans="1:28">
      <c r="A16" s="25"/>
      <c r="B16" s="17"/>
      <c r="C16" s="519" t="s">
        <v>133</v>
      </c>
      <c r="D16" s="521" t="s">
        <v>403</v>
      </c>
      <c r="E16" s="143"/>
      <c r="F16" s="143" t="s">
        <v>404</v>
      </c>
      <c r="G16" s="143"/>
      <c r="H16" s="512">
        <v>512</v>
      </c>
      <c r="I16" s="143"/>
      <c r="J16" s="512">
        <v>588</v>
      </c>
      <c r="K16" s="143"/>
      <c r="L16" s="17"/>
      <c r="M16" s="18"/>
      <c r="N16" s="30"/>
      <c r="O16" s="538" t="str">
        <f>IFERROR(IF(VALUE(LEFT(S16,4))=E6,"yes",""),"")</f>
        <v/>
      </c>
      <c r="P16" s="535" t="str">
        <f t="shared" si="0"/>
        <v>B</v>
      </c>
      <c r="Q16" s="531" t="str">
        <f t="shared" si="1"/>
        <v>2022.4.01</v>
      </c>
      <c r="R16" s="531"/>
      <c r="S16" s="531" t="str">
        <f t="shared" si="2"/>
        <v>2024.10.01</v>
      </c>
      <c r="T16" s="531"/>
      <c r="U16" s="531">
        <f t="shared" si="3"/>
        <v>19</v>
      </c>
      <c r="V16" s="531"/>
      <c r="W16" s="531">
        <f t="shared" si="4"/>
        <v>320</v>
      </c>
      <c r="X16" s="531"/>
      <c r="Y16" s="547">
        <f t="shared" si="6"/>
        <v>-18</v>
      </c>
      <c r="Z16" s="531"/>
      <c r="AA16" s="547" t="str">
        <f t="shared" si="5"/>
        <v/>
      </c>
      <c r="AB16" s="523"/>
    </row>
    <row r="17" spans="1:28">
      <c r="A17" s="25"/>
      <c r="B17" s="17"/>
      <c r="C17" s="519" t="s">
        <v>133</v>
      </c>
      <c r="D17" s="143" t="s">
        <v>403</v>
      </c>
      <c r="E17" s="143"/>
      <c r="F17" s="143" t="s">
        <v>405</v>
      </c>
      <c r="G17" s="143"/>
      <c r="H17" s="512">
        <v>194</v>
      </c>
      <c r="I17" s="143"/>
      <c r="J17" s="512">
        <v>403</v>
      </c>
      <c r="K17" s="143"/>
      <c r="L17" s="17"/>
      <c r="M17" s="18"/>
      <c r="N17" s="30"/>
      <c r="O17" s="539" t="str">
        <f>IFERROR(IF(VALUE(LEFT(S17,4))=E6,"yes",""),"")</f>
        <v/>
      </c>
      <c r="P17" s="525" t="str">
        <f t="shared" si="0"/>
        <v>C</v>
      </c>
      <c r="Q17" s="526" t="str">
        <f t="shared" si="1"/>
        <v>2021.1.01</v>
      </c>
      <c r="R17" s="526"/>
      <c r="S17" s="526" t="str">
        <f t="shared" si="2"/>
        <v>2021.07.01</v>
      </c>
      <c r="T17" s="526"/>
      <c r="U17" s="526">
        <f t="shared" si="3"/>
        <v>728</v>
      </c>
      <c r="V17" s="526"/>
      <c r="W17" s="526">
        <f t="shared" si="4"/>
        <v>672</v>
      </c>
      <c r="X17" s="526"/>
      <c r="Y17" s="528">
        <f t="shared" si="6"/>
        <v>672</v>
      </c>
      <c r="Z17" s="526"/>
      <c r="AA17" s="528" t="str">
        <f t="shared" si="5"/>
        <v/>
      </c>
      <c r="AB17" s="523"/>
    </row>
    <row r="18" spans="1:28" ht="15" customHeight="1">
      <c r="A18" s="25"/>
      <c r="B18" s="17"/>
      <c r="C18" s="519" t="s">
        <v>133</v>
      </c>
      <c r="D18" s="143" t="s">
        <v>403</v>
      </c>
      <c r="E18" s="143"/>
      <c r="F18" s="143" t="s">
        <v>406</v>
      </c>
      <c r="G18" s="143"/>
      <c r="H18" s="512">
        <v>56</v>
      </c>
      <c r="I18" s="143"/>
      <c r="J18" s="512">
        <v>338</v>
      </c>
      <c r="K18" s="143"/>
      <c r="L18" s="17"/>
      <c r="M18" s="18"/>
      <c r="N18" s="30"/>
      <c r="O18" s="539" t="str">
        <f>IFERROR(IF(VALUE(LEFT(S18,4))=E6,"yes",""),"")</f>
        <v/>
      </c>
      <c r="P18" s="525" t="str">
        <f t="shared" si="0"/>
        <v>C</v>
      </c>
      <c r="Q18" s="526" t="str">
        <f t="shared" si="1"/>
        <v>2021.1.01</v>
      </c>
      <c r="R18" s="526"/>
      <c r="S18" s="526" t="str">
        <f t="shared" si="2"/>
        <v>2021.10.01</v>
      </c>
      <c r="T18" s="526"/>
      <c r="U18" s="526">
        <f t="shared" si="3"/>
        <v>91</v>
      </c>
      <c r="V18" s="526"/>
      <c r="W18" s="526">
        <f t="shared" si="4"/>
        <v>826</v>
      </c>
      <c r="X18" s="526"/>
      <c r="Y18" s="528">
        <f t="shared" si="6"/>
        <v>154</v>
      </c>
      <c r="Z18" s="526"/>
      <c r="AA18" s="528" t="str">
        <f t="shared" si="5"/>
        <v/>
      </c>
      <c r="AB18" s="523"/>
    </row>
    <row r="19" spans="1:28" ht="15" customHeight="1">
      <c r="A19" s="25"/>
      <c r="B19" s="17"/>
      <c r="C19" s="515" t="s">
        <v>133</v>
      </c>
      <c r="D19" s="150" t="s">
        <v>403</v>
      </c>
      <c r="E19" s="150"/>
      <c r="F19" s="150" t="s">
        <v>407</v>
      </c>
      <c r="G19" s="150"/>
      <c r="H19" s="518">
        <v>19</v>
      </c>
      <c r="I19" s="150"/>
      <c r="J19" s="518">
        <v>320</v>
      </c>
      <c r="K19" s="150"/>
      <c r="L19" s="17"/>
      <c r="M19" s="18"/>
      <c r="N19" s="30"/>
      <c r="O19" s="539" t="str">
        <f>IFERROR(IF(VALUE(LEFT(S19,4))=E6,"yes",""),"")</f>
        <v/>
      </c>
      <c r="P19" s="525" t="str">
        <f t="shared" si="0"/>
        <v>C</v>
      </c>
      <c r="Q19" s="526" t="str">
        <f t="shared" si="1"/>
        <v>2021.1.01</v>
      </c>
      <c r="R19" s="526"/>
      <c r="S19" s="526" t="str">
        <f t="shared" si="2"/>
        <v>2022.10.01</v>
      </c>
      <c r="T19" s="526"/>
      <c r="U19" s="526">
        <f t="shared" si="3"/>
        <v>581</v>
      </c>
      <c r="V19" s="526"/>
      <c r="W19" s="526">
        <f t="shared" si="4"/>
        <v>0</v>
      </c>
      <c r="X19" s="526"/>
      <c r="Y19" s="528">
        <f t="shared" si="6"/>
        <v>-826</v>
      </c>
      <c r="Z19" s="526"/>
      <c r="AA19" s="528" t="str">
        <f t="shared" si="5"/>
        <v/>
      </c>
      <c r="AB19" s="523"/>
    </row>
    <row r="20" spans="1:28" ht="15" customHeight="1">
      <c r="A20" s="25"/>
      <c r="B20" s="17"/>
      <c r="C20" s="519" t="s">
        <v>134</v>
      </c>
      <c r="D20" s="521" t="s">
        <v>408</v>
      </c>
      <c r="E20" s="143"/>
      <c r="F20" s="143" t="s">
        <v>409</v>
      </c>
      <c r="G20" s="143"/>
      <c r="H20" s="512">
        <v>728</v>
      </c>
      <c r="I20" s="143"/>
      <c r="J20" s="512">
        <v>672</v>
      </c>
      <c r="K20" s="143"/>
      <c r="L20" s="17"/>
      <c r="M20" s="18"/>
      <c r="N20" s="30"/>
      <c r="O20" s="538" t="str">
        <f>IFERROR(IF(VALUE(LEFT(S20,4))=E6,"yes",""),"")</f>
        <v/>
      </c>
      <c r="P20" s="535">
        <f t="shared" si="0"/>
        <v>0</v>
      </c>
      <c r="Q20" s="531">
        <f t="shared" si="1"/>
        <v>0</v>
      </c>
      <c r="R20" s="531"/>
      <c r="S20" s="531">
        <f t="shared" si="2"/>
        <v>0</v>
      </c>
      <c r="T20" s="531"/>
      <c r="U20" s="531">
        <f t="shared" si="3"/>
        <v>0</v>
      </c>
      <c r="V20" s="531"/>
      <c r="W20" s="531">
        <f t="shared" si="4"/>
        <v>0</v>
      </c>
      <c r="X20" s="531"/>
      <c r="Y20" s="547">
        <f t="shared" si="6"/>
        <v>0</v>
      </c>
      <c r="Z20" s="531"/>
      <c r="AA20" s="547" t="str">
        <f t="shared" si="5"/>
        <v/>
      </c>
      <c r="AB20" s="523"/>
    </row>
    <row r="21" spans="1:28" ht="15" customHeight="1">
      <c r="A21" s="25"/>
      <c r="B21" s="17"/>
      <c r="C21" s="519" t="s">
        <v>134</v>
      </c>
      <c r="D21" s="143" t="s">
        <v>408</v>
      </c>
      <c r="E21" s="143"/>
      <c r="F21" s="143" t="s">
        <v>410</v>
      </c>
      <c r="G21" s="143"/>
      <c r="H21" s="512">
        <v>91</v>
      </c>
      <c r="I21" s="143"/>
      <c r="J21" s="512">
        <v>826</v>
      </c>
      <c r="K21" s="143"/>
      <c r="L21" s="17"/>
      <c r="M21" s="18"/>
      <c r="N21" s="30"/>
      <c r="O21" s="539" t="str">
        <f>IFERROR(IF(VALUE(LEFT(S21,4))=E6,"yes",""),"")</f>
        <v/>
      </c>
      <c r="P21" s="525">
        <f t="shared" si="0"/>
        <v>0</v>
      </c>
      <c r="Q21" s="526">
        <f t="shared" si="1"/>
        <v>0</v>
      </c>
      <c r="R21" s="526"/>
      <c r="S21" s="526">
        <f t="shared" si="2"/>
        <v>0</v>
      </c>
      <c r="T21" s="526"/>
      <c r="U21" s="526">
        <f t="shared" si="3"/>
        <v>0</v>
      </c>
      <c r="V21" s="526"/>
      <c r="W21" s="526">
        <f t="shared" si="4"/>
        <v>0</v>
      </c>
      <c r="X21" s="526"/>
      <c r="Y21" s="528">
        <f t="shared" si="6"/>
        <v>0</v>
      </c>
      <c r="Z21" s="526"/>
      <c r="AA21" s="528" t="str">
        <f t="shared" si="5"/>
        <v/>
      </c>
      <c r="AB21" s="523"/>
    </row>
    <row r="22" spans="1:28" ht="15" customHeight="1">
      <c r="A22" s="25"/>
      <c r="B22" s="17"/>
      <c r="C22" s="519" t="s">
        <v>134</v>
      </c>
      <c r="D22" s="143" t="s">
        <v>408</v>
      </c>
      <c r="E22" s="143"/>
      <c r="F22" s="143" t="s">
        <v>411</v>
      </c>
      <c r="G22" s="143"/>
      <c r="H22" s="512">
        <v>581</v>
      </c>
      <c r="I22" s="143"/>
      <c r="J22" s="512">
        <v>0</v>
      </c>
      <c r="K22" s="143"/>
      <c r="L22" s="17"/>
      <c r="M22" s="18"/>
      <c r="N22" s="30"/>
      <c r="O22" s="539" t="str">
        <f>IFERROR(IF(VALUE(LEFT(S22,4))=E6,"yes",""),"")</f>
        <v/>
      </c>
      <c r="P22" s="525">
        <f t="shared" si="0"/>
        <v>0</v>
      </c>
      <c r="Q22" s="526">
        <f t="shared" si="1"/>
        <v>0</v>
      </c>
      <c r="R22" s="526"/>
      <c r="S22" s="526">
        <f t="shared" si="2"/>
        <v>0</v>
      </c>
      <c r="T22" s="526"/>
      <c r="U22" s="526">
        <f t="shared" si="3"/>
        <v>0</v>
      </c>
      <c r="V22" s="526"/>
      <c r="W22" s="526">
        <f t="shared" si="4"/>
        <v>0</v>
      </c>
      <c r="X22" s="526"/>
      <c r="Y22" s="528">
        <f t="shared" si="6"/>
        <v>0</v>
      </c>
      <c r="Z22" s="526"/>
      <c r="AA22" s="528" t="str">
        <f t="shared" si="5"/>
        <v/>
      </c>
      <c r="AB22" s="523"/>
    </row>
    <row r="23" spans="1:28" ht="15" customHeight="1">
      <c r="A23" s="2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30"/>
      <c r="O23" s="539" t="str">
        <f>IFERROR(IF(VALUE(LEFT(S23,4))=E6,"yes",""),"")</f>
        <v/>
      </c>
      <c r="P23" s="525">
        <f t="shared" si="0"/>
        <v>0</v>
      </c>
      <c r="Q23" s="526">
        <f t="shared" si="1"/>
        <v>0</v>
      </c>
      <c r="R23" s="526"/>
      <c r="S23" s="526">
        <f t="shared" si="2"/>
        <v>0</v>
      </c>
      <c r="T23" s="526"/>
      <c r="U23" s="526">
        <f t="shared" si="3"/>
        <v>0</v>
      </c>
      <c r="V23" s="526"/>
      <c r="W23" s="526">
        <f t="shared" si="4"/>
        <v>0</v>
      </c>
      <c r="X23" s="526"/>
      <c r="Y23" s="528">
        <f t="shared" si="6"/>
        <v>0</v>
      </c>
      <c r="Z23" s="526"/>
      <c r="AA23" s="528" t="str">
        <f t="shared" si="5"/>
        <v/>
      </c>
      <c r="AB23" s="523"/>
    </row>
    <row r="24" spans="1:28" ht="15" customHeight="1">
      <c r="A24" s="2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30"/>
      <c r="O24" s="539" t="str">
        <f>IFERROR(IF(VALUE(LEFT(S24,4))=E6,"yes",""),"")</f>
        <v/>
      </c>
      <c r="P24" s="535">
        <f t="shared" si="0"/>
        <v>0</v>
      </c>
      <c r="Q24" s="531">
        <f t="shared" si="1"/>
        <v>0</v>
      </c>
      <c r="R24" s="531"/>
      <c r="S24" s="531">
        <f t="shared" si="2"/>
        <v>0</v>
      </c>
      <c r="T24" s="531"/>
      <c r="U24" s="531">
        <f t="shared" si="3"/>
        <v>0</v>
      </c>
      <c r="V24" s="531"/>
      <c r="W24" s="531">
        <f t="shared" si="4"/>
        <v>0</v>
      </c>
      <c r="X24" s="531"/>
      <c r="Y24" s="547">
        <f t="shared" si="6"/>
        <v>0</v>
      </c>
      <c r="Z24" s="531"/>
      <c r="AA24" s="547" t="str">
        <f t="shared" si="5"/>
        <v/>
      </c>
      <c r="AB24" s="523"/>
    </row>
    <row r="25" spans="1:28" ht="15" customHeight="1">
      <c r="A25" s="2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30"/>
      <c r="O25" s="542"/>
      <c r="P25" s="543"/>
      <c r="Q25" s="543"/>
      <c r="R25" s="543"/>
      <c r="S25" s="543"/>
      <c r="T25" s="543"/>
      <c r="U25" s="543"/>
      <c r="V25" s="543"/>
      <c r="W25" s="543"/>
      <c r="X25" s="543"/>
      <c r="Y25" s="545" t="s">
        <v>339</v>
      </c>
      <c r="Z25" s="546" t="s">
        <v>414</v>
      </c>
      <c r="AA25" s="544">
        <f>SUM(AA11:AA24)</f>
        <v>1103</v>
      </c>
      <c r="AB25" s="523"/>
    </row>
    <row r="26" spans="1:28" ht="15" customHeight="1">
      <c r="A26" s="2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30"/>
      <c r="AB26" s="523"/>
    </row>
    <row r="27" spans="1:28" ht="15" customHeight="1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30"/>
      <c r="AB27" s="523"/>
    </row>
    <row r="28" spans="1:28" ht="15" customHeight="1">
      <c r="A28" s="2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30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</row>
    <row r="29" spans="1:28" ht="15" customHeight="1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30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</row>
    <row r="30" spans="1:28" ht="15" customHeight="1" thickBot="1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30"/>
      <c r="O30" s="523"/>
      <c r="P30" s="523"/>
      <c r="Q30" s="523"/>
      <c r="R30" s="523"/>
      <c r="S30" s="523"/>
      <c r="T30" s="523"/>
      <c r="U30" s="523"/>
      <c r="V30" s="523"/>
      <c r="W30" s="523"/>
      <c r="X30" s="523"/>
      <c r="Y30" s="523"/>
      <c r="Z30" s="523"/>
      <c r="AA30" s="523"/>
      <c r="AB30" s="523"/>
    </row>
    <row r="31" spans="1:28" ht="1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AB31" s="523"/>
    </row>
    <row r="32" spans="1:28" ht="15" customHeight="1">
      <c r="N32" s="30"/>
    </row>
    <row r="33" spans="2:14" ht="15" customHeight="1">
      <c r="N33" s="30"/>
    </row>
    <row r="34" spans="2:14" ht="15" customHeight="1">
      <c r="B34" s="21" t="s">
        <v>46</v>
      </c>
      <c r="C34" s="21">
        <v>9</v>
      </c>
      <c r="N34" s="30"/>
    </row>
    <row r="35" spans="2:14" ht="15" customHeight="1">
      <c r="B35" s="21" t="s">
        <v>47</v>
      </c>
      <c r="C35" s="21">
        <v>100</v>
      </c>
      <c r="N35" s="30"/>
    </row>
    <row r="36" spans="2:14" ht="15" customHeight="1">
      <c r="B36" s="21" t="s">
        <v>48</v>
      </c>
      <c r="C36" s="54">
        <v>53100</v>
      </c>
      <c r="N36" s="30"/>
    </row>
    <row r="37" spans="2:14" ht="15" customHeight="1">
      <c r="B37" s="21" t="s">
        <v>49</v>
      </c>
      <c r="C37" s="54">
        <v>73800</v>
      </c>
      <c r="N37" s="30"/>
    </row>
    <row r="38" spans="2:14" ht="15" customHeight="1">
      <c r="B38" s="21" t="s">
        <v>50</v>
      </c>
      <c r="C38" s="54">
        <v>90000</v>
      </c>
      <c r="N38" s="30"/>
    </row>
    <row r="39" spans="2:14" ht="15" customHeight="1">
      <c r="B39" s="21" t="s">
        <v>51</v>
      </c>
      <c r="C39" s="54">
        <v>14300</v>
      </c>
      <c r="N39" s="30"/>
    </row>
    <row r="40" spans="2:14" ht="15" customHeight="1">
      <c r="B40" s="21" t="s">
        <v>52</v>
      </c>
      <c r="C40" s="54">
        <v>8100</v>
      </c>
      <c r="N40" s="30"/>
    </row>
    <row r="41" spans="2:14" ht="15" customHeight="1">
      <c r="B41" s="21" t="s">
        <v>53</v>
      </c>
      <c r="C41" s="54">
        <v>2950</v>
      </c>
      <c r="N41" s="30"/>
    </row>
    <row r="42" spans="2:14" ht="15" customHeight="1">
      <c r="B42" s="21" t="s">
        <v>54</v>
      </c>
      <c r="C42" s="21">
        <v>56</v>
      </c>
      <c r="N42" s="30"/>
    </row>
    <row r="43" spans="2:14" ht="15" customHeight="1">
      <c r="B43" s="21" t="s">
        <v>55</v>
      </c>
      <c r="C43" s="21">
        <v>100</v>
      </c>
      <c r="N43" s="30"/>
    </row>
    <row r="44" spans="2:14" ht="15" customHeight="1">
      <c r="B44" s="21" t="s">
        <v>56</v>
      </c>
      <c r="C44" s="21">
        <v>101</v>
      </c>
      <c r="N44" s="30"/>
    </row>
    <row r="45" spans="2:14" ht="15" customHeight="1">
      <c r="B45" s="21" t="s">
        <v>57</v>
      </c>
      <c r="C45" s="21">
        <v>150</v>
      </c>
      <c r="N45" s="30"/>
    </row>
    <row r="46" spans="2:14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2:14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2:14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2:14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2:14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2:14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2:14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14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2:14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14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14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14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14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14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14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14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14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14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14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1">
    <mergeCell ref="L1:M1"/>
  </mergeCells>
  <conditionalFormatting sqref="B1">
    <cfRule type="cellIs" dxfId="78" priority="3" operator="equal">
      <formula>"Incomplete"</formula>
    </cfRule>
    <cfRule type="cellIs" dxfId="77" priority="4" operator="equal">
      <formula>"Flag for Review"</formula>
    </cfRule>
    <cfRule type="cellIs" dxfId="76" priority="5" operator="equal">
      <formula>"Finished"</formula>
    </cfRule>
  </conditionalFormatting>
  <conditionalFormatting sqref="O11:O24">
    <cfRule type="cellIs" dxfId="75" priority="1" operator="equal">
      <formula>"yes"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6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Reserving  - Chap 2: The Claims Process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 s="510"/>
      <c r="N2" s="510"/>
      <c r="O2" s="510"/>
      <c r="P2" s="510"/>
      <c r="Q2" s="510"/>
      <c r="R2" s="510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2</v>
      </c>
      <c r="L3" s="318">
        <f>(G21-F14) / (G14-F14) * (G15-F15) + F15</f>
        <v>15422.45</v>
      </c>
      <c r="M3" s="510"/>
      <c r="N3" s="510"/>
      <c r="O3" s="510"/>
      <c r="P3" s="510"/>
      <c r="Q3" s="510"/>
      <c r="R3" s="510"/>
      <c r="S3"/>
      <c r="T3"/>
      <c r="U3"/>
    </row>
    <row r="4" spans="1:21">
      <c r="A4" s="9">
        <f>INDEX('Point Grid'!B:B,MATCH(A1,'Point Grid'!A:A,0))</f>
        <v>1</v>
      </c>
      <c r="B4" s="17" t="s">
        <v>45</v>
      </c>
      <c r="C4" s="17"/>
      <c r="D4" s="17"/>
      <c r="E4" s="17"/>
      <c r="F4" s="17"/>
      <c r="G4" s="17"/>
      <c r="H4" s="17"/>
      <c r="I4" s="18"/>
      <c r="J4" s="30"/>
      <c r="K4" s="41"/>
      <c r="L4" s="510"/>
      <c r="M4" s="510"/>
      <c r="N4" s="510"/>
      <c r="O4" s="510"/>
      <c r="P4" s="510"/>
      <c r="Q4" s="510"/>
      <c r="R4" s="510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 s="510"/>
      <c r="M5" s="510"/>
      <c r="N5" s="510"/>
      <c r="O5" s="510"/>
      <c r="P5" s="510"/>
      <c r="Q5" s="510"/>
      <c r="R5" s="510"/>
      <c r="S5"/>
      <c r="T5"/>
      <c r="U5"/>
    </row>
    <row r="6" spans="1:21">
      <c r="A6" s="25" t="s">
        <v>2</v>
      </c>
      <c r="B6" s="17" t="s">
        <v>430</v>
      </c>
      <c r="C6" s="17"/>
      <c r="D6" s="17"/>
      <c r="E6" s="17"/>
      <c r="F6" s="17"/>
      <c r="G6" s="17"/>
      <c r="H6" s="17"/>
      <c r="I6" s="18"/>
      <c r="J6" s="30"/>
      <c r="K6" s="41"/>
      <c r="M6" s="510"/>
      <c r="N6" s="510"/>
      <c r="O6" s="510"/>
      <c r="P6" s="510"/>
      <c r="Q6" s="510"/>
      <c r="R6" s="510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0"/>
      <c r="K7" s="41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4" t="s">
        <v>36</v>
      </c>
      <c r="C8" s="55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0"/>
      <c r="K9" s="318"/>
      <c r="L9" s="318"/>
      <c r="M9" s="318"/>
      <c r="N9" s="318"/>
      <c r="O9" s="318"/>
      <c r="P9" s="318"/>
      <c r="Q9" s="318"/>
      <c r="R9" s="318"/>
      <c r="S9"/>
    </row>
    <row r="10" spans="1:21">
      <c r="A10" s="25"/>
      <c r="B10" s="17" t="s">
        <v>431</v>
      </c>
      <c r="C10" s="17"/>
      <c r="D10" s="17"/>
      <c r="E10" s="17"/>
      <c r="F10" s="17"/>
      <c r="G10" s="17"/>
      <c r="H10" s="17"/>
      <c r="I10" s="18"/>
      <c r="J10" s="30"/>
      <c r="K10" s="318"/>
      <c r="L10" s="318"/>
      <c r="M10" s="318"/>
      <c r="N10" s="318"/>
      <c r="O10" s="318"/>
      <c r="P10" s="318"/>
      <c r="Q10" s="318"/>
      <c r="R10" s="318"/>
      <c r="S10"/>
      <c r="T10"/>
      <c r="U10"/>
    </row>
    <row r="11" spans="1:21">
      <c r="A11" s="25"/>
      <c r="B11" s="17" t="s">
        <v>424</v>
      </c>
      <c r="C11" s="17"/>
      <c r="D11" s="17"/>
      <c r="E11" s="17"/>
      <c r="F11" s="17"/>
      <c r="G11" s="17"/>
      <c r="H11" s="17"/>
      <c r="I11" s="18"/>
      <c r="J11" s="30"/>
      <c r="K11" s="318"/>
      <c r="L11" s="318"/>
      <c r="M11" s="318"/>
      <c r="N11" s="318"/>
      <c r="O11" s="318"/>
      <c r="P11" s="318"/>
      <c r="Q11" s="318"/>
      <c r="R11" s="318"/>
      <c r="S11"/>
      <c r="T11"/>
      <c r="U11"/>
    </row>
    <row r="12" spans="1:21">
      <c r="A12" s="25"/>
      <c r="B12" s="17"/>
      <c r="C12" s="17"/>
      <c r="D12" s="17"/>
      <c r="E12" s="17"/>
      <c r="F12" s="17"/>
      <c r="G12" s="17"/>
      <c r="H12" s="17"/>
      <c r="I12" s="18"/>
      <c r="J12" s="30"/>
      <c r="K12" s="318"/>
      <c r="L12" s="318"/>
      <c r="M12" s="318"/>
      <c r="N12" s="318"/>
      <c r="O12" s="318"/>
      <c r="P12" s="318"/>
      <c r="Q12" s="318"/>
      <c r="R12" s="318"/>
      <c r="S12"/>
      <c r="T12"/>
      <c r="U12"/>
    </row>
    <row r="13" spans="1:21">
      <c r="A13" s="25"/>
      <c r="B13" s="552"/>
      <c r="C13" s="553"/>
      <c r="D13" s="555" t="s">
        <v>429</v>
      </c>
      <c r="E13" s="553">
        <v>12</v>
      </c>
      <c r="F13" s="553">
        <v>24</v>
      </c>
      <c r="G13" s="553">
        <v>36</v>
      </c>
      <c r="H13" s="554">
        <v>48</v>
      </c>
      <c r="I13" s="18"/>
      <c r="J13" s="30"/>
      <c r="K13" s="318"/>
      <c r="L13" s="318"/>
      <c r="M13" s="318"/>
      <c r="N13" s="318"/>
      <c r="O13" s="318"/>
      <c r="P13" s="318"/>
      <c r="Q13" s="318"/>
      <c r="R13" s="318"/>
      <c r="S13"/>
      <c r="T13"/>
      <c r="U13"/>
    </row>
    <row r="14" spans="1:21">
      <c r="A14" s="25"/>
      <c r="B14" s="64" t="s">
        <v>425</v>
      </c>
      <c r="C14" s="17"/>
      <c r="D14" s="72"/>
      <c r="E14" s="550">
        <v>3314</v>
      </c>
      <c r="F14" s="550">
        <v>4260</v>
      </c>
      <c r="G14" s="550">
        <v>4340</v>
      </c>
      <c r="H14" s="147">
        <v>4380</v>
      </c>
      <c r="I14" s="18"/>
      <c r="J14" s="30"/>
      <c r="K14" s="318"/>
      <c r="L14" s="318"/>
      <c r="M14" s="318"/>
      <c r="N14" s="318"/>
      <c r="O14" s="318"/>
      <c r="P14" s="318"/>
      <c r="Q14" s="318"/>
      <c r="R14" s="318"/>
      <c r="S14"/>
      <c r="T14"/>
      <c r="U14"/>
    </row>
    <row r="15" spans="1:21">
      <c r="A15" s="25"/>
      <c r="B15" s="66" t="s">
        <v>432</v>
      </c>
      <c r="C15" s="67"/>
      <c r="D15" s="71"/>
      <c r="E15" s="551">
        <v>7760</v>
      </c>
      <c r="F15" s="551">
        <v>13664</v>
      </c>
      <c r="G15" s="551">
        <v>15515</v>
      </c>
      <c r="H15" s="165">
        <v>16484</v>
      </c>
      <c r="I15" s="18"/>
      <c r="J15" s="30"/>
      <c r="K15" s="318"/>
      <c r="L15" s="318"/>
      <c r="M15" s="318"/>
      <c r="N15" s="318"/>
      <c r="O15" s="318"/>
      <c r="P15" s="318"/>
      <c r="Q15" s="318"/>
      <c r="R15" s="318"/>
      <c r="S15"/>
      <c r="T15"/>
      <c r="U15"/>
    </row>
    <row r="16" spans="1:21">
      <c r="A16" s="25"/>
      <c r="B16" s="17"/>
      <c r="C16" s="17"/>
      <c r="D16" s="17"/>
      <c r="E16" s="17"/>
      <c r="F16" s="17"/>
      <c r="G16" s="17"/>
      <c r="H16" s="17"/>
      <c r="I16" s="18"/>
      <c r="J16" s="30"/>
      <c r="K16" s="318"/>
      <c r="L16" s="318"/>
      <c r="M16" s="318"/>
      <c r="N16" s="318"/>
      <c r="O16" s="318"/>
      <c r="P16" s="318"/>
      <c r="Q16" s="318"/>
      <c r="R16" s="318"/>
      <c r="S16"/>
      <c r="T16"/>
      <c r="U16"/>
    </row>
    <row r="17" spans="1:21">
      <c r="A17" s="25"/>
      <c r="B17" s="17" t="s">
        <v>426</v>
      </c>
      <c r="C17" s="17"/>
      <c r="D17" s="17"/>
      <c r="E17" s="17"/>
      <c r="F17" s="17"/>
      <c r="G17" s="17"/>
      <c r="H17" s="17"/>
      <c r="I17" s="18"/>
      <c r="J17" s="30"/>
      <c r="K17" s="318"/>
      <c r="L17" s="318"/>
      <c r="M17" s="318"/>
      <c r="N17" s="318"/>
      <c r="O17" s="318"/>
      <c r="P17" s="318"/>
      <c r="Q17" s="318"/>
      <c r="R17" s="318"/>
      <c r="S17"/>
      <c r="T17"/>
      <c r="U17"/>
    </row>
    <row r="18" spans="1:21" ht="15" customHeight="1">
      <c r="A18" s="25"/>
      <c r="B18" s="17" t="s">
        <v>427</v>
      </c>
      <c r="C18" s="17"/>
      <c r="D18" s="17"/>
      <c r="E18" s="17"/>
      <c r="F18" s="17"/>
      <c r="G18" s="17"/>
      <c r="H18" s="17"/>
      <c r="I18" s="18"/>
      <c r="J18" s="30"/>
      <c r="K18" s="318"/>
      <c r="L18" s="318"/>
      <c r="M18" s="318"/>
      <c r="N18" s="318"/>
      <c r="O18" s="318"/>
      <c r="P18" s="318"/>
      <c r="Q18" s="318"/>
      <c r="R18" s="318"/>
      <c r="S18"/>
      <c r="T18"/>
      <c r="U18"/>
    </row>
    <row r="19" spans="1:21" ht="15" customHeight="1">
      <c r="A19" s="25"/>
      <c r="B19" s="17"/>
      <c r="C19" s="17"/>
      <c r="D19" s="17"/>
      <c r="E19" s="17"/>
      <c r="F19" s="17"/>
      <c r="G19" s="17"/>
      <c r="H19" s="17"/>
      <c r="I19" s="18"/>
      <c r="J19" s="30"/>
      <c r="K19" s="318"/>
      <c r="L19" s="318"/>
      <c r="M19" s="318"/>
      <c r="N19" s="318"/>
      <c r="O19" s="318"/>
      <c r="P19" s="318"/>
      <c r="Q19" s="318"/>
      <c r="R19" s="318"/>
      <c r="S19"/>
      <c r="T19"/>
      <c r="U19"/>
    </row>
    <row r="20" spans="1:21" ht="15" customHeight="1">
      <c r="A20" s="25"/>
      <c r="B20" s="552"/>
      <c r="C20" s="553"/>
      <c r="D20" s="555" t="s">
        <v>429</v>
      </c>
      <c r="E20" s="553">
        <v>12</v>
      </c>
      <c r="F20" s="553">
        <v>24</v>
      </c>
      <c r="G20" s="553">
        <v>36</v>
      </c>
      <c r="H20" s="554">
        <v>48</v>
      </c>
      <c r="I20" s="18"/>
      <c r="J20" s="30"/>
      <c r="K20" s="318"/>
      <c r="L20" s="318"/>
      <c r="M20" s="318"/>
      <c r="N20" s="318"/>
      <c r="O20" s="318"/>
      <c r="P20" s="318"/>
      <c r="Q20" s="318"/>
      <c r="R20" s="318"/>
      <c r="S20"/>
      <c r="T20"/>
      <c r="U20"/>
    </row>
    <row r="21" spans="1:21" ht="15" customHeight="1">
      <c r="A21" s="25"/>
      <c r="B21" s="64" t="s">
        <v>428</v>
      </c>
      <c r="C21" s="17"/>
      <c r="D21" s="72"/>
      <c r="E21" s="550">
        <v>3504</v>
      </c>
      <c r="F21" s="550">
        <v>4292</v>
      </c>
      <c r="G21" s="550">
        <v>4336</v>
      </c>
      <c r="H21" s="147">
        <v>4380</v>
      </c>
      <c r="I21" s="18"/>
      <c r="J21" s="30"/>
      <c r="K21" s="318"/>
      <c r="L21" s="318"/>
      <c r="M21" s="318"/>
      <c r="N21" s="318"/>
      <c r="O21" s="318"/>
      <c r="P21" s="318"/>
      <c r="Q21" s="318"/>
      <c r="R21" s="318"/>
      <c r="S21"/>
      <c r="T21"/>
      <c r="U21"/>
    </row>
    <row r="22" spans="1:21" ht="15" customHeight="1">
      <c r="A22" s="25"/>
      <c r="B22" s="66" t="s">
        <v>433</v>
      </c>
      <c r="C22" s="67"/>
      <c r="D22" s="71"/>
      <c r="E22" s="551">
        <v>8946</v>
      </c>
      <c r="F22" s="551">
        <v>14404</v>
      </c>
      <c r="G22" s="556" t="s">
        <v>296</v>
      </c>
      <c r="H22" s="165">
        <v>16484</v>
      </c>
      <c r="I22" s="18"/>
      <c r="J22" s="30"/>
      <c r="K22" s="318"/>
      <c r="L22" s="318"/>
      <c r="M22" s="318"/>
      <c r="N22" s="318"/>
      <c r="O22" s="318"/>
      <c r="P22" s="318"/>
      <c r="Q22" s="318"/>
      <c r="R22" s="318"/>
      <c r="S22"/>
      <c r="T22"/>
      <c r="U22"/>
    </row>
    <row r="23" spans="1:21" ht="15" customHeight="1">
      <c r="A23" s="25"/>
      <c r="B23" s="17"/>
      <c r="C23" s="17"/>
      <c r="D23" s="17"/>
      <c r="E23" s="17"/>
      <c r="F23" s="17"/>
      <c r="G23" s="17"/>
      <c r="H23" s="17"/>
      <c r="I23" s="18"/>
      <c r="J23" s="30"/>
      <c r="K23" s="318"/>
      <c r="L23" s="318"/>
      <c r="M23" s="318"/>
      <c r="N23" s="318"/>
      <c r="O23" s="318"/>
      <c r="P23" s="318"/>
      <c r="Q23" s="318"/>
      <c r="R23" s="318"/>
      <c r="S23"/>
      <c r="T23"/>
      <c r="U23"/>
    </row>
    <row r="24" spans="1:21" ht="15" customHeight="1">
      <c r="A24" s="25"/>
      <c r="B24" s="17"/>
      <c r="C24" s="17"/>
      <c r="D24" s="17"/>
      <c r="E24" s="17"/>
      <c r="F24" s="17"/>
      <c r="G24" s="17"/>
      <c r="H24" s="17"/>
      <c r="I24" s="18"/>
      <c r="J24" s="30"/>
      <c r="K24" s="318"/>
      <c r="L24" s="318"/>
      <c r="M24" s="318"/>
      <c r="N24" s="318"/>
      <c r="O24" s="318"/>
      <c r="P24" s="318"/>
      <c r="Q24" s="318"/>
      <c r="R24" s="318"/>
      <c r="S24"/>
      <c r="T24"/>
      <c r="U24"/>
    </row>
    <row r="25" spans="1:21" ht="15" customHeight="1">
      <c r="A25" s="25"/>
      <c r="B25" s="17"/>
      <c r="C25" s="17"/>
      <c r="D25" s="17"/>
      <c r="E25" s="17"/>
      <c r="F25" s="17"/>
      <c r="G25" s="17"/>
      <c r="H25" s="17"/>
      <c r="I25" s="18"/>
      <c r="J25" s="30"/>
      <c r="K25" s="318"/>
      <c r="L25" s="318"/>
      <c r="M25" s="318"/>
      <c r="N25" s="318"/>
      <c r="O25" s="318"/>
      <c r="P25" s="318"/>
      <c r="Q25" s="318"/>
      <c r="R25" s="318"/>
      <c r="S25"/>
      <c r="T25"/>
      <c r="U25"/>
    </row>
    <row r="26" spans="1:21" ht="15" customHeight="1">
      <c r="A26" s="25"/>
      <c r="B26" s="17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1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1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7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Pricing - Chap 3,4: Data, Exposures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2</v>
      </c>
      <c r="L3" s="510" t="s">
        <v>438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8"/>
      <c r="J4" s="30"/>
      <c r="K4" s="41"/>
      <c r="L4" s="1" t="s">
        <v>436</v>
      </c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 t="s">
        <v>437</v>
      </c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434</v>
      </c>
      <c r="C6" s="17"/>
      <c r="D6" s="17"/>
      <c r="E6" s="17"/>
      <c r="F6" s="17"/>
      <c r="G6" s="17"/>
      <c r="H6" s="17"/>
      <c r="I6" s="18"/>
      <c r="J6" s="30"/>
      <c r="K6" s="41"/>
      <c r="L6" s="523"/>
      <c r="M6" s="523"/>
      <c r="N6" s="523"/>
      <c r="O6" s="523"/>
      <c r="P6" s="523"/>
      <c r="Q6" s="523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0.75</v>
      </c>
      <c r="B7" s="17" t="s">
        <v>435</v>
      </c>
      <c r="C7" s="17"/>
      <c r="D7" s="17"/>
      <c r="E7" s="17"/>
      <c r="F7" s="17"/>
      <c r="G7" s="17"/>
      <c r="H7" s="17"/>
      <c r="I7" s="18"/>
      <c r="J7" s="30"/>
      <c r="K7" s="523"/>
      <c r="L7" s="510" t="s">
        <v>439</v>
      </c>
      <c r="M7" s="523"/>
      <c r="N7" s="523"/>
      <c r="O7" s="523"/>
      <c r="P7" s="523"/>
      <c r="Q7" s="523"/>
      <c r="R7"/>
      <c r="S7"/>
      <c r="T7"/>
      <c r="U7"/>
    </row>
    <row r="8" spans="1:21" ht="15.75" thickBot="1">
      <c r="A8" s="5"/>
      <c r="B8" s="17"/>
      <c r="C8" s="27"/>
      <c r="D8" s="27"/>
      <c r="E8" s="27"/>
      <c r="F8" s="27"/>
      <c r="G8" s="27"/>
      <c r="H8" s="27"/>
      <c r="I8" s="18"/>
      <c r="J8" s="30"/>
      <c r="K8" s="523"/>
      <c r="L8" s="557" t="s">
        <v>440</v>
      </c>
      <c r="M8" s="523"/>
      <c r="N8" s="523"/>
      <c r="O8" s="523"/>
      <c r="P8" s="523"/>
      <c r="Q8" s="523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0"/>
      <c r="K9" s="523"/>
      <c r="L9" s="42" t="s">
        <v>441</v>
      </c>
      <c r="M9" s="523"/>
      <c r="N9" s="523"/>
      <c r="O9" s="523"/>
      <c r="P9" s="523"/>
      <c r="Q9" s="523"/>
      <c r="R9"/>
      <c r="S9"/>
    </row>
    <row r="10" spans="1:21">
      <c r="A10" s="25" t="s">
        <v>3</v>
      </c>
      <c r="B10" s="17" t="s">
        <v>447</v>
      </c>
      <c r="C10" s="17"/>
      <c r="D10" s="17"/>
      <c r="E10" s="17"/>
      <c r="F10" s="17"/>
      <c r="G10" s="17"/>
      <c r="H10" s="17"/>
      <c r="I10" s="18"/>
      <c r="J10" s="30"/>
      <c r="K10" s="523"/>
      <c r="L10" s="523"/>
      <c r="M10" s="523"/>
      <c r="N10" s="523"/>
      <c r="O10" s="523"/>
      <c r="P10" s="523"/>
      <c r="Q10" s="523"/>
      <c r="R10"/>
      <c r="S10"/>
      <c r="T10"/>
      <c r="U10"/>
    </row>
    <row r="11" spans="1:21" ht="15.75" thickBot="1">
      <c r="A11" s="9">
        <f>INDEX('Point Grid'!$C$8:$I$54,MATCH($A$1,'Point Grid'!$A$8:$A$54,0),MATCH(A10,'Point Grid'!$C$7:$I$7,0))</f>
        <v>0.5</v>
      </c>
      <c r="B11" s="17"/>
      <c r="C11" s="17"/>
      <c r="D11" s="17"/>
      <c r="E11" s="17"/>
      <c r="F11" s="17"/>
      <c r="G11" s="17"/>
      <c r="H11" s="17"/>
      <c r="I11" s="18"/>
      <c r="J11" s="30"/>
      <c r="K11" s="523"/>
      <c r="L11" s="42" t="s">
        <v>442</v>
      </c>
      <c r="M11" s="523"/>
      <c r="N11" s="523"/>
      <c r="O11" s="523"/>
      <c r="P11" s="523"/>
      <c r="Q11" s="523"/>
      <c r="R11"/>
      <c r="S11"/>
      <c r="T11"/>
      <c r="U11"/>
    </row>
    <row r="12" spans="1:21" ht="15.75" thickBot="1">
      <c r="A12" s="5"/>
      <c r="B12" s="34" t="s">
        <v>132</v>
      </c>
      <c r="C12" s="27" t="s">
        <v>448</v>
      </c>
      <c r="D12" s="27"/>
      <c r="E12" s="27"/>
      <c r="F12" s="27"/>
      <c r="G12" s="27"/>
      <c r="H12" s="27"/>
      <c r="I12" s="18"/>
      <c r="J12" s="30"/>
      <c r="K12" s="523"/>
      <c r="L12" s="557" t="s">
        <v>440</v>
      </c>
      <c r="M12" s="558" t="s">
        <v>446</v>
      </c>
      <c r="N12" s="523"/>
      <c r="O12" s="523"/>
      <c r="P12" s="523"/>
      <c r="Q12" s="523"/>
      <c r="R12"/>
      <c r="S12"/>
      <c r="T12"/>
      <c r="U12"/>
    </row>
    <row r="13" spans="1:21">
      <c r="A13" s="25"/>
      <c r="B13" s="34" t="s">
        <v>133</v>
      </c>
      <c r="C13" s="27" t="s">
        <v>449</v>
      </c>
      <c r="D13" s="27"/>
      <c r="E13" s="27"/>
      <c r="F13" s="27"/>
      <c r="G13" s="27"/>
      <c r="H13" s="27"/>
      <c r="I13" s="18"/>
      <c r="J13" s="30"/>
      <c r="K13" s="523"/>
      <c r="L13" s="42" t="s">
        <v>443</v>
      </c>
      <c r="M13" s="523"/>
      <c r="N13" s="523"/>
      <c r="O13" s="523"/>
      <c r="P13" s="523"/>
      <c r="Q13" s="523"/>
      <c r="R13"/>
      <c r="S13"/>
      <c r="T13"/>
      <c r="U13"/>
    </row>
    <row r="14" spans="1:21">
      <c r="A14" s="25"/>
      <c r="B14" s="34" t="s">
        <v>134</v>
      </c>
      <c r="C14" s="27" t="s">
        <v>450</v>
      </c>
      <c r="D14" s="27"/>
      <c r="E14" s="27"/>
      <c r="F14" s="27"/>
      <c r="G14" s="27"/>
      <c r="H14" s="27"/>
      <c r="I14" s="18"/>
      <c r="J14" s="30"/>
      <c r="K14" s="523"/>
      <c r="L14" s="42" t="s">
        <v>444</v>
      </c>
      <c r="M14" s="523"/>
      <c r="N14" s="523"/>
      <c r="O14" s="523"/>
      <c r="P14" s="523"/>
      <c r="Q14" s="523"/>
      <c r="R14"/>
      <c r="S14"/>
      <c r="T14"/>
      <c r="U14"/>
    </row>
    <row r="15" spans="1:21">
      <c r="A15" s="25"/>
      <c r="B15" s="34" t="s">
        <v>135</v>
      </c>
      <c r="C15" s="27" t="s">
        <v>451</v>
      </c>
      <c r="D15" s="27"/>
      <c r="E15" s="27"/>
      <c r="F15" s="27"/>
      <c r="G15" s="27"/>
      <c r="H15" s="27"/>
      <c r="I15" s="18"/>
      <c r="J15" s="30"/>
      <c r="K15" s="523"/>
      <c r="L15" s="42" t="s">
        <v>445</v>
      </c>
      <c r="M15" s="523"/>
      <c r="N15" s="523"/>
      <c r="O15" s="523"/>
      <c r="P15" s="523"/>
      <c r="Q15" s="523"/>
      <c r="R15"/>
      <c r="S15"/>
      <c r="T15"/>
      <c r="U15"/>
    </row>
    <row r="16" spans="1:21">
      <c r="A16" s="25"/>
      <c r="B16" s="17"/>
      <c r="C16" s="27"/>
      <c r="D16" s="27"/>
      <c r="E16" s="27"/>
      <c r="F16" s="27"/>
      <c r="G16" s="27"/>
      <c r="H16" s="27"/>
      <c r="I16" s="18"/>
      <c r="J16" s="30"/>
      <c r="K16" s="523"/>
      <c r="L16" s="42"/>
      <c r="M16" s="523"/>
      <c r="N16" s="523"/>
      <c r="O16" s="523"/>
      <c r="P16" s="523"/>
      <c r="Q16" s="523"/>
      <c r="R16"/>
      <c r="S16"/>
      <c r="T16"/>
      <c r="U16"/>
    </row>
    <row r="17" spans="1:21">
      <c r="A17" s="25" t="s">
        <v>4</v>
      </c>
      <c r="B17" s="17" t="s">
        <v>461</v>
      </c>
      <c r="C17" s="17"/>
      <c r="D17" s="17"/>
      <c r="E17" s="17"/>
      <c r="F17" s="17"/>
      <c r="G17" s="17"/>
      <c r="H17" s="17"/>
      <c r="I17" s="18"/>
      <c r="J17" s="30"/>
      <c r="K17" s="523" t="s">
        <v>3</v>
      </c>
      <c r="L17" s="236" t="s">
        <v>452</v>
      </c>
      <c r="M17" s="523"/>
      <c r="N17" s="523"/>
      <c r="O17" s="523"/>
      <c r="P17" s="523"/>
      <c r="Q17" s="523"/>
      <c r="R17"/>
      <c r="S17"/>
      <c r="T17"/>
      <c r="U17"/>
    </row>
    <row r="18" spans="1:21" ht="15" customHeight="1" thickBot="1">
      <c r="A18" s="9">
        <f>INDEX('Point Grid'!$C$8:$I$54,MATCH($A$1,'Point Grid'!$A$8:$A$54,0),MATCH(A17,'Point Grid'!$C$7:$I$7,0))</f>
        <v>0.75</v>
      </c>
      <c r="B18" s="17" t="s">
        <v>58</v>
      </c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 thickBot="1">
      <c r="A19" s="5"/>
      <c r="B19" s="34"/>
      <c r="C19" s="17"/>
      <c r="D19" s="17"/>
      <c r="E19" s="17"/>
      <c r="F19" s="17"/>
      <c r="G19" s="17"/>
      <c r="H19" s="17"/>
      <c r="I19" s="18"/>
      <c r="J19" s="30"/>
      <c r="K19"/>
      <c r="L19" s="559" t="s">
        <v>414</v>
      </c>
      <c r="M19" s="42" t="s">
        <v>453</v>
      </c>
      <c r="N19"/>
      <c r="O19"/>
      <c r="P19"/>
      <c r="Q19"/>
      <c r="R19"/>
      <c r="S19"/>
      <c r="T19"/>
      <c r="U19"/>
    </row>
    <row r="20" spans="1:21" ht="15" customHeight="1">
      <c r="A20" s="22"/>
      <c r="B20" s="34" t="s">
        <v>59</v>
      </c>
      <c r="C20" s="17" t="s">
        <v>454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2"/>
      <c r="B21" s="34"/>
      <c r="C21" s="17" t="s">
        <v>456</v>
      </c>
      <c r="D21" s="17"/>
      <c r="E21" s="17"/>
      <c r="F21" s="17"/>
      <c r="G21" s="17"/>
      <c r="H21" s="17"/>
      <c r="I21" s="18"/>
      <c r="J21" s="30"/>
      <c r="K21" s="523" t="s">
        <v>4</v>
      </c>
      <c r="L21" s="510" t="s">
        <v>459</v>
      </c>
      <c r="M21"/>
      <c r="N21"/>
      <c r="O21"/>
      <c r="P21"/>
      <c r="Q21"/>
      <c r="R21"/>
      <c r="S21"/>
      <c r="T21"/>
      <c r="U21"/>
    </row>
    <row r="22" spans="1:21" ht="15" customHeight="1">
      <c r="A22" s="22"/>
      <c r="B22" s="34" t="s">
        <v>60</v>
      </c>
      <c r="C22" s="17" t="s">
        <v>454</v>
      </c>
      <c r="D22" s="17"/>
      <c r="E22" s="17"/>
      <c r="F22" s="17"/>
      <c r="G22" s="17"/>
      <c r="H22" s="17"/>
      <c r="I22" s="18"/>
      <c r="J22" s="30"/>
      <c r="K22" s="523"/>
      <c r="L22" s="510" t="s">
        <v>460</v>
      </c>
      <c r="M22"/>
      <c r="N22"/>
      <c r="O22"/>
      <c r="P22"/>
      <c r="Q22"/>
      <c r="R22"/>
      <c r="S22"/>
      <c r="T22"/>
      <c r="U22"/>
    </row>
    <row r="23" spans="1:21" ht="15" customHeight="1">
      <c r="A23" s="22"/>
      <c r="B23" s="17"/>
      <c r="C23" s="17" t="s">
        <v>455</v>
      </c>
      <c r="D23" s="17"/>
      <c r="E23" s="17"/>
      <c r="F23" s="17"/>
      <c r="G23" s="17"/>
      <c r="H23" s="17"/>
      <c r="I23" s="18"/>
      <c r="J23" s="30"/>
      <c r="K23" s="523"/>
      <c r="L23" s="510"/>
      <c r="M23"/>
      <c r="N23"/>
      <c r="O23"/>
      <c r="P23"/>
      <c r="Q23"/>
      <c r="R23"/>
      <c r="S23"/>
      <c r="T23"/>
      <c r="U23"/>
    </row>
    <row r="24" spans="1:21" ht="15" customHeight="1">
      <c r="A24" s="22"/>
      <c r="B24" s="34" t="s">
        <v>60</v>
      </c>
      <c r="C24" s="17" t="s">
        <v>457</v>
      </c>
      <c r="D24" s="17"/>
      <c r="E24" s="17"/>
      <c r="F24" s="17"/>
      <c r="G24" s="17"/>
      <c r="H24" s="17"/>
      <c r="I24" s="18"/>
      <c r="J24" s="30"/>
      <c r="K24" s="523"/>
      <c r="L24" s="523" t="s">
        <v>61</v>
      </c>
      <c r="M24" s="510">
        <v>1.5</v>
      </c>
      <c r="N24" s="510"/>
      <c r="O24" s="510"/>
      <c r="P24" s="510"/>
      <c r="Q24" s="510"/>
      <c r="R24"/>
      <c r="S24"/>
      <c r="T24"/>
      <c r="U24"/>
    </row>
    <row r="25" spans="1:21" ht="15" customHeight="1">
      <c r="A25" s="22"/>
      <c r="B25" s="17"/>
      <c r="C25" s="17" t="s">
        <v>455</v>
      </c>
      <c r="D25" s="17"/>
      <c r="E25" s="17"/>
      <c r="F25" s="17"/>
      <c r="G25" s="17"/>
      <c r="H25" s="17"/>
      <c r="I25" s="18"/>
      <c r="J25" s="30"/>
      <c r="K25" s="523"/>
      <c r="L25" s="523" t="s">
        <v>62</v>
      </c>
      <c r="M25" s="510">
        <v>2</v>
      </c>
      <c r="N25" s="510"/>
      <c r="O25" s="510"/>
      <c r="P25" s="510"/>
      <c r="Q25" s="510"/>
      <c r="R25"/>
      <c r="S25"/>
      <c r="T25"/>
      <c r="U25"/>
    </row>
    <row r="26" spans="1:21" ht="15" customHeight="1">
      <c r="A26" s="22"/>
      <c r="B26" s="17"/>
      <c r="C26" s="17"/>
      <c r="D26" s="17"/>
      <c r="E26" s="17"/>
      <c r="F26" s="17"/>
      <c r="G26" s="17"/>
      <c r="H26" s="17"/>
      <c r="I26" s="18"/>
      <c r="J26" s="30"/>
      <c r="K26" s="523"/>
      <c r="L26" s="523" t="s">
        <v>458</v>
      </c>
      <c r="M26" s="510">
        <v>-0.5</v>
      </c>
      <c r="N26" s="510"/>
      <c r="O26" s="510"/>
      <c r="P26" s="510"/>
      <c r="Q26" s="510"/>
      <c r="R26"/>
      <c r="S26"/>
      <c r="T26"/>
      <c r="U26"/>
    </row>
    <row r="27" spans="1:21" ht="15" customHeight="1">
      <c r="A27" s="22"/>
      <c r="B27" s="17"/>
      <c r="C27" s="17"/>
      <c r="D27" s="17"/>
      <c r="E27" s="17"/>
      <c r="F27" s="17"/>
      <c r="G27" s="17"/>
      <c r="H27" s="17"/>
      <c r="I27" s="18"/>
      <c r="J27" s="30"/>
      <c r="K27" s="510"/>
      <c r="L27" s="510"/>
      <c r="M27" s="510"/>
      <c r="N27" s="510"/>
      <c r="O27" s="510"/>
      <c r="P27" s="510"/>
      <c r="Q27" s="510"/>
      <c r="R27"/>
      <c r="S27"/>
      <c r="T27"/>
      <c r="U27"/>
    </row>
    <row r="28" spans="1:21" ht="15" customHeight="1">
      <c r="A28" s="22"/>
      <c r="B28" s="17"/>
      <c r="C28" s="17"/>
      <c r="D28" s="17"/>
      <c r="E28" s="17"/>
      <c r="F28" s="17"/>
      <c r="G28" s="17"/>
      <c r="H28" s="17"/>
      <c r="I28" s="18"/>
      <c r="J28" s="30"/>
      <c r="M28" s="510"/>
      <c r="N28" s="510"/>
      <c r="O28" s="510"/>
      <c r="P28" s="510"/>
      <c r="Q28" s="510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M29" s="510"/>
      <c r="N29" s="510"/>
      <c r="O29" s="510"/>
      <c r="P29" s="510"/>
      <c r="Q29" s="510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 s="523"/>
      <c r="L30" s="510"/>
      <c r="M30" s="510"/>
      <c r="N30" s="510"/>
      <c r="O30" s="510"/>
      <c r="P30" s="510"/>
      <c r="Q30" s="51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1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1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U109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4" width="11.140625" style="21" customWidth="1"/>
    <col min="5" max="5" width="16.7109375" style="21" bestFit="1" customWidth="1"/>
    <col min="6" max="9" width="11.140625" style="21" customWidth="1"/>
    <col min="10" max="16384" width="9.140625" style="21"/>
  </cols>
  <sheetData>
    <row r="1" spans="1:21">
      <c r="A1" s="7">
        <v>8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Pricing - Chap 5: Premiums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2</v>
      </c>
      <c r="L3" s="79" t="s">
        <v>65</v>
      </c>
      <c r="M3" s="542"/>
      <c r="N3" s="565">
        <v>105.9</v>
      </c>
      <c r="O3"/>
      <c r="P3"/>
      <c r="Q3"/>
      <c r="R3"/>
      <c r="S3"/>
      <c r="T3"/>
      <c r="U3"/>
    </row>
    <row r="4" spans="1:21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 s="30"/>
      <c r="K4" s="41"/>
      <c r="L4" s="81" t="s">
        <v>66</v>
      </c>
      <c r="M4" s="466"/>
      <c r="N4" s="566">
        <v>207.1</v>
      </c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 s="85" t="s">
        <v>470</v>
      </c>
      <c r="M5" s="87"/>
      <c r="N5" s="567">
        <v>340</v>
      </c>
      <c r="O5"/>
      <c r="P5"/>
      <c r="Q5"/>
      <c r="R5"/>
      <c r="S5"/>
      <c r="T5"/>
      <c r="U5"/>
    </row>
    <row r="6" spans="1:21">
      <c r="A6" s="25" t="s">
        <v>2</v>
      </c>
      <c r="B6" s="17" t="s">
        <v>462</v>
      </c>
      <c r="C6" s="17"/>
      <c r="D6" s="17"/>
      <c r="E6" s="17"/>
      <c r="F6" s="17"/>
      <c r="G6" s="17"/>
      <c r="H6" s="17"/>
      <c r="I6" s="18"/>
      <c r="J6" s="30"/>
      <c r="K6" s="41"/>
      <c r="L6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2</v>
      </c>
      <c r="B7" s="17"/>
      <c r="C7" s="17"/>
      <c r="D7" s="17"/>
      <c r="E7" s="17"/>
      <c r="F7" s="17"/>
      <c r="G7" s="17"/>
      <c r="H7" s="17"/>
      <c r="I7" s="18"/>
      <c r="J7" s="30"/>
      <c r="K7" s="41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17"/>
      <c r="C8" s="62" t="s">
        <v>1101</v>
      </c>
      <c r="D8" s="70"/>
      <c r="E8" s="63">
        <v>120</v>
      </c>
      <c r="F8" s="27"/>
      <c r="G8" s="27"/>
      <c r="H8" s="27"/>
      <c r="I8" s="18"/>
      <c r="J8" s="30"/>
      <c r="K8"/>
      <c r="L8" s="73"/>
      <c r="M8"/>
      <c r="N8"/>
      <c r="O8"/>
      <c r="P8"/>
      <c r="Q8"/>
      <c r="R8"/>
      <c r="S8"/>
      <c r="T8"/>
      <c r="U8"/>
    </row>
    <row r="9" spans="1:21">
      <c r="A9" s="25"/>
      <c r="B9" s="17"/>
      <c r="C9" s="64" t="s">
        <v>1102</v>
      </c>
      <c r="D9" s="72"/>
      <c r="E9" s="560">
        <v>220</v>
      </c>
      <c r="F9" s="17"/>
      <c r="G9" s="17"/>
      <c r="H9" s="17"/>
      <c r="I9" s="18"/>
      <c r="J9" s="30"/>
      <c r="K9" s="41"/>
      <c r="L9"/>
      <c r="M9"/>
      <c r="N9"/>
      <c r="O9" s="60"/>
      <c r="P9"/>
      <c r="Q9"/>
      <c r="R9"/>
      <c r="S9"/>
    </row>
    <row r="10" spans="1:21">
      <c r="A10" s="25"/>
      <c r="B10" s="17"/>
      <c r="C10" s="66" t="s">
        <v>1103</v>
      </c>
      <c r="D10" s="71"/>
      <c r="E10" s="69">
        <v>340</v>
      </c>
      <c r="F10" s="17"/>
      <c r="G10" s="17"/>
      <c r="H10" s="17"/>
      <c r="I10" s="18"/>
      <c r="J10" s="30"/>
      <c r="K10" s="41"/>
      <c r="L10"/>
      <c r="M10"/>
      <c r="N10"/>
      <c r="O10" s="61"/>
      <c r="P10"/>
      <c r="Q10"/>
      <c r="R10"/>
      <c r="S10"/>
    </row>
    <row r="11" spans="1:21">
      <c r="A11" s="25"/>
      <c r="B11" s="17"/>
      <c r="C11" s="27"/>
      <c r="D11" s="27"/>
      <c r="E11" s="27"/>
      <c r="F11" s="17"/>
      <c r="G11" s="17"/>
      <c r="H11" s="17"/>
      <c r="I11" s="18"/>
      <c r="J11" s="30"/>
      <c r="K11" s="41"/>
      <c r="L11"/>
      <c r="M11"/>
      <c r="N11"/>
      <c r="O11"/>
      <c r="P11"/>
      <c r="Q11"/>
      <c r="R11"/>
      <c r="S11"/>
    </row>
    <row r="12" spans="1:21">
      <c r="A12" s="25"/>
      <c r="B12" s="17"/>
      <c r="C12" s="258" t="s">
        <v>463</v>
      </c>
      <c r="D12" s="561"/>
      <c r="E12" s="562">
        <v>-0.09</v>
      </c>
      <c r="F12" s="17"/>
      <c r="G12" s="17"/>
      <c r="H12" s="17"/>
      <c r="I12" s="18"/>
      <c r="J12" s="30"/>
      <c r="K12" s="41"/>
      <c r="L12"/>
      <c r="M12"/>
      <c r="N12"/>
      <c r="O12"/>
      <c r="P12"/>
      <c r="Q12"/>
      <c r="R12"/>
      <c r="S12"/>
    </row>
    <row r="13" spans="1:21">
      <c r="A13" s="25"/>
      <c r="B13" s="17"/>
      <c r="C13" s="66" t="s">
        <v>464</v>
      </c>
      <c r="D13" s="71"/>
      <c r="E13" s="68">
        <v>44317</v>
      </c>
      <c r="F13" s="17"/>
      <c r="G13" s="17"/>
      <c r="H13" s="17"/>
      <c r="I13" s="18"/>
      <c r="J13" s="30"/>
      <c r="K13" s="41"/>
      <c r="L13"/>
      <c r="M13"/>
      <c r="N13"/>
      <c r="O13"/>
      <c r="P13"/>
      <c r="Q13"/>
      <c r="R13"/>
      <c r="S13"/>
    </row>
    <row r="14" spans="1:21">
      <c r="A14" s="25"/>
      <c r="B14" s="17"/>
      <c r="C14" s="64" t="s">
        <v>465</v>
      </c>
      <c r="D14" s="72"/>
      <c r="E14" s="65">
        <v>-0.03</v>
      </c>
      <c r="F14" s="17"/>
      <c r="G14" s="17"/>
      <c r="H14" s="17"/>
      <c r="I14" s="18"/>
      <c r="J14" s="30"/>
      <c r="K14" s="41"/>
      <c r="L14"/>
      <c r="M14"/>
      <c r="N14"/>
      <c r="O14"/>
      <c r="P14"/>
      <c r="Q14"/>
      <c r="R14"/>
      <c r="S14"/>
    </row>
    <row r="15" spans="1:21">
      <c r="A15" s="25"/>
      <c r="B15" s="17"/>
      <c r="C15" s="66" t="s">
        <v>466</v>
      </c>
      <c r="D15" s="71"/>
      <c r="E15" s="563">
        <v>44531</v>
      </c>
      <c r="F15" s="17"/>
      <c r="G15" s="17"/>
      <c r="H15" s="17"/>
      <c r="I15" s="18"/>
      <c r="J15" s="30"/>
      <c r="K15" s="41"/>
    </row>
    <row r="16" spans="1:21" ht="15" customHeight="1">
      <c r="A16" s="25"/>
      <c r="B16" s="17"/>
      <c r="C16" s="17"/>
      <c r="D16" s="17"/>
      <c r="E16" s="17"/>
      <c r="F16" s="17"/>
      <c r="G16" s="17"/>
      <c r="H16" s="17"/>
      <c r="I16" s="18"/>
      <c r="J16" s="30"/>
      <c r="K16" s="41"/>
      <c r="L16" t="s">
        <v>67</v>
      </c>
      <c r="M16"/>
      <c r="N16"/>
      <c r="O16"/>
      <c r="P16"/>
      <c r="Q16"/>
      <c r="R16"/>
      <c r="S16"/>
    </row>
    <row r="17" spans="1:21" ht="15" customHeight="1">
      <c r="A17" s="25"/>
      <c r="B17" s="564" t="s">
        <v>467</v>
      </c>
      <c r="C17" s="423" t="s">
        <v>468</v>
      </c>
      <c r="D17" s="17"/>
      <c r="E17" s="17"/>
      <c r="F17" s="17"/>
      <c r="G17" s="17"/>
      <c r="H17" s="17"/>
      <c r="I17" s="18"/>
      <c r="J17" s="30"/>
      <c r="K17" s="41"/>
      <c r="L17" s="77" t="s">
        <v>82</v>
      </c>
      <c r="M17"/>
      <c r="N17"/>
      <c r="O17"/>
      <c r="P17"/>
      <c r="Q17"/>
      <c r="R17"/>
      <c r="S17"/>
    </row>
    <row r="18" spans="1:21" ht="15" customHeight="1">
      <c r="A18" s="25"/>
      <c r="B18" s="17"/>
      <c r="C18" s="423" t="s">
        <v>469</v>
      </c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</row>
    <row r="19" spans="1:21" ht="15" customHeight="1">
      <c r="A19" s="25"/>
      <c r="B19" s="17"/>
      <c r="C19" s="17"/>
      <c r="D19" s="17"/>
      <c r="E19" s="17"/>
      <c r="F19" s="17"/>
      <c r="G19" s="17"/>
      <c r="H19" s="17"/>
      <c r="I19" s="18"/>
      <c r="J19" s="30"/>
      <c r="K19"/>
      <c r="L19" s="35" t="s">
        <v>68</v>
      </c>
      <c r="M19" s="76" t="s">
        <v>73</v>
      </c>
      <c r="N19"/>
      <c r="O19"/>
      <c r="P19"/>
      <c r="Q19"/>
      <c r="R19"/>
      <c r="S19"/>
      <c r="T19"/>
      <c r="U19"/>
    </row>
    <row r="20" spans="1:21" ht="15" customHeight="1">
      <c r="A20" s="25" t="s">
        <v>3</v>
      </c>
      <c r="B20" s="17" t="s">
        <v>478</v>
      </c>
      <c r="C20" s="17"/>
      <c r="D20" s="17"/>
      <c r="E20" s="17"/>
      <c r="F20" s="17"/>
      <c r="G20" s="17"/>
      <c r="H20" s="17"/>
      <c r="I20" s="18"/>
      <c r="J20" s="30"/>
      <c r="K20"/>
      <c r="L20" s="77" t="s">
        <v>76</v>
      </c>
      <c r="M20" s="76" t="s">
        <v>74</v>
      </c>
      <c r="N20"/>
      <c r="O20"/>
      <c r="P20"/>
      <c r="Q20"/>
      <c r="R20"/>
      <c r="S20"/>
      <c r="T20"/>
      <c r="U20"/>
    </row>
    <row r="21" spans="1:21" ht="15" customHeight="1" thickBot="1">
      <c r="A21" s="9">
        <f>INDEX('Point Grid'!$C$8:$I$54,MATCH($A$1,'Point Grid'!$A$8:$A$54,0),MATCH(A20,'Point Grid'!$C$7:$I$7,0))</f>
        <v>0.5</v>
      </c>
      <c r="B21" s="17" t="s">
        <v>482</v>
      </c>
      <c r="C21" s="17"/>
      <c r="D21" s="17"/>
      <c r="E21" s="17"/>
      <c r="F21" s="17"/>
      <c r="G21" s="17"/>
      <c r="H21" s="17"/>
      <c r="I21" s="18"/>
      <c r="J21" s="30"/>
      <c r="K21" s="41"/>
      <c r="L21" s="77" t="s">
        <v>77</v>
      </c>
      <c r="M21" s="78" t="s">
        <v>75</v>
      </c>
      <c r="N21"/>
      <c r="O21"/>
      <c r="P21"/>
      <c r="Q21"/>
      <c r="R21"/>
      <c r="S21"/>
      <c r="T21"/>
      <c r="U21"/>
    </row>
    <row r="22" spans="1:21" ht="15" customHeight="1" thickBot="1">
      <c r="A22" s="5"/>
      <c r="B22" s="17" t="s">
        <v>483</v>
      </c>
      <c r="C22" s="27"/>
      <c r="D22" s="27"/>
      <c r="E22" s="27"/>
      <c r="F22" s="27"/>
      <c r="G22" s="27"/>
      <c r="H22" s="27"/>
      <c r="I22" s="18"/>
      <c r="J22" s="30"/>
      <c r="K22"/>
      <c r="L22"/>
      <c r="M22" s="75"/>
      <c r="N22"/>
      <c r="O22"/>
      <c r="P22"/>
      <c r="Q22"/>
      <c r="R22"/>
      <c r="S22" s="510"/>
      <c r="T22"/>
      <c r="U22"/>
    </row>
    <row r="23" spans="1:21" ht="15" customHeight="1">
      <c r="A23" s="25"/>
      <c r="B23" s="17" t="s">
        <v>479</v>
      </c>
      <c r="C23" s="27"/>
      <c r="D23" s="27"/>
      <c r="E23" s="27"/>
      <c r="F23" s="27"/>
      <c r="G23" s="27"/>
      <c r="H23" s="27"/>
      <c r="I23" s="18"/>
      <c r="J23" s="30"/>
      <c r="K23"/>
      <c r="L23" s="79" t="s">
        <v>69</v>
      </c>
      <c r="M23" s="80">
        <v>1</v>
      </c>
      <c r="N23" s="510"/>
      <c r="O23" s="568" t="s">
        <v>68</v>
      </c>
      <c r="P23" s="365">
        <v>0.88270000000000004</v>
      </c>
      <c r="Q23"/>
      <c r="R23" s="510"/>
      <c r="S23" s="510"/>
      <c r="T23"/>
      <c r="U23"/>
    </row>
    <row r="24" spans="1:21" ht="15" customHeight="1">
      <c r="A24" s="25"/>
      <c r="B24" s="17"/>
      <c r="C24" s="27"/>
      <c r="D24" s="27"/>
      <c r="E24" s="27"/>
      <c r="F24" s="27"/>
      <c r="G24" s="27"/>
      <c r="H24" s="27"/>
      <c r="I24" s="18"/>
      <c r="J24" s="30"/>
      <c r="K24" s="41"/>
      <c r="L24" s="81" t="s">
        <v>70</v>
      </c>
      <c r="M24" s="82">
        <v>0</v>
      </c>
      <c r="N24" s="510"/>
      <c r="O24" s="83" t="s">
        <v>78</v>
      </c>
      <c r="P24" s="569">
        <v>1</v>
      </c>
      <c r="Q24"/>
      <c r="R24" s="510"/>
      <c r="S24" s="510"/>
      <c r="T24"/>
      <c r="U24"/>
    </row>
    <row r="25" spans="1:21" ht="15" customHeight="1">
      <c r="A25" s="25"/>
      <c r="B25" s="17"/>
      <c r="C25" s="27"/>
      <c r="D25" s="27"/>
      <c r="E25" s="27"/>
      <c r="F25" s="27"/>
      <c r="G25" s="27"/>
      <c r="H25" s="27"/>
      <c r="I25" s="18"/>
      <c r="J25" s="30"/>
      <c r="K25"/>
      <c r="L25" s="85" t="s">
        <v>71</v>
      </c>
      <c r="M25" s="86">
        <v>0</v>
      </c>
      <c r="N25" s="510"/>
      <c r="O25" s="83" t="s">
        <v>79</v>
      </c>
      <c r="P25" s="569">
        <v>0.93759999999999999</v>
      </c>
      <c r="Q25"/>
      <c r="R25" s="510"/>
      <c r="S25" s="510"/>
      <c r="T25"/>
      <c r="U25"/>
    </row>
    <row r="26" spans="1:21" ht="15" customHeight="1">
      <c r="A26" s="25"/>
      <c r="B26" s="17"/>
      <c r="C26" s="27"/>
      <c r="D26" s="27"/>
      <c r="E26" s="27"/>
      <c r="F26" s="27"/>
      <c r="G26" s="27"/>
      <c r="H26" s="27"/>
      <c r="I26" s="18"/>
      <c r="J26" s="30"/>
      <c r="K26"/>
      <c r="L26" s="81" t="s">
        <v>72</v>
      </c>
      <c r="M26" s="82">
        <v>0.33329999999999999</v>
      </c>
      <c r="N26" s="510"/>
      <c r="O26" s="84" t="s">
        <v>476</v>
      </c>
      <c r="P26" s="570">
        <v>0.88270000000000004</v>
      </c>
      <c r="Q26"/>
      <c r="R26" s="510"/>
      <c r="S26" s="510"/>
      <c r="T26"/>
      <c r="U26"/>
    </row>
    <row r="27" spans="1:21" ht="15" customHeight="1">
      <c r="A27" s="25"/>
      <c r="B27" s="17"/>
      <c r="C27" s="27"/>
      <c r="D27" s="27"/>
      <c r="E27" s="27"/>
      <c r="F27" s="27"/>
      <c r="G27" s="27"/>
      <c r="H27" s="27"/>
      <c r="I27" s="18"/>
      <c r="J27" s="30"/>
      <c r="K27"/>
      <c r="L27" s="81" t="s">
        <v>471</v>
      </c>
      <c r="M27" s="82">
        <v>0.58330000000000004</v>
      </c>
      <c r="N27" s="510"/>
      <c r="O27" s="83" t="s">
        <v>80</v>
      </c>
      <c r="P27" s="569">
        <v>0.88270000000000004</v>
      </c>
      <c r="Q27"/>
      <c r="R27" s="510"/>
      <c r="S27" s="510"/>
      <c r="T27"/>
      <c r="U27"/>
    </row>
    <row r="28" spans="1:21" ht="15" customHeight="1">
      <c r="A28" s="25"/>
      <c r="B28" s="17"/>
      <c r="C28" s="27"/>
      <c r="D28" s="27"/>
      <c r="E28" s="27"/>
      <c r="F28" s="27"/>
      <c r="G28" s="27"/>
      <c r="H28" s="27"/>
      <c r="I28" s="18"/>
      <c r="J28" s="30"/>
      <c r="K28"/>
      <c r="L28" s="85" t="s">
        <v>472</v>
      </c>
      <c r="M28" s="86">
        <v>8.3299999999999999E-2</v>
      </c>
      <c r="N28" s="510"/>
      <c r="O28" s="83" t="s">
        <v>81</v>
      </c>
      <c r="P28" s="569">
        <v>0.94140000000000001</v>
      </c>
      <c r="Q28"/>
      <c r="R28" s="510"/>
      <c r="S28" s="510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 s="81" t="s">
        <v>473</v>
      </c>
      <c r="M29" s="82">
        <v>0</v>
      </c>
      <c r="N29" s="510"/>
      <c r="O29" s="84" t="s">
        <v>477</v>
      </c>
      <c r="P29" s="570">
        <v>1</v>
      </c>
      <c r="Q29"/>
      <c r="R29" s="510"/>
      <c r="S29" s="510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 s="81" t="s">
        <v>474</v>
      </c>
      <c r="M30" s="82">
        <v>0</v>
      </c>
      <c r="N30" s="510"/>
      <c r="O30" s="571"/>
      <c r="P30" s="510"/>
      <c r="Q30"/>
      <c r="R30" s="510"/>
      <c r="S30" s="51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 s="85" t="s">
        <v>475</v>
      </c>
      <c r="M31" s="86">
        <v>1</v>
      </c>
      <c r="N31" s="510"/>
      <c r="O31" s="510"/>
      <c r="P31" s="510"/>
      <c r="Q31"/>
      <c r="R31" s="510"/>
      <c r="S31" s="510"/>
      <c r="T31"/>
      <c r="U31"/>
    </row>
    <row r="32" spans="1:21" ht="15" customHeight="1">
      <c r="J32" s="30"/>
      <c r="K32" s="41"/>
      <c r="L32" s="88"/>
      <c r="M32"/>
      <c r="N32"/>
      <c r="O32"/>
      <c r="P32"/>
      <c r="Q32"/>
      <c r="R32" s="510"/>
      <c r="S32" s="510"/>
      <c r="T32"/>
      <c r="U32"/>
    </row>
    <row r="33" spans="10:21" ht="15" customHeight="1">
      <c r="J33" s="30"/>
      <c r="K33" s="523" t="s">
        <v>3</v>
      </c>
      <c r="L33" s="88" t="s">
        <v>480</v>
      </c>
      <c r="M33"/>
      <c r="N33"/>
      <c r="O33"/>
      <c r="P33"/>
      <c r="Q33"/>
      <c r="R33" s="510"/>
      <c r="S33" s="510"/>
      <c r="T33"/>
      <c r="U33"/>
    </row>
    <row r="34" spans="10:21" ht="15" customHeight="1">
      <c r="J34" s="30"/>
      <c r="K34"/>
      <c r="L34" s="572" t="s">
        <v>481</v>
      </c>
      <c r="M34"/>
      <c r="N34"/>
      <c r="O34"/>
      <c r="P34"/>
      <c r="Q34"/>
      <c r="R34" s="510"/>
      <c r="S34" s="510"/>
      <c r="T34"/>
      <c r="U34"/>
    </row>
    <row r="35" spans="10:21" ht="15" customHeight="1">
      <c r="J35" s="30"/>
      <c r="K35"/>
      <c r="L35"/>
      <c r="M35"/>
      <c r="N35"/>
      <c r="O35"/>
      <c r="P35"/>
      <c r="Q35"/>
      <c r="R35" s="510"/>
      <c r="S35" s="510"/>
      <c r="T35"/>
      <c r="U35"/>
    </row>
    <row r="36" spans="10:21" ht="15" customHeight="1">
      <c r="J36" s="30"/>
      <c r="K36"/>
      <c r="L36"/>
      <c r="M36"/>
      <c r="N36"/>
      <c r="O36"/>
      <c r="P36"/>
      <c r="Q36"/>
      <c r="R36" s="510"/>
      <c r="S36" s="510"/>
      <c r="T36"/>
      <c r="U36"/>
    </row>
    <row r="37" spans="10:21" ht="15" customHeight="1">
      <c r="J37" s="30"/>
      <c r="K37"/>
      <c r="L37"/>
      <c r="M37"/>
      <c r="N37"/>
      <c r="O37"/>
      <c r="P37"/>
      <c r="Q37"/>
      <c r="R37" s="510"/>
      <c r="S37" s="510"/>
      <c r="T37"/>
      <c r="U37"/>
    </row>
    <row r="38" spans="10:21" ht="15" customHeight="1">
      <c r="J38" s="30"/>
      <c r="K38"/>
      <c r="L38"/>
      <c r="M38"/>
      <c r="N38"/>
      <c r="O38"/>
      <c r="P38"/>
      <c r="Q38"/>
      <c r="R38" s="510"/>
      <c r="S38" s="510"/>
      <c r="T38"/>
      <c r="U38"/>
    </row>
    <row r="39" spans="10:21" ht="15" customHeight="1">
      <c r="J39" s="30"/>
      <c r="K39"/>
      <c r="L39"/>
      <c r="M39"/>
      <c r="N39"/>
      <c r="O39"/>
      <c r="P39"/>
      <c r="Q39"/>
      <c r="R39" s="510"/>
      <c r="S39" s="510"/>
      <c r="T39"/>
      <c r="U39"/>
    </row>
    <row r="40" spans="10:21" ht="15" customHeight="1">
      <c r="J40" s="30"/>
      <c r="K40"/>
      <c r="L40"/>
      <c r="M40"/>
      <c r="N40"/>
      <c r="O40"/>
      <c r="P40"/>
      <c r="Q40"/>
      <c r="R40" s="510"/>
      <c r="S40" s="510"/>
      <c r="T40"/>
      <c r="U40"/>
    </row>
    <row r="41" spans="10:21" ht="15" customHeight="1">
      <c r="J41" s="30"/>
      <c r="K41" s="41"/>
      <c r="L41" s="1"/>
      <c r="M41"/>
      <c r="N41"/>
      <c r="O41"/>
      <c r="P41"/>
      <c r="Q41"/>
      <c r="R41" s="510"/>
      <c r="S41" s="510"/>
      <c r="T41"/>
      <c r="U41"/>
    </row>
    <row r="42" spans="10:21" ht="15" customHeight="1">
      <c r="J42" s="30"/>
      <c r="K42"/>
      <c r="L42"/>
      <c r="M42"/>
      <c r="N42"/>
      <c r="O42"/>
      <c r="P42"/>
      <c r="Q42"/>
      <c r="R42" s="510"/>
      <c r="S42" s="510"/>
      <c r="T42"/>
      <c r="U42"/>
    </row>
    <row r="43" spans="10:21" ht="15" customHeight="1">
      <c r="J43" s="30"/>
      <c r="K43" s="41"/>
      <c r="L43"/>
      <c r="M43"/>
      <c r="N43"/>
      <c r="O43"/>
      <c r="P43"/>
      <c r="Q43"/>
      <c r="R43"/>
      <c r="S43"/>
      <c r="T43"/>
      <c r="U43"/>
    </row>
    <row r="44" spans="10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10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10:21" ht="15" customHeight="1">
      <c r="J46" s="30"/>
      <c r="K46"/>
      <c r="L46"/>
      <c r="M46"/>
      <c r="N46"/>
      <c r="O46"/>
      <c r="P46"/>
      <c r="Q46"/>
      <c r="R46"/>
      <c r="S46"/>
      <c r="T46"/>
      <c r="U46"/>
    </row>
    <row r="47" spans="10:21" ht="15" customHeight="1">
      <c r="J47" s="30"/>
      <c r="K47"/>
      <c r="L47"/>
      <c r="M47"/>
      <c r="N47"/>
      <c r="O47"/>
      <c r="P47"/>
      <c r="Q47"/>
      <c r="R47"/>
      <c r="S47"/>
      <c r="T47"/>
      <c r="U47"/>
    </row>
    <row r="48" spans="10:21" ht="15" customHeight="1"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J51" s="30"/>
      <c r="K51"/>
      <c r="L51"/>
      <c r="M51"/>
      <c r="N51"/>
      <c r="O51"/>
      <c r="P51"/>
      <c r="Q51"/>
      <c r="R51"/>
      <c r="S51"/>
      <c r="T51"/>
      <c r="U51"/>
    </row>
    <row r="52" spans="2:21" ht="15" customHeight="1">
      <c r="J52" s="30"/>
      <c r="K52"/>
      <c r="L52"/>
      <c r="M52"/>
      <c r="N52"/>
      <c r="O52"/>
      <c r="P52"/>
      <c r="Q52"/>
      <c r="R52"/>
      <c r="S52"/>
      <c r="T52"/>
      <c r="U52"/>
    </row>
    <row r="53" spans="2:21" ht="15" customHeight="1">
      <c r="J53" s="30"/>
      <c r="K53"/>
      <c r="L53"/>
      <c r="M53"/>
      <c r="N53"/>
      <c r="O53"/>
      <c r="P53"/>
      <c r="Q53"/>
      <c r="R53"/>
      <c r="S53"/>
      <c r="T53"/>
      <c r="U53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2:10" ht="15" customHeight="1"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2:10" ht="15" customHeight="1"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2:10" ht="15" customHeight="1"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2:10" ht="15" customHeight="1"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2:10" ht="15" customHeight="1"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2:10" ht="15" customHeight="1"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2:10" ht="15" customHeight="1"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2:10" ht="15" customHeight="1">
      <c r="B109" s="30"/>
      <c r="C109" s="30"/>
      <c r="D109" s="30"/>
      <c r="E109" s="30"/>
      <c r="F109" s="30"/>
      <c r="G109" s="30"/>
      <c r="H109" s="30"/>
      <c r="I109" s="30"/>
      <c r="J109" s="30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U101"/>
  <sheetViews>
    <sheetView zoomScaleNormal="100" workbookViewId="0">
      <selection activeCell="C16" sqref="C16:C23"/>
    </sheetView>
  </sheetViews>
  <sheetFormatPr defaultColWidth="9.140625" defaultRowHeight="15"/>
  <cols>
    <col min="1" max="1" width="9.140625" style="21"/>
    <col min="2" max="2" width="16" style="21" bestFit="1" customWidth="1"/>
    <col min="3" max="3" width="11.140625" style="21" customWidth="1"/>
    <col min="4" max="6" width="12.7109375" style="21" customWidth="1"/>
    <col min="7" max="7" width="6.7109375" style="21" customWidth="1"/>
    <col min="8" max="8" width="11.140625" style="21" customWidth="1"/>
    <col min="9" max="9" width="6.7109375" style="21" customWidth="1"/>
    <col min="10" max="16384" width="9.140625" style="21"/>
  </cols>
  <sheetData>
    <row r="1" spans="1:21">
      <c r="A1" s="7">
        <v>9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Pricing - Chap 6: Loss &amp; LAE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2</v>
      </c>
      <c r="L3" s="3" t="s">
        <v>321</v>
      </c>
      <c r="M3" t="s">
        <v>485</v>
      </c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 s="30"/>
      <c r="K4" s="41"/>
      <c r="L4" s="3" t="s">
        <v>326</v>
      </c>
      <c r="M4" t="s">
        <v>486</v>
      </c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484</v>
      </c>
      <c r="C6" s="17"/>
      <c r="D6" s="17"/>
      <c r="E6" s="17"/>
      <c r="F6" s="17"/>
      <c r="G6" s="17"/>
      <c r="H6" s="17"/>
      <c r="I6" s="18"/>
      <c r="J6" s="30"/>
      <c r="K6" s="41" t="s">
        <v>3</v>
      </c>
      <c r="L6" s="102" t="s">
        <v>98</v>
      </c>
      <c r="M6"/>
      <c r="N6" s="103">
        <f>R20</f>
        <v>4.1510394260889587E-2</v>
      </c>
      <c r="O6" s="102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 s="30"/>
      <c r="K7" s="41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17"/>
      <c r="C8" s="27"/>
      <c r="D8" s="27"/>
      <c r="E8" s="27"/>
      <c r="F8" s="27"/>
      <c r="G8" s="27"/>
      <c r="H8" s="27"/>
      <c r="I8" s="18"/>
      <c r="J8" s="30"/>
      <c r="K8"/>
      <c r="L8" s="104"/>
      <c r="M8" s="105" t="s">
        <v>103</v>
      </c>
      <c r="N8" s="106" t="s">
        <v>104</v>
      </c>
      <c r="O8" s="106" t="s">
        <v>105</v>
      </c>
      <c r="P8" s="106" t="s">
        <v>106</v>
      </c>
      <c r="Q8" s="107" t="s">
        <v>107</v>
      </c>
      <c r="R8" s="107" t="s">
        <v>108</v>
      </c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0"/>
      <c r="K9" s="41"/>
      <c r="L9" s="108"/>
      <c r="M9" s="109"/>
      <c r="N9" s="109" t="s">
        <v>86</v>
      </c>
      <c r="O9" s="109" t="s">
        <v>89</v>
      </c>
      <c r="P9" s="110" t="s">
        <v>85</v>
      </c>
      <c r="Q9" s="111" t="s">
        <v>101</v>
      </c>
      <c r="R9" s="111"/>
      <c r="S9"/>
    </row>
    <row r="10" spans="1:21">
      <c r="A10" s="25" t="s">
        <v>3</v>
      </c>
      <c r="B10" s="17" t="s">
        <v>99</v>
      </c>
      <c r="C10" s="17"/>
      <c r="D10" s="17"/>
      <c r="E10" s="17"/>
      <c r="F10" s="17"/>
      <c r="G10" s="17"/>
      <c r="H10" s="17"/>
      <c r="I10" s="18"/>
      <c r="J10" s="30"/>
      <c r="K10"/>
      <c r="L10" s="108"/>
      <c r="M10" s="109" t="s">
        <v>84</v>
      </c>
      <c r="N10" s="109" t="s">
        <v>87</v>
      </c>
      <c r="O10" s="109" t="s">
        <v>87</v>
      </c>
      <c r="P10" s="110" t="s">
        <v>100</v>
      </c>
      <c r="Q10" s="112" t="s">
        <v>87</v>
      </c>
      <c r="R10" s="111" t="s">
        <v>87</v>
      </c>
      <c r="S10"/>
      <c r="T10"/>
      <c r="U10"/>
    </row>
    <row r="11" spans="1:21" ht="15.75" thickBot="1">
      <c r="A11" s="9">
        <f>INDEX('Point Grid'!$C$8:$I$54,MATCH($A$1,'Point Grid'!$A$8:$A$54,0),MATCH(A10,'Point Grid'!$C$7:$I$7,0))</f>
        <v>2</v>
      </c>
      <c r="B11" s="17"/>
      <c r="C11" s="17"/>
      <c r="D11" s="17"/>
      <c r="E11" s="17"/>
      <c r="F11" s="17"/>
      <c r="G11" s="17"/>
      <c r="H11" s="17"/>
      <c r="I11" s="18"/>
      <c r="J11" s="30"/>
      <c r="K11"/>
      <c r="L11" s="113" t="s">
        <v>83</v>
      </c>
      <c r="M11" s="114" t="s">
        <v>85</v>
      </c>
      <c r="N11" s="114" t="s">
        <v>88</v>
      </c>
      <c r="O11" s="114" t="s">
        <v>85</v>
      </c>
      <c r="P11" s="115">
        <f>E12</f>
        <v>350</v>
      </c>
      <c r="Q11" s="116" t="s">
        <v>85</v>
      </c>
      <c r="R11" s="116" t="s">
        <v>102</v>
      </c>
      <c r="S11"/>
      <c r="T11"/>
      <c r="U11"/>
    </row>
    <row r="12" spans="1:21" ht="15.75" thickBot="1">
      <c r="A12" s="5"/>
      <c r="B12" s="17"/>
      <c r="C12" s="121" t="s">
        <v>110</v>
      </c>
      <c r="D12" s="121"/>
      <c r="E12" s="573">
        <v>350</v>
      </c>
      <c r="F12" s="121"/>
      <c r="G12" s="27"/>
      <c r="H12" s="27"/>
      <c r="I12" s="18"/>
      <c r="J12" s="30"/>
      <c r="K12"/>
      <c r="L12" s="117">
        <f>C16</f>
        <v>2018</v>
      </c>
      <c r="M12" s="118">
        <f t="shared" ref="M12:O19" si="0">D16</f>
        <v>17950</v>
      </c>
      <c r="N12" s="118">
        <f t="shared" si="0"/>
        <v>2</v>
      </c>
      <c r="O12" s="118">
        <f t="shared" si="0"/>
        <v>2750</v>
      </c>
      <c r="P12" s="109">
        <f>O12-N12*P11</f>
        <v>2050</v>
      </c>
      <c r="Q12" s="539">
        <f t="shared" ref="Q12:Q19" si="1">M12-P12</f>
        <v>15900</v>
      </c>
      <c r="R12" s="119">
        <f t="shared" ref="R12:R19" si="2">ROUND(P12/Q12,3)</f>
        <v>0.129</v>
      </c>
      <c r="S12"/>
      <c r="T12"/>
      <c r="U12"/>
    </row>
    <row r="13" spans="1:21">
      <c r="A13" s="25"/>
      <c r="B13" s="17"/>
      <c r="C13" s="121"/>
      <c r="D13" s="121"/>
      <c r="E13" s="121"/>
      <c r="F13" s="121"/>
      <c r="G13" s="27"/>
      <c r="H13" s="27"/>
      <c r="I13" s="18"/>
      <c r="J13" s="30"/>
      <c r="K13" s="41"/>
      <c r="L13" s="117">
        <f t="shared" ref="L13:L19" si="3">C17</f>
        <v>2019</v>
      </c>
      <c r="M13" s="118">
        <f t="shared" si="0"/>
        <v>15700</v>
      </c>
      <c r="N13" s="118">
        <f t="shared" si="0"/>
        <v>1</v>
      </c>
      <c r="O13" s="118">
        <f t="shared" si="0"/>
        <v>500</v>
      </c>
      <c r="P13" s="109">
        <f>O13-N13*P11</f>
        <v>150</v>
      </c>
      <c r="Q13" s="539">
        <f t="shared" si="1"/>
        <v>15550</v>
      </c>
      <c r="R13" s="119">
        <f t="shared" si="2"/>
        <v>0.01</v>
      </c>
      <c r="S13"/>
      <c r="T13"/>
      <c r="U13"/>
    </row>
    <row r="14" spans="1:21">
      <c r="A14" s="25"/>
      <c r="B14" s="17"/>
      <c r="C14" s="98"/>
      <c r="D14" s="90" t="s">
        <v>91</v>
      </c>
      <c r="E14" s="90" t="s">
        <v>93</v>
      </c>
      <c r="F14" s="91" t="s">
        <v>95</v>
      </c>
      <c r="G14" s="27"/>
      <c r="H14" s="27"/>
      <c r="I14" s="18"/>
      <c r="J14" s="30"/>
      <c r="K14"/>
      <c r="L14" s="117">
        <f t="shared" si="3"/>
        <v>2020</v>
      </c>
      <c r="M14" s="118">
        <f t="shared" si="0"/>
        <v>32000</v>
      </c>
      <c r="N14" s="118">
        <f t="shared" si="0"/>
        <v>33</v>
      </c>
      <c r="O14" s="118">
        <f t="shared" si="0"/>
        <v>13500</v>
      </c>
      <c r="P14" s="109">
        <f>O14-N14*P11</f>
        <v>1950</v>
      </c>
      <c r="Q14" s="539">
        <f t="shared" si="1"/>
        <v>30050</v>
      </c>
      <c r="R14" s="119">
        <f t="shared" si="2"/>
        <v>6.5000000000000002E-2</v>
      </c>
      <c r="S14"/>
      <c r="T14"/>
      <c r="U14"/>
    </row>
    <row r="15" spans="1:21">
      <c r="A15" s="25"/>
      <c r="B15" s="17"/>
      <c r="C15" s="99" t="s">
        <v>83</v>
      </c>
      <c r="D15" s="96" t="s">
        <v>92</v>
      </c>
      <c r="E15" s="96" t="s">
        <v>94</v>
      </c>
      <c r="F15" s="97" t="s">
        <v>96</v>
      </c>
      <c r="G15" s="27"/>
      <c r="H15" s="27"/>
      <c r="I15" s="18"/>
      <c r="J15" s="30"/>
      <c r="K15"/>
      <c r="L15" s="117">
        <f t="shared" si="3"/>
        <v>2021</v>
      </c>
      <c r="M15" s="118">
        <f t="shared" si="0"/>
        <v>16000</v>
      </c>
      <c r="N15" s="118">
        <f t="shared" si="0"/>
        <v>0</v>
      </c>
      <c r="O15" s="118">
        <f t="shared" si="0"/>
        <v>0</v>
      </c>
      <c r="P15" s="109">
        <f>O15-N15*P11</f>
        <v>0</v>
      </c>
      <c r="Q15" s="539">
        <f t="shared" si="1"/>
        <v>16000</v>
      </c>
      <c r="R15" s="119">
        <f t="shared" si="2"/>
        <v>0</v>
      </c>
      <c r="S15"/>
      <c r="T15"/>
      <c r="U15"/>
    </row>
    <row r="16" spans="1:21">
      <c r="A16" s="25"/>
      <c r="B16" s="17"/>
      <c r="C16" s="100">
        <v>2018</v>
      </c>
      <c r="D16" s="92">
        <v>17950</v>
      </c>
      <c r="E16" s="92">
        <v>2</v>
      </c>
      <c r="F16" s="93">
        <v>2750</v>
      </c>
      <c r="G16" s="27"/>
      <c r="H16" s="27"/>
      <c r="I16" s="18"/>
      <c r="J16" s="30"/>
      <c r="K16" s="41"/>
      <c r="L16" s="117">
        <f t="shared" si="3"/>
        <v>2022</v>
      </c>
      <c r="M16" s="118">
        <f t="shared" si="0"/>
        <v>19000</v>
      </c>
      <c r="N16" s="118">
        <f t="shared" si="0"/>
        <v>5</v>
      </c>
      <c r="O16" s="118">
        <f t="shared" si="0"/>
        <v>3255</v>
      </c>
      <c r="P16" s="109">
        <f>O16-N16*P11</f>
        <v>1505</v>
      </c>
      <c r="Q16" s="539">
        <f t="shared" si="1"/>
        <v>17495</v>
      </c>
      <c r="R16" s="119">
        <f t="shared" si="2"/>
        <v>8.5999999999999993E-2</v>
      </c>
      <c r="S16"/>
      <c r="T16"/>
      <c r="U16"/>
    </row>
    <row r="17" spans="1:21">
      <c r="A17" s="25"/>
      <c r="B17" s="17"/>
      <c r="C17" s="100">
        <v>2019</v>
      </c>
      <c r="D17" s="92">
        <v>15700</v>
      </c>
      <c r="E17" s="92">
        <v>1</v>
      </c>
      <c r="F17" s="93">
        <v>500</v>
      </c>
      <c r="G17" s="27"/>
      <c r="H17" s="27"/>
      <c r="I17" s="18"/>
      <c r="J17" s="30"/>
      <c r="K17"/>
      <c r="L17" s="117">
        <f t="shared" si="3"/>
        <v>2023</v>
      </c>
      <c r="M17" s="118">
        <f t="shared" si="0"/>
        <v>26400</v>
      </c>
      <c r="N17" s="118">
        <f t="shared" si="0"/>
        <v>0</v>
      </c>
      <c r="O17" s="118">
        <f t="shared" si="0"/>
        <v>0</v>
      </c>
      <c r="P17" s="109">
        <f>O17-N17*P11</f>
        <v>0</v>
      </c>
      <c r="Q17" s="539">
        <f t="shared" si="1"/>
        <v>26400</v>
      </c>
      <c r="R17" s="119">
        <f t="shared" si="2"/>
        <v>0</v>
      </c>
      <c r="S17"/>
      <c r="T17"/>
      <c r="U17"/>
    </row>
    <row r="18" spans="1:21" ht="15" customHeight="1">
      <c r="A18" s="25"/>
      <c r="B18" s="17"/>
      <c r="C18" s="100">
        <v>2020</v>
      </c>
      <c r="D18" s="92">
        <v>32000</v>
      </c>
      <c r="E18" s="92">
        <v>33</v>
      </c>
      <c r="F18" s="93">
        <v>13500</v>
      </c>
      <c r="G18" s="27"/>
      <c r="H18" s="27"/>
      <c r="I18" s="18"/>
      <c r="J18" s="30"/>
      <c r="K18"/>
      <c r="L18" s="117">
        <f t="shared" si="3"/>
        <v>2024</v>
      </c>
      <c r="M18" s="118">
        <f t="shared" si="0"/>
        <v>22880</v>
      </c>
      <c r="N18" s="118">
        <f t="shared" si="0"/>
        <v>1</v>
      </c>
      <c r="O18" s="118">
        <f t="shared" si="0"/>
        <v>1151</v>
      </c>
      <c r="P18" s="109">
        <f>O18-N18*P11</f>
        <v>801</v>
      </c>
      <c r="Q18" s="539">
        <f t="shared" si="1"/>
        <v>22079</v>
      </c>
      <c r="R18" s="119">
        <f t="shared" si="2"/>
        <v>3.5999999999999997E-2</v>
      </c>
      <c r="S18"/>
      <c r="T18"/>
      <c r="U18"/>
    </row>
    <row r="19" spans="1:21" ht="15" customHeight="1">
      <c r="A19" s="25"/>
      <c r="B19" s="17"/>
      <c r="C19" s="100">
        <v>2021</v>
      </c>
      <c r="D19" s="92">
        <v>16000</v>
      </c>
      <c r="E19" s="92">
        <v>0</v>
      </c>
      <c r="F19" s="93">
        <v>0</v>
      </c>
      <c r="G19" s="27"/>
      <c r="H19" s="27"/>
      <c r="I19" s="18"/>
      <c r="J19" s="30"/>
      <c r="K19"/>
      <c r="L19" s="117">
        <f t="shared" si="3"/>
        <v>2025</v>
      </c>
      <c r="M19" s="118">
        <f t="shared" si="0"/>
        <v>21964</v>
      </c>
      <c r="N19" s="118">
        <f t="shared" si="0"/>
        <v>22</v>
      </c>
      <c r="O19" s="118">
        <f t="shared" si="0"/>
        <v>8095</v>
      </c>
      <c r="P19" s="109">
        <f>O19-N19*P11</f>
        <v>395</v>
      </c>
      <c r="Q19" s="539">
        <f t="shared" si="1"/>
        <v>21569</v>
      </c>
      <c r="R19" s="119">
        <f t="shared" si="2"/>
        <v>1.7999999999999999E-2</v>
      </c>
      <c r="S19"/>
      <c r="T19"/>
      <c r="U19"/>
    </row>
    <row r="20" spans="1:21" ht="15" customHeight="1">
      <c r="A20" s="25"/>
      <c r="B20" s="17"/>
      <c r="C20" s="100">
        <v>2022</v>
      </c>
      <c r="D20" s="92">
        <v>19000</v>
      </c>
      <c r="E20" s="92">
        <v>5</v>
      </c>
      <c r="F20" s="93">
        <v>3255</v>
      </c>
      <c r="G20" s="27"/>
      <c r="H20" s="27"/>
      <c r="I20" s="18"/>
      <c r="J20" s="30"/>
      <c r="K20"/>
      <c r="L20" s="125" t="s">
        <v>109</v>
      </c>
      <c r="M20" s="126">
        <f>SUM(M12:M19)</f>
        <v>171894</v>
      </c>
      <c r="N20" s="126">
        <f>SUM(N12:N19)</f>
        <v>64</v>
      </c>
      <c r="O20" s="126">
        <f>SUM(O12:O19)</f>
        <v>29251</v>
      </c>
      <c r="P20" s="126">
        <f>SUM(P12:P19)</f>
        <v>6851</v>
      </c>
      <c r="Q20" s="127">
        <f>SUM(Q12:Q19)</f>
        <v>165043</v>
      </c>
      <c r="R20" s="128">
        <f>P20/Q20</f>
        <v>4.1510394260889587E-2</v>
      </c>
      <c r="S20"/>
      <c r="T20"/>
      <c r="U20"/>
    </row>
    <row r="21" spans="1:21" ht="15" customHeight="1">
      <c r="A21" s="25"/>
      <c r="B21" s="17"/>
      <c r="C21" s="100">
        <v>2023</v>
      </c>
      <c r="D21" s="92">
        <v>26400</v>
      </c>
      <c r="E21" s="92">
        <v>0</v>
      </c>
      <c r="F21" s="93">
        <v>0</v>
      </c>
      <c r="G21" s="27"/>
      <c r="H21" s="2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17"/>
      <c r="C22" s="100">
        <v>2024</v>
      </c>
      <c r="D22" s="92">
        <v>22880</v>
      </c>
      <c r="E22" s="92">
        <v>1</v>
      </c>
      <c r="F22" s="93">
        <v>1151</v>
      </c>
      <c r="G22" s="27"/>
      <c r="H22" s="27"/>
      <c r="I22" s="18"/>
      <c r="J22" s="30"/>
      <c r="K22"/>
      <c r="L22" s="129" t="s">
        <v>115</v>
      </c>
      <c r="R22"/>
      <c r="S22"/>
      <c r="T22"/>
      <c r="U22"/>
    </row>
    <row r="23" spans="1:21" ht="15" customHeight="1">
      <c r="A23" s="25"/>
      <c r="B23" s="17"/>
      <c r="C23" s="99">
        <v>2025</v>
      </c>
      <c r="D23" s="94">
        <v>21964</v>
      </c>
      <c r="E23" s="94">
        <v>22</v>
      </c>
      <c r="F23" s="95">
        <v>8095</v>
      </c>
      <c r="G23" s="27"/>
      <c r="H23" s="27"/>
      <c r="I23" s="18"/>
      <c r="J23" s="30"/>
      <c r="K23"/>
      <c r="L23" s="122" t="s">
        <v>111</v>
      </c>
      <c r="M23" s="122" t="str">
        <f>"[ "&amp;P11 &amp; " x (2) ]"</f>
        <v>[ 350 x (2) ]</v>
      </c>
      <c r="N23" s="123"/>
      <c r="O23" s="124"/>
      <c r="P23" s="124"/>
      <c r="Q23" s="124"/>
      <c r="S23"/>
      <c r="T23"/>
      <c r="U23"/>
    </row>
    <row r="24" spans="1:21" ht="15" customHeight="1">
      <c r="A24" s="25"/>
      <c r="B24" s="17"/>
      <c r="C24" s="99" t="s">
        <v>90</v>
      </c>
      <c r="D24" s="94">
        <v>90244</v>
      </c>
      <c r="E24" s="94">
        <v>28</v>
      </c>
      <c r="F24" s="95">
        <v>12501</v>
      </c>
      <c r="G24" s="27"/>
      <c r="H24" s="27"/>
      <c r="I24" s="18"/>
      <c r="J24" s="30"/>
      <c r="K24"/>
      <c r="L24" s="123" t="s">
        <v>112</v>
      </c>
      <c r="M24" s="124"/>
      <c r="N24" s="124"/>
      <c r="O24" s="124"/>
      <c r="P24" s="124"/>
      <c r="Q24" s="124"/>
      <c r="S24"/>
      <c r="T24"/>
      <c r="U24"/>
    </row>
    <row r="25" spans="1:21" ht="15" customHeight="1">
      <c r="A25" s="25"/>
      <c r="B25" s="17"/>
      <c r="C25" s="27"/>
      <c r="D25" s="27"/>
      <c r="E25" s="27"/>
      <c r="F25" s="27"/>
      <c r="G25" s="27"/>
      <c r="H25" s="27"/>
      <c r="I25" s="18"/>
      <c r="J25" s="30"/>
      <c r="K25"/>
      <c r="L25" s="123" t="s">
        <v>113</v>
      </c>
      <c r="M25" s="124"/>
      <c r="N25" s="124"/>
      <c r="O25" s="124"/>
      <c r="P25" s="124"/>
      <c r="Q25" s="124"/>
      <c r="R25"/>
      <c r="S25"/>
      <c r="T25"/>
      <c r="U25"/>
    </row>
    <row r="26" spans="1:21" ht="15" customHeight="1">
      <c r="A26" s="25"/>
      <c r="B26" s="17"/>
      <c r="C26" s="27"/>
      <c r="D26" s="27"/>
      <c r="E26" s="27"/>
      <c r="F26" s="27"/>
      <c r="G26" s="27"/>
      <c r="H26" s="27"/>
      <c r="I26" s="18"/>
      <c r="J26" s="30"/>
      <c r="K26"/>
      <c r="L26" s="123" t="s">
        <v>114</v>
      </c>
      <c r="M26" s="124"/>
      <c r="N26" s="124"/>
      <c r="O26" s="124"/>
      <c r="P26" s="124"/>
      <c r="Q26" s="124"/>
      <c r="R26"/>
      <c r="S26"/>
      <c r="T26"/>
      <c r="U26"/>
    </row>
    <row r="27" spans="1:21" ht="15" customHeight="1">
      <c r="A27" s="25"/>
      <c r="B27" s="17"/>
      <c r="C27" s="27"/>
      <c r="D27" s="27"/>
      <c r="E27" s="27"/>
      <c r="F27" s="27"/>
      <c r="G27" s="27"/>
      <c r="H27" s="2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27"/>
      <c r="D28" s="27"/>
      <c r="E28" s="27"/>
      <c r="F28" s="27"/>
      <c r="G28" s="27"/>
      <c r="H28" s="2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1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1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W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3">
      <c r="A1" s="7">
        <v>10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Pricing - Chap 7: Other Expenses</v>
      </c>
      <c r="M1"/>
      <c r="N1"/>
      <c r="O1"/>
      <c r="P1"/>
      <c r="Q1"/>
      <c r="R1"/>
      <c r="S1"/>
      <c r="T1"/>
      <c r="U1"/>
    </row>
    <row r="2" spans="1:23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 s="510"/>
      <c r="N2" s="510"/>
      <c r="O2" s="510"/>
      <c r="P2" s="510"/>
      <c r="Q2" s="510"/>
      <c r="R2" s="510"/>
      <c r="S2" s="510"/>
      <c r="T2" s="510"/>
      <c r="U2" s="510"/>
      <c r="V2" s="510"/>
    </row>
    <row r="3" spans="1:23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2</v>
      </c>
      <c r="L3" s="1" t="s">
        <v>264</v>
      </c>
      <c r="M3" s="510"/>
      <c r="N3" s="510"/>
      <c r="O3" s="510"/>
      <c r="P3" s="510"/>
      <c r="Q3" s="510"/>
      <c r="R3" s="510"/>
      <c r="S3" s="510"/>
      <c r="T3" s="510"/>
      <c r="U3" s="510"/>
      <c r="V3" s="510"/>
    </row>
    <row r="4" spans="1:23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8"/>
      <c r="J4" s="30"/>
      <c r="K4" s="41"/>
      <c r="L4" s="510" t="s">
        <v>488</v>
      </c>
      <c r="M4" s="510"/>
      <c r="N4" s="510"/>
      <c r="O4" s="510"/>
      <c r="P4" s="510"/>
      <c r="Q4" s="510"/>
      <c r="R4" s="510"/>
      <c r="S4" s="510"/>
      <c r="T4" s="510"/>
      <c r="U4" s="510"/>
      <c r="V4" s="510"/>
    </row>
    <row r="5" spans="1:23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</row>
    <row r="6" spans="1:23">
      <c r="A6" s="25" t="s">
        <v>2</v>
      </c>
      <c r="B6" s="17" t="s">
        <v>487</v>
      </c>
      <c r="C6" s="17"/>
      <c r="D6" s="17"/>
      <c r="E6" s="17"/>
      <c r="F6" s="17"/>
      <c r="G6" s="17"/>
      <c r="H6" s="17"/>
      <c r="I6" s="18"/>
      <c r="J6" s="30"/>
      <c r="K6" s="41"/>
      <c r="L6" s="1" t="s">
        <v>521</v>
      </c>
      <c r="M6" s="510"/>
      <c r="N6" s="273" t="s">
        <v>489</v>
      </c>
      <c r="O6" s="510"/>
      <c r="P6" s="510"/>
      <c r="Q6" s="510"/>
      <c r="R6" s="510"/>
      <c r="S6" s="510"/>
      <c r="T6" s="510"/>
      <c r="U6" s="510"/>
      <c r="V6" s="510"/>
    </row>
    <row r="7" spans="1:23" ht="15.75" thickBot="1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 s="30"/>
      <c r="K7" s="41"/>
      <c r="L7" s="510" t="s">
        <v>490</v>
      </c>
      <c r="M7" s="510"/>
      <c r="N7" s="510"/>
      <c r="O7" s="510"/>
      <c r="P7" s="510"/>
      <c r="Q7" s="510"/>
      <c r="R7" s="510"/>
      <c r="S7" s="510"/>
      <c r="T7" s="510"/>
      <c r="U7" s="510"/>
      <c r="V7" s="510"/>
    </row>
    <row r="8" spans="1:23" ht="15.75" thickBot="1">
      <c r="A8" s="5"/>
      <c r="B8" s="17"/>
      <c r="C8" s="27"/>
      <c r="D8" s="27"/>
      <c r="E8" s="27"/>
      <c r="F8" s="27"/>
      <c r="G8" s="27"/>
      <c r="H8" s="27"/>
      <c r="I8" s="18"/>
      <c r="J8" s="30"/>
      <c r="K8" s="41"/>
      <c r="L8" s="510" t="s">
        <v>491</v>
      </c>
      <c r="M8" s="510"/>
      <c r="N8" s="510"/>
    </row>
    <row r="9" spans="1:23">
      <c r="A9" s="25"/>
      <c r="B9" s="17"/>
      <c r="C9" s="17"/>
      <c r="D9" s="17"/>
      <c r="E9" s="17"/>
      <c r="F9" s="17"/>
      <c r="G9" s="17"/>
      <c r="H9" s="17"/>
      <c r="I9" s="18"/>
      <c r="J9" s="30"/>
      <c r="K9" s="41"/>
      <c r="L9" s="510" t="s">
        <v>492</v>
      </c>
      <c r="M9" s="510"/>
      <c r="N9" s="510"/>
    </row>
    <row r="10" spans="1:23">
      <c r="A10" s="25" t="s">
        <v>3</v>
      </c>
      <c r="B10" s="17" t="s">
        <v>493</v>
      </c>
      <c r="C10" s="17"/>
      <c r="D10" s="17"/>
      <c r="E10" s="17"/>
      <c r="F10" s="17"/>
      <c r="G10" s="17"/>
      <c r="H10" s="17"/>
      <c r="I10" s="18"/>
      <c r="J10" s="30"/>
      <c r="K10"/>
      <c r="L10" s="510"/>
      <c r="M10" s="510"/>
    </row>
    <row r="11" spans="1:23" ht="15.75" thickBot="1">
      <c r="A11" s="9">
        <f>INDEX('Point Grid'!$C$8:$I$54,MATCH($A$1,'Point Grid'!$A$8:$A$54,0),MATCH(A10,'Point Grid'!$C$7:$I$7,0))</f>
        <v>1.5</v>
      </c>
      <c r="B11" s="17"/>
      <c r="C11" s="17"/>
      <c r="D11" s="17"/>
      <c r="E11" s="17"/>
      <c r="F11" s="17"/>
      <c r="G11" s="17"/>
      <c r="H11" s="17"/>
      <c r="I11" s="18"/>
      <c r="J11" s="30"/>
      <c r="K11" s="523" t="s">
        <v>3</v>
      </c>
      <c r="L11" s="153" t="s">
        <v>119</v>
      </c>
      <c r="M11" s="522" t="s">
        <v>507</v>
      </c>
      <c r="N11" s="522"/>
      <c r="O11" s="522"/>
      <c r="P11" s="522"/>
      <c r="Q11" s="522"/>
      <c r="R11" s="522"/>
      <c r="S11" s="522"/>
      <c r="T11" s="522"/>
      <c r="U11" s="522"/>
      <c r="V11" s="522"/>
      <c r="W11" s="522"/>
    </row>
    <row r="12" spans="1:23" ht="15.75" thickBot="1">
      <c r="A12" s="5"/>
      <c r="B12" s="192"/>
      <c r="C12" s="200"/>
      <c r="D12" s="193"/>
      <c r="E12" s="574" t="s">
        <v>494</v>
      </c>
      <c r="F12" s="575" t="s">
        <v>495</v>
      </c>
      <c r="G12" s="143"/>
      <c r="H12" s="578" t="s">
        <v>506</v>
      </c>
      <c r="I12" s="18"/>
      <c r="J12" s="30"/>
      <c r="K12"/>
      <c r="L12" s="522"/>
      <c r="M12" s="522"/>
      <c r="N12" s="522"/>
      <c r="O12" s="522"/>
      <c r="P12" s="522"/>
      <c r="Q12" s="522"/>
      <c r="R12" s="522"/>
      <c r="S12" s="522"/>
      <c r="T12" s="522"/>
      <c r="U12" s="522"/>
      <c r="V12" s="522"/>
      <c r="W12" s="522"/>
    </row>
    <row r="13" spans="1:23">
      <c r="A13" s="25"/>
      <c r="B13" s="144" t="s">
        <v>496</v>
      </c>
      <c r="C13" s="145"/>
      <c r="D13" s="146"/>
      <c r="E13" s="145">
        <v>11800</v>
      </c>
      <c r="F13" s="576" t="s">
        <v>297</v>
      </c>
      <c r="G13" s="143"/>
      <c r="H13" s="143" t="s">
        <v>497</v>
      </c>
      <c r="I13" s="18"/>
      <c r="J13" s="30"/>
      <c r="K13" s="41"/>
      <c r="L13" s="526"/>
      <c r="M13" s="522"/>
      <c r="N13" s="522"/>
      <c r="O13" s="525" t="s">
        <v>508</v>
      </c>
      <c r="P13" s="522"/>
      <c r="Q13" s="522"/>
      <c r="R13" s="522"/>
      <c r="S13" s="393" t="s">
        <v>509</v>
      </c>
      <c r="T13" s="522"/>
      <c r="U13" s="579" t="s">
        <v>138</v>
      </c>
      <c r="V13" s="580" t="s">
        <v>510</v>
      </c>
      <c r="W13" s="526"/>
    </row>
    <row r="14" spans="1:23">
      <c r="A14" s="25"/>
      <c r="B14" s="149" t="s">
        <v>498</v>
      </c>
      <c r="C14" s="150"/>
      <c r="D14" s="151"/>
      <c r="E14" s="150">
        <v>10150</v>
      </c>
      <c r="F14" s="577" t="s">
        <v>297</v>
      </c>
      <c r="G14" s="143"/>
      <c r="H14" s="150" t="s">
        <v>255</v>
      </c>
      <c r="I14" s="18"/>
      <c r="J14" s="30"/>
      <c r="K14"/>
      <c r="L14" s="526"/>
      <c r="M14" s="526"/>
      <c r="N14" s="526"/>
      <c r="O14" s="525" t="s">
        <v>511</v>
      </c>
      <c r="P14" s="526"/>
      <c r="Q14" s="526"/>
      <c r="R14" s="526"/>
      <c r="S14" s="525" t="s">
        <v>210</v>
      </c>
      <c r="T14" s="522"/>
      <c r="U14" s="525" t="s">
        <v>210</v>
      </c>
      <c r="V14" s="522"/>
      <c r="W14" s="526"/>
    </row>
    <row r="15" spans="1:23">
      <c r="A15" s="25"/>
      <c r="B15" s="144" t="s">
        <v>499</v>
      </c>
      <c r="C15" s="145"/>
      <c r="D15" s="146"/>
      <c r="E15" s="145">
        <v>1230</v>
      </c>
      <c r="F15" s="166">
        <v>0</v>
      </c>
      <c r="G15" s="143"/>
      <c r="H15" s="143" t="s">
        <v>500</v>
      </c>
      <c r="I15" s="18"/>
      <c r="J15" s="30"/>
      <c r="K15"/>
      <c r="L15" s="526"/>
      <c r="M15" s="522"/>
      <c r="N15" s="522"/>
      <c r="O15" s="43" t="s">
        <v>512</v>
      </c>
      <c r="P15" s="526"/>
      <c r="Q15" s="535" t="s">
        <v>495</v>
      </c>
      <c r="R15" s="526"/>
      <c r="S15" s="535" t="s">
        <v>102</v>
      </c>
      <c r="T15" s="522"/>
      <c r="U15" s="535" t="s">
        <v>102</v>
      </c>
      <c r="V15" s="522"/>
      <c r="W15" s="526"/>
    </row>
    <row r="16" spans="1:23">
      <c r="A16" s="25"/>
      <c r="B16" s="144" t="s">
        <v>501</v>
      </c>
      <c r="C16" s="145"/>
      <c r="D16" s="146"/>
      <c r="E16" s="145">
        <v>1090</v>
      </c>
      <c r="F16" s="166">
        <v>0.7</v>
      </c>
      <c r="G16" s="143"/>
      <c r="H16" s="143" t="s">
        <v>502</v>
      </c>
      <c r="I16" s="18"/>
      <c r="J16" s="30"/>
      <c r="K16" s="41"/>
      <c r="L16" s="526"/>
      <c r="M16" s="167" t="s">
        <v>513</v>
      </c>
      <c r="N16" s="581" t="s">
        <v>514</v>
      </c>
      <c r="O16" s="429">
        <f>E15/E13</f>
        <v>0.10423728813559321</v>
      </c>
      <c r="P16" s="582" t="s">
        <v>150</v>
      </c>
      <c r="Q16" s="253">
        <f>F15</f>
        <v>0</v>
      </c>
      <c r="R16" s="581" t="s">
        <v>514</v>
      </c>
      <c r="S16" s="583">
        <f>O16*Q16</f>
        <v>0</v>
      </c>
      <c r="T16" s="581" t="s">
        <v>514</v>
      </c>
      <c r="U16" s="583">
        <f>O16-S16</f>
        <v>0.10423728813559321</v>
      </c>
      <c r="V16" s="522"/>
      <c r="W16" s="526"/>
    </row>
    <row r="17" spans="1:23">
      <c r="A17" s="25"/>
      <c r="B17" s="144" t="s">
        <v>503</v>
      </c>
      <c r="C17" s="145"/>
      <c r="D17" s="146"/>
      <c r="E17" s="145">
        <v>260</v>
      </c>
      <c r="F17" s="166">
        <v>0.15</v>
      </c>
      <c r="G17" s="143"/>
      <c r="H17" s="143" t="s">
        <v>504</v>
      </c>
      <c r="I17" s="18"/>
      <c r="J17" s="30"/>
      <c r="K17"/>
      <c r="L17" s="526"/>
      <c r="M17" s="167" t="s">
        <v>515</v>
      </c>
      <c r="N17" s="581" t="s">
        <v>514</v>
      </c>
      <c r="O17" s="429">
        <f>E16/E13</f>
        <v>9.2372881355932204E-2</v>
      </c>
      <c r="P17" s="582" t="s">
        <v>150</v>
      </c>
      <c r="Q17" s="253">
        <f>F16</f>
        <v>0.7</v>
      </c>
      <c r="R17" s="581" t="s">
        <v>514</v>
      </c>
      <c r="S17" s="583">
        <f>O17*Q17</f>
        <v>6.4661016949152536E-2</v>
      </c>
      <c r="T17" s="581" t="s">
        <v>514</v>
      </c>
      <c r="U17" s="583">
        <f>O17-S17</f>
        <v>2.7711864406779668E-2</v>
      </c>
      <c r="V17" s="522"/>
      <c r="W17" s="526"/>
    </row>
    <row r="18" spans="1:23" ht="15" customHeight="1">
      <c r="A18" s="25"/>
      <c r="B18" s="144" t="s">
        <v>53</v>
      </c>
      <c r="C18" s="145"/>
      <c r="D18" s="146"/>
      <c r="E18" s="145">
        <v>730</v>
      </c>
      <c r="F18" s="166">
        <v>0.85</v>
      </c>
      <c r="G18" s="143"/>
      <c r="H18" s="150" t="s">
        <v>505</v>
      </c>
      <c r="I18" s="18"/>
      <c r="J18" s="30"/>
      <c r="K18"/>
      <c r="L18" s="526"/>
      <c r="M18" s="167" t="s">
        <v>516</v>
      </c>
      <c r="N18" s="581" t="s">
        <v>514</v>
      </c>
      <c r="O18" s="429">
        <f>E17/E13</f>
        <v>2.2033898305084745E-2</v>
      </c>
      <c r="P18" s="582" t="s">
        <v>150</v>
      </c>
      <c r="Q18" s="253">
        <f>F17</f>
        <v>0.15</v>
      </c>
      <c r="R18" s="581" t="s">
        <v>514</v>
      </c>
      <c r="S18" s="583">
        <f>O18*Q18</f>
        <v>3.3050847457627118E-3</v>
      </c>
      <c r="T18" s="581" t="s">
        <v>514</v>
      </c>
      <c r="U18" s="583">
        <f>O18-S18</f>
        <v>1.8728813559322034E-2</v>
      </c>
      <c r="V18" s="522"/>
      <c r="W18" s="526"/>
    </row>
    <row r="19" spans="1:23" ht="15" customHeight="1">
      <c r="A19" s="25"/>
      <c r="B19" s="192" t="s">
        <v>118</v>
      </c>
      <c r="C19" s="200"/>
      <c r="D19" s="193"/>
      <c r="E19" s="200">
        <v>1200</v>
      </c>
      <c r="F19" s="194">
        <v>0</v>
      </c>
      <c r="G19" s="143"/>
      <c r="H19" s="143" t="s">
        <v>118</v>
      </c>
      <c r="I19" s="18"/>
      <c r="J19" s="30"/>
      <c r="K19"/>
      <c r="L19" s="526"/>
      <c r="M19" s="167" t="s">
        <v>517</v>
      </c>
      <c r="N19" s="581" t="s">
        <v>514</v>
      </c>
      <c r="O19" s="429">
        <f>E18/E14</f>
        <v>7.1921182266009853E-2</v>
      </c>
      <c r="P19" s="582" t="s">
        <v>150</v>
      </c>
      <c r="Q19" s="253">
        <f>F18</f>
        <v>0.85</v>
      </c>
      <c r="R19" s="581" t="s">
        <v>514</v>
      </c>
      <c r="S19" s="583">
        <f>O19*Q19</f>
        <v>6.1133004926108375E-2</v>
      </c>
      <c r="T19" s="581" t="s">
        <v>514</v>
      </c>
      <c r="U19" s="583">
        <f>O19-S19</f>
        <v>1.0788177339901478E-2</v>
      </c>
      <c r="V19" s="522"/>
      <c r="W19" s="526"/>
    </row>
    <row r="20" spans="1:23" ht="15" customHeight="1">
      <c r="A20" s="25"/>
      <c r="B20" s="17"/>
      <c r="C20" s="27"/>
      <c r="D20" s="27"/>
      <c r="E20" s="27"/>
      <c r="F20" s="27"/>
      <c r="G20" s="27"/>
      <c r="H20" s="27"/>
      <c r="I20" s="18"/>
      <c r="J20" s="30"/>
      <c r="K20"/>
      <c r="L20" s="526"/>
      <c r="M20" s="526"/>
      <c r="N20" s="526"/>
      <c r="O20" s="526"/>
      <c r="P20" s="526"/>
      <c r="Q20" s="526"/>
      <c r="R20" s="526"/>
      <c r="S20" s="584">
        <f>SUM(S16:S19)</f>
        <v>0.12909910662102364</v>
      </c>
      <c r="T20" s="522"/>
      <c r="U20" s="585">
        <f>SUM(U16:U19)</f>
        <v>0.1614661434415964</v>
      </c>
      <c r="V20" s="522"/>
      <c r="W20" s="526"/>
    </row>
    <row r="21" spans="1:23" ht="15" customHeight="1">
      <c r="A21" s="25"/>
      <c r="B21" s="17"/>
      <c r="C21" s="27"/>
      <c r="D21" s="27"/>
      <c r="E21" s="27"/>
      <c r="F21" s="27"/>
      <c r="G21" s="27"/>
      <c r="H21" s="27"/>
      <c r="I21" s="18"/>
      <c r="J21" s="30"/>
      <c r="K21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</row>
    <row r="22" spans="1:23" ht="15" customHeight="1">
      <c r="A22" s="25"/>
      <c r="B22" s="17"/>
      <c r="C22" s="27"/>
      <c r="D22" s="27"/>
      <c r="E22" s="27"/>
      <c r="F22" s="27"/>
      <c r="G22" s="27"/>
      <c r="H22" s="27"/>
      <c r="I22" s="18"/>
      <c r="J22" s="30"/>
      <c r="K22"/>
      <c r="L22" s="157" t="s">
        <v>120</v>
      </c>
      <c r="M22" s="526" t="s">
        <v>518</v>
      </c>
      <c r="N22" s="526"/>
      <c r="O22" s="526"/>
      <c r="P22" s="526"/>
      <c r="Q22" s="526"/>
      <c r="R22" s="526"/>
      <c r="S22" s="526"/>
      <c r="T22" s="526"/>
      <c r="U22" s="526"/>
      <c r="V22" s="526"/>
      <c r="W22" s="526"/>
    </row>
    <row r="23" spans="1:23" ht="15" customHeight="1">
      <c r="A23" s="25"/>
      <c r="B23" s="17"/>
      <c r="C23" s="27"/>
      <c r="D23" s="27"/>
      <c r="E23" s="27"/>
      <c r="F23" s="27"/>
      <c r="G23" s="27"/>
      <c r="H23" s="27"/>
      <c r="I23" s="18"/>
      <c r="J23" s="30"/>
      <c r="K23"/>
      <c r="L23" s="526"/>
      <c r="M23" s="526"/>
      <c r="N23" s="526"/>
      <c r="O23" s="526"/>
      <c r="P23" s="526"/>
      <c r="Q23" s="526"/>
      <c r="R23" s="526"/>
      <c r="S23" s="526"/>
      <c r="T23" s="526"/>
      <c r="U23" s="526"/>
      <c r="V23" s="526"/>
      <c r="W23" s="526"/>
    </row>
    <row r="24" spans="1:23" ht="15" customHeight="1">
      <c r="A24" s="25"/>
      <c r="B24" s="17"/>
      <c r="C24" s="27"/>
      <c r="D24" s="27"/>
      <c r="E24" s="27"/>
      <c r="F24" s="27"/>
      <c r="G24" s="27"/>
      <c r="H24" s="27"/>
      <c r="I24" s="18"/>
      <c r="J24" s="30"/>
      <c r="K24"/>
      <c r="L24" s="526"/>
      <c r="M24" s="525" t="s">
        <v>519</v>
      </c>
      <c r="N24" s="525" t="s">
        <v>33</v>
      </c>
      <c r="O24" s="525" t="s">
        <v>509</v>
      </c>
      <c r="P24" s="525" t="s">
        <v>34</v>
      </c>
      <c r="Q24" s="525" t="s">
        <v>138</v>
      </c>
      <c r="R24" s="526"/>
      <c r="S24" s="526"/>
      <c r="T24" s="526"/>
      <c r="U24" s="526"/>
      <c r="V24" s="526"/>
      <c r="W24" s="526"/>
    </row>
    <row r="25" spans="1:23" ht="15" customHeight="1">
      <c r="A25" s="25"/>
      <c r="B25" s="17"/>
      <c r="C25" s="27"/>
      <c r="D25" s="27"/>
      <c r="E25" s="27"/>
      <c r="F25" s="27"/>
      <c r="G25" s="27"/>
      <c r="H25" s="27"/>
      <c r="I25" s="18"/>
      <c r="J25" s="30"/>
      <c r="K25"/>
      <c r="L25" s="526"/>
      <c r="M25" s="526"/>
      <c r="N25" s="525" t="s">
        <v>33</v>
      </c>
      <c r="O25" s="586">
        <f>S20</f>
        <v>0.12909910662102364</v>
      </c>
      <c r="P25" s="429" t="s">
        <v>34</v>
      </c>
      <c r="Q25" s="587">
        <f>U20</f>
        <v>0.1614661434415964</v>
      </c>
      <c r="R25" s="526"/>
      <c r="S25" s="526"/>
      <c r="T25" s="526"/>
      <c r="U25" s="526"/>
      <c r="V25" s="526"/>
      <c r="W25" s="526"/>
    </row>
    <row r="26" spans="1:23" ht="15" customHeight="1">
      <c r="A26" s="25"/>
      <c r="B26" s="17"/>
      <c r="C26" s="27"/>
      <c r="D26" s="27"/>
      <c r="E26" s="27"/>
      <c r="F26" s="27"/>
      <c r="G26" s="27"/>
      <c r="H26" s="27"/>
      <c r="I26" s="18"/>
      <c r="J26" s="30"/>
      <c r="K26"/>
      <c r="L26" s="526"/>
      <c r="M26" s="526"/>
      <c r="N26" s="525" t="s">
        <v>33</v>
      </c>
      <c r="O26" s="588">
        <f>O25+Q25</f>
        <v>0.29056525006262002</v>
      </c>
      <c r="P26" s="526"/>
      <c r="Q26" s="526"/>
      <c r="R26" s="526"/>
      <c r="S26" s="526"/>
      <c r="T26" s="526"/>
      <c r="U26" s="526"/>
      <c r="V26" s="526"/>
      <c r="W26" s="526"/>
    </row>
    <row r="27" spans="1:23" ht="15" customHeight="1">
      <c r="A27" s="25"/>
      <c r="B27" s="17"/>
      <c r="C27" s="27"/>
      <c r="D27" s="27"/>
      <c r="E27" s="27"/>
      <c r="F27" s="27"/>
      <c r="G27" s="27"/>
      <c r="H27" s="27"/>
      <c r="I27" s="18"/>
      <c r="J27" s="30"/>
      <c r="K27"/>
      <c r="L27" s="526"/>
      <c r="M27" s="526"/>
      <c r="N27" s="526"/>
      <c r="O27" s="161" t="s">
        <v>122</v>
      </c>
      <c r="P27" s="526"/>
      <c r="Q27" s="526"/>
      <c r="R27" s="526"/>
      <c r="S27" s="526"/>
      <c r="T27" s="526"/>
      <c r="U27" s="526"/>
      <c r="V27" s="526"/>
      <c r="W27" s="526"/>
    </row>
    <row r="28" spans="1:23" ht="15" customHeight="1">
      <c r="A28" s="25"/>
      <c r="B28" s="17"/>
      <c r="C28" s="27"/>
      <c r="D28" s="27"/>
      <c r="E28" s="27"/>
      <c r="F28" s="27"/>
      <c r="G28" s="27"/>
      <c r="H28" s="27"/>
      <c r="I28" s="18"/>
      <c r="J28" s="30"/>
      <c r="K28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</row>
    <row r="29" spans="1:23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 s="526"/>
      <c r="M29" s="178" t="s">
        <v>520</v>
      </c>
      <c r="N29" s="526"/>
      <c r="O29" s="526"/>
      <c r="P29" s="526"/>
      <c r="Q29" s="526"/>
      <c r="R29" s="526"/>
      <c r="S29" s="526"/>
      <c r="T29" s="526"/>
      <c r="U29" s="526"/>
      <c r="V29" s="526"/>
      <c r="W29" s="526"/>
    </row>
    <row r="30" spans="1:23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3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3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1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1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N125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3" width="11.140625" style="21" customWidth="1"/>
    <col min="14" max="20" width="9.140625" style="21"/>
    <col min="21" max="21" width="10.7109375" style="21" customWidth="1"/>
    <col min="22" max="22" width="9.7109375" style="21" customWidth="1"/>
    <col min="23" max="16384" width="9.140625" style="21"/>
  </cols>
  <sheetData>
    <row r="1" spans="1:40">
      <c r="A1" s="7">
        <v>11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1028" t="s">
        <v>24</v>
      </c>
      <c r="M1" s="1029"/>
      <c r="O1" s="1" t="s">
        <v>32</v>
      </c>
      <c r="P1" s="46" t="str">
        <f>VLOOKUP(A1,'Point Grid'!$L$8:$T$54,9,FALSE)</f>
        <v>Pricing - Chap 8: Indication</v>
      </c>
      <c r="Q1"/>
      <c r="R1"/>
      <c r="S1"/>
      <c r="T1"/>
      <c r="U1"/>
      <c r="V1"/>
      <c r="W1"/>
      <c r="X1"/>
      <c r="Y1"/>
    </row>
    <row r="2" spans="1:40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40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153" t="s">
        <v>1033</v>
      </c>
      <c r="P3" s="522" t="s">
        <v>1034</v>
      </c>
      <c r="Q3" s="522"/>
      <c r="R3" s="522"/>
      <c r="S3" s="522"/>
      <c r="T3" s="971"/>
      <c r="U3" s="972">
        <f>I6</f>
        <v>2025</v>
      </c>
      <c r="V3" s="161" t="s">
        <v>1035</v>
      </c>
      <c r="W3" s="522"/>
      <c r="X3" s="522"/>
      <c r="Y3" s="522"/>
      <c r="Z3" s="522"/>
      <c r="AA3" s="522"/>
      <c r="AB3" s="525" t="s">
        <v>1036</v>
      </c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</row>
    <row r="4" spans="1:40">
      <c r="A4" s="9">
        <f>INDEX('Point Grid'!B:B,MATCH(A1,'Point Grid'!A:A,0))</f>
        <v>3.5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0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5" t="s">
        <v>1036</v>
      </c>
      <c r="AC4" s="153" t="s">
        <v>1037</v>
      </c>
      <c r="AD4" s="1" t="s">
        <v>1038</v>
      </c>
      <c r="AE4" s="522"/>
      <c r="AF4" s="522"/>
      <c r="AG4" s="522"/>
      <c r="AH4" s="522"/>
      <c r="AI4" s="522"/>
      <c r="AJ4" s="522"/>
      <c r="AK4" s="522"/>
      <c r="AL4" s="973" t="s">
        <v>126</v>
      </c>
      <c r="AM4" s="973" t="s">
        <v>127</v>
      </c>
      <c r="AN4" s="973" t="s">
        <v>128</v>
      </c>
    </row>
    <row r="5" spans="1:40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0"/>
      <c r="O5" s="526"/>
      <c r="P5" s="526" t="s">
        <v>1039</v>
      </c>
      <c r="Q5" s="525" t="s">
        <v>33</v>
      </c>
      <c r="R5" s="526" t="str">
        <f>"(mid-point of AY " &amp; T3 &amp; " historical period)"</f>
        <v>(mid-point of AY  historical period)</v>
      </c>
      <c r="S5" s="526"/>
      <c r="T5" s="526"/>
      <c r="U5" s="526"/>
      <c r="V5" s="526"/>
      <c r="W5" s="525" t="s">
        <v>33</v>
      </c>
      <c r="X5" s="972">
        <f>U3</f>
        <v>2025</v>
      </c>
      <c r="Y5" s="156" t="s">
        <v>129</v>
      </c>
      <c r="Z5" s="156" t="s">
        <v>1040</v>
      </c>
      <c r="AA5" s="526"/>
      <c r="AB5" s="525" t="s">
        <v>1036</v>
      </c>
      <c r="AC5" s="526"/>
      <c r="AD5" s="525" t="s">
        <v>1041</v>
      </c>
      <c r="AE5" s="525" t="s">
        <v>33</v>
      </c>
      <c r="AF5" s="526" t="s">
        <v>1042</v>
      </c>
      <c r="AG5" s="526"/>
      <c r="AH5" s="526"/>
      <c r="AI5" s="526"/>
      <c r="AJ5" s="526"/>
      <c r="AK5" s="525" t="s">
        <v>33</v>
      </c>
      <c r="AL5" s="974">
        <f>X5+INT((Y5-0.5*D36)/12)</f>
        <v>2025</v>
      </c>
      <c r="AM5" s="525" t="str">
        <f>RIGHT("0"&amp;MOD(Y5-0.5*D36,12),2)</f>
        <v>04</v>
      </c>
      <c r="AN5" s="525" t="str">
        <f>Z5</f>
        <v>01</v>
      </c>
    </row>
    <row r="6" spans="1:40">
      <c r="A6" s="25" t="s">
        <v>2</v>
      </c>
      <c r="B6" s="143" t="s">
        <v>1012</v>
      </c>
      <c r="C6" s="143"/>
      <c r="D6" s="143"/>
      <c r="E6" s="143"/>
      <c r="F6" s="143"/>
      <c r="G6" s="970">
        <v>2024</v>
      </c>
      <c r="H6" s="218" t="s">
        <v>1013</v>
      </c>
      <c r="I6" s="970">
        <f>G6+1</f>
        <v>2025</v>
      </c>
      <c r="J6" s="17"/>
      <c r="K6" s="17"/>
      <c r="L6" s="17"/>
      <c r="M6" s="18"/>
      <c r="N6" s="30"/>
      <c r="O6" s="526"/>
      <c r="P6" s="526" t="s">
        <v>1043</v>
      </c>
      <c r="Q6" s="525" t="s">
        <v>33</v>
      </c>
      <c r="R6" s="526" t="s">
        <v>1044</v>
      </c>
      <c r="S6" s="526"/>
      <c r="T6" s="526"/>
      <c r="U6" s="526"/>
      <c r="V6" s="526"/>
      <c r="W6" s="525" t="s">
        <v>33</v>
      </c>
      <c r="X6" s="974">
        <f>AL6+INT((AM6+0.5*D36)/12)</f>
        <v>2027</v>
      </c>
      <c r="Y6" s="156" t="str">
        <f>RIGHT("0"&amp;MOD(AM6+0.5*D36,12),2)</f>
        <v>07</v>
      </c>
      <c r="Z6" s="156" t="str">
        <f>AN6</f>
        <v>01</v>
      </c>
      <c r="AA6" s="526"/>
      <c r="AB6" s="525" t="s">
        <v>1036</v>
      </c>
      <c r="AC6" s="526"/>
      <c r="AD6" s="525" t="s">
        <v>1045</v>
      </c>
      <c r="AE6" s="525" t="s">
        <v>33</v>
      </c>
      <c r="AF6" s="526" t="s">
        <v>1046</v>
      </c>
      <c r="AG6" s="526"/>
      <c r="AH6" s="526"/>
      <c r="AI6" s="526"/>
      <c r="AJ6" s="526"/>
      <c r="AK6" s="525" t="s">
        <v>33</v>
      </c>
      <c r="AL6" s="974">
        <f>D34+INT((E34+D35/2)/12)</f>
        <v>2027</v>
      </c>
      <c r="AM6" s="525" t="str">
        <f>RIGHT("0"&amp;MOD(E34+D35/2,12),2)</f>
        <v>04</v>
      </c>
      <c r="AN6" s="525" t="str">
        <f>RIGHT("0"&amp;F34,2)</f>
        <v>01</v>
      </c>
    </row>
    <row r="7" spans="1:40" ht="15.75" thickBot="1">
      <c r="A7" s="9">
        <f>INDEX('Point Grid'!$C$8:$I$54,MATCH($A$1,'Point Grid'!$A$8:$A$54,0),MATCH(A6,'Point Grid'!$C$7:$I$7,0))</f>
        <v>1.5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0"/>
      <c r="O7" s="526"/>
      <c r="P7" s="526"/>
      <c r="Q7" s="526"/>
      <c r="R7" s="526"/>
      <c r="S7" s="526"/>
      <c r="T7" s="526"/>
      <c r="U7" s="526"/>
      <c r="V7" s="526"/>
      <c r="W7" s="526"/>
      <c r="X7" s="526"/>
      <c r="Y7" s="526"/>
      <c r="Z7" s="526"/>
      <c r="AA7" s="526"/>
      <c r="AB7" s="525" t="s">
        <v>1036</v>
      </c>
      <c r="AC7" s="522"/>
      <c r="AD7" s="522"/>
      <c r="AE7" s="522"/>
      <c r="AF7" s="522"/>
      <c r="AG7" s="522"/>
      <c r="AH7" s="522"/>
      <c r="AI7" s="522"/>
      <c r="AJ7" s="522"/>
      <c r="AK7" s="522"/>
      <c r="AL7" s="522"/>
      <c r="AM7" s="522"/>
      <c r="AN7" s="522"/>
    </row>
    <row r="8" spans="1:40" ht="15.75" thickBot="1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30"/>
      <c r="O8" s="526"/>
      <c r="P8" s="167" t="s">
        <v>1047</v>
      </c>
      <c r="Q8" s="525" t="s">
        <v>33</v>
      </c>
      <c r="R8" s="525" t="s">
        <v>1043</v>
      </c>
      <c r="S8" s="156" t="s">
        <v>123</v>
      </c>
      <c r="T8" s="525" t="s">
        <v>1039</v>
      </c>
      <c r="U8" s="526"/>
      <c r="V8" s="123"/>
      <c r="W8" s="526"/>
      <c r="X8" s="526"/>
      <c r="Y8" s="526"/>
      <c r="Z8" s="526"/>
      <c r="AA8" s="526"/>
      <c r="AB8" s="525" t="s">
        <v>1036</v>
      </c>
      <c r="AC8" s="89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</row>
    <row r="9" spans="1:40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30"/>
      <c r="O9" s="178"/>
      <c r="P9" s="178"/>
      <c r="Q9" s="525" t="s">
        <v>33</v>
      </c>
      <c r="R9" s="153">
        <f>ROUND(((X6*12)+Y6-(X5*12+Y5))/12+IF(Z5=Z6,0,1/24),3)</f>
        <v>2</v>
      </c>
      <c r="S9" s="975" t="s">
        <v>1048</v>
      </c>
      <c r="T9" s="201"/>
      <c r="U9" s="526"/>
      <c r="V9" s="526"/>
      <c r="W9" s="526"/>
      <c r="X9" s="526"/>
      <c r="Y9" s="526"/>
      <c r="Z9" s="526"/>
      <c r="AA9" s="526"/>
      <c r="AB9" s="525" t="s">
        <v>1036</v>
      </c>
      <c r="AC9" s="89"/>
      <c r="AD9" s="522"/>
      <c r="AE9" s="522"/>
      <c r="AF9" s="522"/>
      <c r="AG9" s="522"/>
      <c r="AH9" s="522"/>
      <c r="AI9" s="522"/>
      <c r="AJ9" s="522"/>
      <c r="AK9" s="522"/>
      <c r="AL9" s="522"/>
      <c r="AM9" s="522"/>
      <c r="AN9" s="522"/>
    </row>
    <row r="10" spans="1:40" ht="15" customHeight="1">
      <c r="A10" s="25" t="s">
        <v>3</v>
      </c>
      <c r="B10" s="143" t="s">
        <v>1014</v>
      </c>
      <c r="C10" s="143"/>
      <c r="D10" s="143"/>
      <c r="E10" s="143"/>
      <c r="F10" s="143"/>
      <c r="G10" s="970">
        <v>2024</v>
      </c>
      <c r="H10" s="218" t="s">
        <v>1013</v>
      </c>
      <c r="I10" s="970">
        <f>G10+1</f>
        <v>2025</v>
      </c>
      <c r="J10" s="17"/>
      <c r="K10" s="17"/>
      <c r="L10" s="17"/>
      <c r="M10" s="18"/>
      <c r="N10" s="30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6"/>
      <c r="AA10" s="526"/>
      <c r="AB10" s="525" t="s">
        <v>1036</v>
      </c>
      <c r="AC10" s="522"/>
      <c r="AD10" s="522"/>
      <c r="AE10" s="522"/>
      <c r="AF10" s="522"/>
      <c r="AG10" s="522"/>
      <c r="AH10" s="522"/>
      <c r="AI10" s="522"/>
      <c r="AJ10" s="522"/>
      <c r="AK10" s="522"/>
      <c r="AL10" s="522"/>
      <c r="AM10" s="522"/>
      <c r="AN10" s="522"/>
    </row>
    <row r="11" spans="1:40" ht="15" customHeight="1" thickBot="1">
      <c r="A11" s="9">
        <f>INDEX('Point Grid'!$C$8:$I$54,MATCH($A$1,'Point Grid'!$A$8:$A$54,0),MATCH(A10,'Point Grid'!$C$7:$I$7,0))</f>
        <v>1.5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30"/>
      <c r="O11" s="153" t="s">
        <v>1049</v>
      </c>
      <c r="P11" s="526" t="s">
        <v>1050</v>
      </c>
      <c r="Q11" s="526"/>
      <c r="R11" s="526"/>
      <c r="S11" s="526"/>
      <c r="T11" s="526"/>
      <c r="U11" s="526"/>
      <c r="V11" s="526"/>
      <c r="W11" s="526"/>
      <c r="X11" s="526"/>
      <c r="Y11" s="526"/>
      <c r="Z11" s="526"/>
      <c r="AA11" s="526"/>
      <c r="AB11" s="525" t="s">
        <v>1036</v>
      </c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522"/>
    </row>
    <row r="12" spans="1:40" ht="15" customHeight="1" thickBot="1">
      <c r="A12" s="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30"/>
      <c r="O12" s="526"/>
      <c r="P12" s="526"/>
      <c r="Q12" s="526"/>
      <c r="R12" s="526"/>
      <c r="S12" s="526"/>
      <c r="T12" s="526"/>
      <c r="U12" s="526"/>
      <c r="V12" s="526"/>
      <c r="W12" s="526"/>
      <c r="X12" s="526"/>
      <c r="Y12" s="526"/>
      <c r="Z12" s="526"/>
      <c r="AA12" s="526"/>
      <c r="AB12" s="525" t="s">
        <v>1036</v>
      </c>
      <c r="AC12" s="89"/>
      <c r="AD12" s="522"/>
      <c r="AE12" s="522"/>
      <c r="AF12" s="522"/>
      <c r="AG12" s="522"/>
      <c r="AH12" s="522"/>
      <c r="AI12" s="522"/>
      <c r="AJ12" s="522"/>
      <c r="AK12" s="522"/>
      <c r="AL12" s="522"/>
      <c r="AM12" s="522"/>
      <c r="AN12" s="522"/>
    </row>
    <row r="13" spans="1:40" ht="15" customHeight="1">
      <c r="A13" s="2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30"/>
      <c r="O13" s="526"/>
      <c r="P13" s="259" t="str">
        <f>"CY " &amp; B22-1</f>
        <v>CY 2023</v>
      </c>
      <c r="Q13" s="3"/>
      <c r="R13" s="3"/>
      <c r="S13" s="3"/>
      <c r="T13" s="259" t="str">
        <f>"CY " &amp; B22</f>
        <v>CY 2024</v>
      </c>
      <c r="U13" s="3"/>
      <c r="V13" s="3"/>
      <c r="W13" s="3"/>
      <c r="X13" s="259" t="str">
        <f>"CY " &amp; B22+1</f>
        <v>CY 2025</v>
      </c>
      <c r="Y13" s="3"/>
      <c r="Z13" s="3"/>
      <c r="AA13" s="3"/>
      <c r="AB13" s="525" t="s">
        <v>1036</v>
      </c>
      <c r="AC13" s="89"/>
      <c r="AD13" s="522"/>
      <c r="AE13" s="522"/>
      <c r="AF13" s="522"/>
      <c r="AG13" s="522"/>
      <c r="AH13" s="522"/>
      <c r="AI13" s="522"/>
      <c r="AJ13" s="522"/>
      <c r="AK13" s="522"/>
      <c r="AL13" s="522"/>
      <c r="AM13" s="522"/>
      <c r="AN13" s="522"/>
    </row>
    <row r="14" spans="1:40" ht="15" customHeight="1">
      <c r="A14" s="25" t="s">
        <v>4</v>
      </c>
      <c r="B14" s="143" t="s">
        <v>1015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30"/>
      <c r="O14" s="526"/>
      <c r="P14" s="488"/>
      <c r="Q14" s="130"/>
      <c r="R14" s="130"/>
      <c r="S14" s="131"/>
      <c r="T14" s="488"/>
      <c r="U14" s="130"/>
      <c r="V14" s="130"/>
      <c r="W14" s="131"/>
      <c r="X14" s="130"/>
      <c r="Y14" s="130"/>
      <c r="Z14" s="130"/>
      <c r="AA14" s="131"/>
      <c r="AB14" s="525" t="s">
        <v>1036</v>
      </c>
      <c r="AC14" s="89"/>
      <c r="AD14" s="522"/>
      <c r="AE14" s="522"/>
      <c r="AF14" s="522"/>
      <c r="AG14" s="522"/>
      <c r="AH14" s="522"/>
      <c r="AI14" s="522"/>
      <c r="AJ14" s="522"/>
      <c r="AK14" s="522"/>
      <c r="AL14" s="522"/>
      <c r="AM14" s="522"/>
      <c r="AN14" s="522"/>
    </row>
    <row r="15" spans="1:40" ht="15" customHeight="1" thickBot="1">
      <c r="A15" s="9">
        <f>INDEX('Point Grid'!$C$8:$I$54,MATCH($A$1,'Point Grid'!$A$8:$A$54,0),MATCH(A14,'Point Grid'!$C$7:$I$7,0))</f>
        <v>0.5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30"/>
      <c r="O15" s="526"/>
      <c r="P15" s="132"/>
      <c r="Q15" s="133"/>
      <c r="R15" s="133"/>
      <c r="S15" s="530"/>
      <c r="T15" s="132"/>
      <c r="U15" s="133"/>
      <c r="V15" s="133"/>
      <c r="W15" s="530"/>
      <c r="X15" s="133"/>
      <c r="Y15" s="133"/>
      <c r="Z15" s="133"/>
      <c r="AA15" s="530"/>
      <c r="AB15" s="525" t="s">
        <v>1036</v>
      </c>
      <c r="AC15" s="89"/>
      <c r="AD15" s="522"/>
      <c r="AE15" s="522"/>
      <c r="AF15" s="522"/>
      <c r="AG15" s="522"/>
      <c r="AH15" s="522"/>
      <c r="AI15" s="522"/>
      <c r="AJ15" s="522"/>
      <c r="AK15" s="522"/>
      <c r="AL15" s="522"/>
      <c r="AM15" s="522"/>
      <c r="AN15" s="522"/>
    </row>
    <row r="16" spans="1:40" ht="15" customHeight="1" thickBot="1">
      <c r="A16" s="5"/>
      <c r="B16" s="1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18"/>
      <c r="N16" s="30"/>
      <c r="O16" s="526"/>
      <c r="P16" s="132"/>
      <c r="Q16" s="133"/>
      <c r="R16" s="133"/>
      <c r="S16" s="530"/>
      <c r="T16" s="132"/>
      <c r="U16" s="133"/>
      <c r="V16" s="133"/>
      <c r="W16" s="530"/>
      <c r="X16" s="133"/>
      <c r="Y16" s="133"/>
      <c r="Z16" s="133"/>
      <c r="AA16" s="530"/>
      <c r="AB16" s="525" t="s">
        <v>1036</v>
      </c>
      <c r="AC16" s="89"/>
      <c r="AD16" s="522"/>
      <c r="AE16" s="522"/>
      <c r="AF16" s="522"/>
      <c r="AG16" s="522"/>
      <c r="AH16" s="522"/>
      <c r="AI16" s="522"/>
      <c r="AJ16" s="522"/>
      <c r="AK16" s="522"/>
      <c r="AL16" s="522"/>
      <c r="AM16" s="522"/>
      <c r="AN16" s="522"/>
    </row>
    <row r="17" spans="1:40" ht="15" customHeight="1">
      <c r="A17" s="25"/>
      <c r="B17" s="1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18"/>
      <c r="N17" s="30"/>
      <c r="O17" s="526"/>
      <c r="P17" s="132"/>
      <c r="Q17" s="133"/>
      <c r="R17" s="133"/>
      <c r="S17" s="530"/>
      <c r="T17" s="132"/>
      <c r="U17" s="133"/>
      <c r="V17" s="133"/>
      <c r="W17" s="530"/>
      <c r="X17" s="133"/>
      <c r="Y17" s="133"/>
      <c r="Z17" s="133"/>
      <c r="AA17" s="530"/>
      <c r="AB17" s="525" t="s">
        <v>1036</v>
      </c>
      <c r="AC17" s="89"/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522"/>
    </row>
    <row r="18" spans="1:40" ht="15" customHeight="1">
      <c r="A18" s="25"/>
      <c r="B18" s="516" t="s">
        <v>1016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8"/>
      <c r="O18" s="526"/>
      <c r="P18" s="132"/>
      <c r="Q18" s="133"/>
      <c r="R18" s="133"/>
      <c r="S18" s="530"/>
      <c r="T18" s="132"/>
      <c r="U18" s="133"/>
      <c r="V18" s="133"/>
      <c r="W18" s="530"/>
      <c r="X18" s="133"/>
      <c r="Y18" s="133"/>
      <c r="Z18" s="133"/>
      <c r="AA18" s="530"/>
      <c r="AB18" s="525" t="s">
        <v>1036</v>
      </c>
      <c r="AC18" s="89"/>
      <c r="AD18" s="522"/>
      <c r="AE18" s="522"/>
      <c r="AF18" s="522"/>
      <c r="AG18" s="522"/>
      <c r="AH18" s="522"/>
      <c r="AI18" s="522"/>
      <c r="AJ18" s="522"/>
      <c r="AK18" s="522"/>
      <c r="AL18" s="522"/>
      <c r="AM18" s="522"/>
      <c r="AN18" s="522"/>
    </row>
    <row r="19" spans="1:40" ht="15" customHeight="1">
      <c r="A19" s="25"/>
      <c r="B19" s="1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18"/>
      <c r="O19" s="526"/>
      <c r="P19" s="132"/>
      <c r="Q19" s="133"/>
      <c r="R19" s="133"/>
      <c r="S19" s="530"/>
      <c r="T19" s="132"/>
      <c r="U19" s="133"/>
      <c r="V19" s="133"/>
      <c r="W19" s="530"/>
      <c r="X19" s="133"/>
      <c r="Y19" s="133"/>
      <c r="Z19" s="133"/>
      <c r="AA19" s="530"/>
      <c r="AB19" s="525" t="s">
        <v>1036</v>
      </c>
      <c r="AC19" s="89"/>
      <c r="AD19" s="522"/>
      <c r="AE19" s="522"/>
      <c r="AF19" s="522"/>
      <c r="AG19" s="522"/>
      <c r="AH19" s="522"/>
      <c r="AI19" s="522"/>
      <c r="AJ19" s="522"/>
      <c r="AK19" s="522"/>
      <c r="AL19" s="522"/>
      <c r="AM19" s="522"/>
      <c r="AN19" s="522"/>
    </row>
    <row r="20" spans="1:40" ht="15" customHeight="1">
      <c r="A20" s="25"/>
      <c r="B20" s="1010" t="s">
        <v>498</v>
      </c>
      <c r="C20" s="180"/>
      <c r="D20" s="143"/>
      <c r="E20" s="179" t="s">
        <v>1017</v>
      </c>
      <c r="F20" s="180"/>
      <c r="G20" s="180"/>
      <c r="H20" s="143"/>
      <c r="I20" s="195" t="s">
        <v>1018</v>
      </c>
      <c r="J20" s="180"/>
      <c r="K20" s="180"/>
      <c r="L20" s="180"/>
      <c r="M20" s="18"/>
      <c r="O20" s="526"/>
      <c r="P20" s="132"/>
      <c r="Q20" s="133"/>
      <c r="R20" s="133"/>
      <c r="S20" s="530"/>
      <c r="T20" s="132"/>
      <c r="U20" s="133"/>
      <c r="V20" s="133"/>
      <c r="W20" s="530"/>
      <c r="X20" s="133"/>
      <c r="Y20" s="133"/>
      <c r="Z20" s="133"/>
      <c r="AA20" s="530"/>
      <c r="AB20" s="525" t="s">
        <v>1036</v>
      </c>
      <c r="AC20" s="89"/>
      <c r="AD20" s="522"/>
      <c r="AE20" s="522"/>
      <c r="AF20" s="522"/>
      <c r="AG20" s="522"/>
      <c r="AH20" s="522"/>
      <c r="AI20" s="522"/>
      <c r="AJ20" s="522"/>
      <c r="AK20" s="522"/>
      <c r="AL20" s="522"/>
      <c r="AM20" s="522"/>
      <c r="AN20" s="522"/>
    </row>
    <row r="21" spans="1:40" ht="15" customHeight="1">
      <c r="A21" s="25"/>
      <c r="B21" s="226" t="s">
        <v>219</v>
      </c>
      <c r="C21" s="575" t="s">
        <v>255</v>
      </c>
      <c r="D21" s="143"/>
      <c r="E21" s="140" t="s">
        <v>1019</v>
      </c>
      <c r="F21" s="142"/>
      <c r="G21" s="197">
        <v>-4.0000000000000001E-3</v>
      </c>
      <c r="H21" s="143"/>
      <c r="I21" s="140" t="s">
        <v>1020</v>
      </c>
      <c r="J21" s="141"/>
      <c r="K21" s="142"/>
      <c r="L21" s="197">
        <v>3.6999999999999998E-2</v>
      </c>
      <c r="M21" s="18"/>
      <c r="O21" s="526"/>
      <c r="P21" s="132"/>
      <c r="Q21" s="133"/>
      <c r="R21" s="133"/>
      <c r="S21" s="530"/>
      <c r="T21" s="132"/>
      <c r="U21" s="133"/>
      <c r="V21" s="133"/>
      <c r="W21" s="530"/>
      <c r="X21" s="133"/>
      <c r="Y21" s="133"/>
      <c r="Z21" s="133"/>
      <c r="AA21" s="530"/>
      <c r="AB21" s="525" t="s">
        <v>1036</v>
      </c>
      <c r="AC21" s="89"/>
      <c r="AD21" s="522"/>
      <c r="AE21" s="522"/>
      <c r="AF21" s="522"/>
      <c r="AG21" s="522"/>
      <c r="AH21" s="522"/>
      <c r="AI21" s="522"/>
      <c r="AJ21" s="522"/>
      <c r="AK21" s="522"/>
      <c r="AL21" s="522"/>
      <c r="AM21" s="522"/>
      <c r="AN21" s="522"/>
    </row>
    <row r="22" spans="1:40" ht="15" customHeight="1">
      <c r="A22" s="25"/>
      <c r="B22" s="189">
        <v>2024</v>
      </c>
      <c r="C22" s="223">
        <v>129554</v>
      </c>
      <c r="D22" s="143"/>
      <c r="E22" s="935" t="s">
        <v>1021</v>
      </c>
      <c r="F22" s="164"/>
      <c r="G22" s="198">
        <v>-2E-3</v>
      </c>
      <c r="H22" s="143"/>
      <c r="I22" s="144" t="s">
        <v>1022</v>
      </c>
      <c r="J22" s="145"/>
      <c r="K22" s="146"/>
      <c r="L22" s="916">
        <v>0.20399999999999999</v>
      </c>
      <c r="M22" s="18"/>
      <c r="O22" s="526"/>
      <c r="P22" s="132"/>
      <c r="Q22" s="133"/>
      <c r="R22" s="133"/>
      <c r="S22" s="530"/>
      <c r="T22" s="132"/>
      <c r="U22" s="133"/>
      <c r="V22" s="133"/>
      <c r="W22" s="530"/>
      <c r="X22" s="133"/>
      <c r="Y22" s="133"/>
      <c r="Z22" s="133"/>
      <c r="AA22" s="530"/>
      <c r="AB22" s="525" t="s">
        <v>1036</v>
      </c>
      <c r="AC22" s="89"/>
      <c r="AD22" s="522"/>
      <c r="AE22" s="522"/>
      <c r="AF22" s="522"/>
      <c r="AG22" s="522"/>
      <c r="AH22" s="522"/>
      <c r="AI22" s="522"/>
      <c r="AJ22" s="522"/>
      <c r="AK22" s="522"/>
      <c r="AL22" s="522"/>
      <c r="AM22" s="522"/>
      <c r="AN22" s="522"/>
    </row>
    <row r="23" spans="1:40" ht="15" customHeight="1">
      <c r="A23" s="25"/>
      <c r="B23" s="191">
        <v>2025</v>
      </c>
      <c r="C23" s="225">
        <v>139527</v>
      </c>
      <c r="D23" s="143"/>
      <c r="E23" s="143"/>
      <c r="F23" s="143"/>
      <c r="G23" s="143"/>
      <c r="H23" s="143"/>
      <c r="I23" s="149" t="s">
        <v>1023</v>
      </c>
      <c r="J23" s="150"/>
      <c r="K23" s="151"/>
      <c r="L23" s="198">
        <v>3.5999999999999997E-2</v>
      </c>
      <c r="M23" s="18"/>
      <c r="O23" s="526"/>
      <c r="P23" s="132"/>
      <c r="Q23" s="133"/>
      <c r="R23" s="133"/>
      <c r="S23" s="530"/>
      <c r="T23" s="132"/>
      <c r="U23" s="133"/>
      <c r="V23" s="133"/>
      <c r="W23" s="530"/>
      <c r="X23" s="133"/>
      <c r="Y23" s="133"/>
      <c r="Z23" s="133"/>
      <c r="AA23" s="530"/>
      <c r="AB23" s="525" t="s">
        <v>1036</v>
      </c>
      <c r="AC23" s="89"/>
      <c r="AD23" s="522"/>
      <c r="AE23" s="522"/>
      <c r="AF23" s="522"/>
      <c r="AG23" s="522"/>
      <c r="AH23" s="522"/>
      <c r="AI23" s="522"/>
      <c r="AJ23" s="522"/>
      <c r="AK23" s="522"/>
      <c r="AL23" s="522"/>
      <c r="AM23" s="522"/>
      <c r="AN23" s="522"/>
    </row>
    <row r="24" spans="1:40" ht="15" customHeight="1">
      <c r="A24" s="25"/>
      <c r="B24" s="143"/>
      <c r="C24" s="143"/>
      <c r="D24" s="143"/>
      <c r="E24" s="143"/>
      <c r="F24" s="143"/>
      <c r="G24" s="143"/>
      <c r="H24" s="143"/>
      <c r="I24" s="149" t="s">
        <v>1024</v>
      </c>
      <c r="J24" s="150"/>
      <c r="K24" s="151"/>
      <c r="L24" s="198">
        <v>2.8000000000000001E-2</v>
      </c>
      <c r="M24" s="18"/>
      <c r="O24" s="526"/>
      <c r="P24" s="132"/>
      <c r="Q24" s="133"/>
      <c r="R24" s="133"/>
      <c r="S24" s="530"/>
      <c r="T24" s="132"/>
      <c r="U24" s="133"/>
      <c r="V24" s="133"/>
      <c r="W24" s="530"/>
      <c r="X24" s="133"/>
      <c r="Y24" s="133"/>
      <c r="Z24" s="133"/>
      <c r="AA24" s="530"/>
      <c r="AB24" s="525" t="s">
        <v>1036</v>
      </c>
      <c r="AC24" s="526"/>
      <c r="AD24" s="522"/>
      <c r="AE24" s="522"/>
      <c r="AF24" s="522"/>
      <c r="AG24" s="522"/>
      <c r="AH24" s="522"/>
      <c r="AI24" s="522"/>
      <c r="AJ24" s="522"/>
      <c r="AK24" s="522"/>
      <c r="AL24" s="522"/>
      <c r="AM24" s="522"/>
      <c r="AN24" s="522"/>
    </row>
    <row r="25" spans="1:40" ht="15" customHeight="1">
      <c r="A25" s="25"/>
      <c r="B25" s="179" t="s">
        <v>1025</v>
      </c>
      <c r="C25" s="143"/>
      <c r="D25" s="143"/>
      <c r="E25" s="180"/>
      <c r="F25" s="180"/>
      <c r="G25" s="180"/>
      <c r="H25" s="180"/>
      <c r="I25" s="180"/>
      <c r="J25" s="180"/>
      <c r="K25" s="180"/>
      <c r="L25" s="180"/>
      <c r="M25" s="18"/>
      <c r="O25" s="526"/>
      <c r="P25" s="137"/>
      <c r="Q25" s="531"/>
      <c r="R25" s="976"/>
      <c r="S25" s="139"/>
      <c r="T25" s="137"/>
      <c r="U25" s="531"/>
      <c r="V25" s="531"/>
      <c r="W25" s="976"/>
      <c r="X25" s="531"/>
      <c r="Y25" s="531"/>
      <c r="Z25" s="531"/>
      <c r="AA25" s="139"/>
      <c r="AB25" s="525" t="s">
        <v>1036</v>
      </c>
      <c r="AC25" s="526"/>
      <c r="AD25" s="522"/>
      <c r="AE25" s="522"/>
      <c r="AF25" s="522"/>
      <c r="AG25" s="522"/>
      <c r="AH25" s="522"/>
      <c r="AI25" s="522"/>
      <c r="AJ25" s="522"/>
      <c r="AK25" s="522"/>
      <c r="AL25" s="522"/>
      <c r="AM25" s="522"/>
      <c r="AN25" s="522"/>
    </row>
    <row r="26" spans="1:40" ht="15" customHeight="1">
      <c r="A26" s="25"/>
      <c r="B26" s="226" t="s">
        <v>83</v>
      </c>
      <c r="C26" s="574">
        <v>12</v>
      </c>
      <c r="D26" s="574">
        <v>24</v>
      </c>
      <c r="E26" s="574">
        <v>36</v>
      </c>
      <c r="F26" s="574">
        <v>48</v>
      </c>
      <c r="G26" s="575">
        <v>60</v>
      </c>
      <c r="H26" s="143"/>
      <c r="I26" s="180"/>
      <c r="J26" s="180"/>
      <c r="K26" s="180"/>
      <c r="L26" s="180"/>
      <c r="M26" s="18"/>
      <c r="O26" s="977" t="str">
        <f>"Jan 1, " &amp; B22-1</f>
        <v>Jan 1, 2023</v>
      </c>
      <c r="P26" s="255"/>
      <c r="Q26" s="526"/>
      <c r="R26" s="978"/>
      <c r="S26" s="168" t="str">
        <f>"Jan 1, " &amp; B22</f>
        <v>Jan 1, 2024</v>
      </c>
      <c r="T26" s="255"/>
      <c r="U26" s="526"/>
      <c r="V26" s="526"/>
      <c r="W26" s="1007" t="str">
        <f>"Jan 1, " &amp; B22+1</f>
        <v>Jan 1, 2025</v>
      </c>
      <c r="X26" s="255"/>
      <c r="Y26" s="526"/>
      <c r="Z26" s="526"/>
      <c r="AA26" s="526"/>
      <c r="AB26" s="525" t="s">
        <v>1036</v>
      </c>
      <c r="AC26" s="526"/>
      <c r="AD26" s="522"/>
      <c r="AE26" s="522"/>
      <c r="AF26" s="522"/>
      <c r="AG26" s="522"/>
      <c r="AH26" s="522"/>
      <c r="AI26" s="522"/>
      <c r="AJ26" s="522"/>
      <c r="AK26" s="522"/>
      <c r="AL26" s="522"/>
      <c r="AM26" s="522"/>
      <c r="AN26" s="522"/>
    </row>
    <row r="27" spans="1:40" ht="15" customHeight="1">
      <c r="A27" s="25"/>
      <c r="B27" s="189">
        <v>2021</v>
      </c>
      <c r="C27" s="145">
        <v>43200</v>
      </c>
      <c r="D27" s="145">
        <v>58406.400000000001</v>
      </c>
      <c r="E27" s="145">
        <v>67868.236799999999</v>
      </c>
      <c r="F27" s="145">
        <v>66985.949721600002</v>
      </c>
      <c r="G27" s="146">
        <v>66985.949721600002</v>
      </c>
      <c r="H27" s="143"/>
      <c r="I27" s="180"/>
      <c r="J27" s="180"/>
      <c r="K27" s="180"/>
      <c r="L27" s="180"/>
      <c r="M27" s="18"/>
      <c r="O27" s="526"/>
      <c r="P27" s="526"/>
      <c r="Q27" s="526"/>
      <c r="R27" s="979"/>
      <c r="S27" s="522"/>
      <c r="T27" s="526"/>
      <c r="U27" s="526"/>
      <c r="V27" s="526"/>
      <c r="W27" s="980"/>
      <c r="X27" s="526"/>
      <c r="Y27" s="526"/>
      <c r="Z27" s="526"/>
      <c r="AA27" s="526"/>
      <c r="AB27" s="525" t="s">
        <v>1036</v>
      </c>
      <c r="AC27" s="526"/>
      <c r="AD27" s="522"/>
      <c r="AE27" s="522"/>
      <c r="AF27" s="522"/>
      <c r="AG27" s="522"/>
      <c r="AH27" s="522"/>
      <c r="AI27" s="522"/>
      <c r="AJ27" s="522"/>
      <c r="AK27" s="522"/>
      <c r="AL27" s="522"/>
      <c r="AM27" s="522"/>
      <c r="AN27" s="522"/>
    </row>
    <row r="28" spans="1:40" ht="15" customHeight="1">
      <c r="A28" s="25"/>
      <c r="B28" s="189">
        <v>2022</v>
      </c>
      <c r="C28" s="145">
        <v>45120</v>
      </c>
      <c r="D28" s="145">
        <v>64521.599999999999</v>
      </c>
      <c r="E28" s="145">
        <v>72006.10560000001</v>
      </c>
      <c r="F28" s="145">
        <v>81654.923750400005</v>
      </c>
      <c r="G28" s="146"/>
      <c r="H28" s="143"/>
      <c r="I28" s="180"/>
      <c r="J28" s="180"/>
      <c r="K28" s="180"/>
      <c r="L28" s="180"/>
      <c r="M28" s="18"/>
      <c r="O28" s="216"/>
      <c r="P28" s="981" t="s">
        <v>1051</v>
      </c>
      <c r="Q28" s="526"/>
      <c r="R28" s="230" t="str">
        <f>"Oct 1, " &amp; B22-1</f>
        <v>Oct 1, 2023</v>
      </c>
      <c r="S28" s="525"/>
      <c r="T28" s="526"/>
      <c r="U28" s="526"/>
      <c r="V28" s="526"/>
      <c r="W28" s="230" t="str">
        <f>"Jan 1, " &amp; B22+1</f>
        <v>Jan 1, 2025</v>
      </c>
      <c r="X28" s="525"/>
      <c r="Y28" s="526"/>
      <c r="Z28" s="526"/>
      <c r="AA28" s="526"/>
      <c r="AB28" s="525" t="s">
        <v>1036</v>
      </c>
      <c r="AC28" s="526"/>
      <c r="AD28" s="522"/>
      <c r="AE28" s="522"/>
      <c r="AF28" s="522"/>
      <c r="AG28" s="522"/>
      <c r="AH28" s="522"/>
      <c r="AI28" s="522"/>
      <c r="AJ28" s="522"/>
      <c r="AK28" s="522"/>
      <c r="AL28" s="522"/>
      <c r="AM28" s="522"/>
      <c r="AN28" s="522"/>
    </row>
    <row r="29" spans="1:40" ht="15" customHeight="1">
      <c r="A29" s="25"/>
      <c r="B29" s="189">
        <v>2023</v>
      </c>
      <c r="C29" s="145">
        <v>47940</v>
      </c>
      <c r="D29" s="145">
        <v>60452.34</v>
      </c>
      <c r="E29" s="145">
        <v>65348.979539999993</v>
      </c>
      <c r="F29" s="145"/>
      <c r="G29" s="146"/>
      <c r="H29" s="143"/>
      <c r="I29" s="180"/>
      <c r="J29" s="180"/>
      <c r="K29" s="180"/>
      <c r="L29" s="180"/>
      <c r="M29" s="18"/>
      <c r="O29" s="216"/>
      <c r="P29" s="981" t="s">
        <v>1052</v>
      </c>
      <c r="Q29" s="526"/>
      <c r="R29" s="1008">
        <f>D38</f>
        <v>-0.01</v>
      </c>
      <c r="S29" s="230"/>
      <c r="T29" s="526"/>
      <c r="U29" s="526"/>
      <c r="V29" s="526"/>
      <c r="W29" s="1008">
        <f>D40</f>
        <v>0.04</v>
      </c>
      <c r="X29" s="230"/>
      <c r="Y29" s="526"/>
      <c r="Z29" s="526"/>
      <c r="AA29" s="526"/>
      <c r="AB29" s="525" t="s">
        <v>1036</v>
      </c>
      <c r="AC29" s="526"/>
      <c r="AD29" s="522"/>
      <c r="AE29" s="522"/>
      <c r="AF29" s="522"/>
      <c r="AG29" s="522"/>
      <c r="AH29" s="522"/>
      <c r="AI29" s="522"/>
      <c r="AJ29" s="522"/>
      <c r="AK29" s="522"/>
      <c r="AL29" s="522"/>
      <c r="AM29" s="522"/>
      <c r="AN29" s="522"/>
    </row>
    <row r="30" spans="1:40" ht="15" customHeight="1">
      <c r="A30" s="25"/>
      <c r="B30" s="189">
        <v>2024</v>
      </c>
      <c r="C30" s="145">
        <v>55800</v>
      </c>
      <c r="D30" s="145">
        <v>79068.600000000006</v>
      </c>
      <c r="E30" s="145"/>
      <c r="F30" s="145"/>
      <c r="G30" s="146"/>
      <c r="H30" s="143"/>
      <c r="I30" s="180"/>
      <c r="J30" s="180"/>
      <c r="K30" s="180"/>
      <c r="L30" s="180"/>
      <c r="M30" s="18"/>
      <c r="O30" s="526"/>
      <c r="P30" s="526"/>
      <c r="Q30" s="526"/>
      <c r="R30" s="526"/>
      <c r="S30" s="526"/>
      <c r="T30" s="526"/>
      <c r="U30" s="526"/>
      <c r="V30" s="526"/>
      <c r="W30" s="526"/>
      <c r="X30" s="526"/>
      <c r="Y30" s="526"/>
      <c r="Z30" s="526"/>
      <c r="AA30" s="526"/>
      <c r="AB30" s="525" t="s">
        <v>1036</v>
      </c>
      <c r="AC30" s="526"/>
      <c r="AD30" s="522"/>
      <c r="AE30" s="522"/>
      <c r="AF30" s="522"/>
      <c r="AG30" s="522"/>
      <c r="AH30" s="522"/>
      <c r="AI30" s="522"/>
      <c r="AJ30" s="522"/>
      <c r="AK30" s="522"/>
      <c r="AL30" s="522"/>
      <c r="AM30" s="522"/>
      <c r="AN30" s="522"/>
    </row>
    <row r="31" spans="1:40" ht="15" customHeight="1">
      <c r="A31" s="25"/>
      <c r="B31" s="191">
        <v>2025</v>
      </c>
      <c r="C31" s="150">
        <v>69000</v>
      </c>
      <c r="D31" s="150"/>
      <c r="E31" s="150"/>
      <c r="F31" s="150"/>
      <c r="G31" s="151"/>
      <c r="H31" s="143"/>
      <c r="I31" s="143"/>
      <c r="J31" s="143"/>
      <c r="K31" s="143"/>
      <c r="L31" s="181"/>
      <c r="M31" s="18"/>
      <c r="O31" s="267" t="s">
        <v>68</v>
      </c>
      <c r="P31" s="522" t="s">
        <v>1053</v>
      </c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6"/>
      <c r="AB31" s="525" t="s">
        <v>1036</v>
      </c>
      <c r="AC31" s="526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</row>
    <row r="32" spans="1:40" ht="15" customHeight="1">
      <c r="A32" s="25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81"/>
      <c r="M32" s="18"/>
      <c r="O32" s="526"/>
      <c r="P32" s="525"/>
      <c r="Q32" s="525" t="s">
        <v>33</v>
      </c>
      <c r="R32" s="525" t="s">
        <v>1054</v>
      </c>
      <c r="S32" s="253">
        <f>D38</f>
        <v>-0.01</v>
      </c>
      <c r="T32" s="525" t="s">
        <v>195</v>
      </c>
      <c r="U32" s="525" t="s">
        <v>150</v>
      </c>
      <c r="V32" s="525" t="s">
        <v>1055</v>
      </c>
      <c r="W32" s="253">
        <f>D40</f>
        <v>0.04</v>
      </c>
      <c r="X32" s="525" t="s">
        <v>195</v>
      </c>
      <c r="Y32" s="526"/>
      <c r="Z32" s="526"/>
      <c r="AA32" s="526"/>
      <c r="AB32" s="525" t="s">
        <v>1036</v>
      </c>
      <c r="AC32" s="526"/>
      <c r="AD32" s="522"/>
      <c r="AE32" s="522"/>
      <c r="AF32" s="522"/>
      <c r="AG32" s="522"/>
      <c r="AH32" s="522"/>
      <c r="AI32" s="522"/>
      <c r="AJ32" s="522"/>
      <c r="AK32" s="522"/>
      <c r="AL32" s="522"/>
      <c r="AM32" s="522"/>
      <c r="AN32" s="522"/>
    </row>
    <row r="33" spans="1:40" ht="15" customHeight="1">
      <c r="A33" s="25"/>
      <c r="B33" s="1011" t="s">
        <v>1026</v>
      </c>
      <c r="C33" s="180"/>
      <c r="D33" s="180"/>
      <c r="E33" s="180"/>
      <c r="F33" s="180"/>
      <c r="G33" s="180"/>
      <c r="H33" s="180"/>
      <c r="I33" s="143"/>
      <c r="J33" s="143"/>
      <c r="K33" s="143"/>
      <c r="L33" s="181"/>
      <c r="M33" s="18"/>
      <c r="O33" s="526"/>
      <c r="P33" s="526"/>
      <c r="Q33" s="525" t="s">
        <v>33</v>
      </c>
      <c r="R33" s="159">
        <f>1+D38</f>
        <v>0.99</v>
      </c>
      <c r="S33" s="525"/>
      <c r="T33" s="525"/>
      <c r="U33" s="525" t="s">
        <v>150</v>
      </c>
      <c r="V33" s="253">
        <f>1+D40</f>
        <v>1.04</v>
      </c>
      <c r="W33" s="526"/>
      <c r="X33" s="526"/>
      <c r="Y33" s="526"/>
      <c r="Z33" s="526"/>
      <c r="AA33" s="526"/>
      <c r="AB33" s="525" t="s">
        <v>1036</v>
      </c>
      <c r="AC33" s="526"/>
      <c r="AD33" s="522"/>
      <c r="AE33" s="522"/>
      <c r="AF33" s="522"/>
      <c r="AG33" s="522"/>
      <c r="AH33" s="522"/>
      <c r="AI33" s="522"/>
      <c r="AJ33" s="522"/>
      <c r="AK33" s="522"/>
      <c r="AL33" s="522"/>
      <c r="AM33" s="522"/>
      <c r="AN33" s="522"/>
    </row>
    <row r="34" spans="1:40" ht="15" customHeight="1">
      <c r="A34" s="25"/>
      <c r="B34" s="192" t="s">
        <v>1027</v>
      </c>
      <c r="C34" s="193"/>
      <c r="D34" s="1012">
        <v>2026</v>
      </c>
      <c r="E34" s="1013">
        <v>10</v>
      </c>
      <c r="F34" s="1014">
        <v>1</v>
      </c>
      <c r="G34" s="1015" t="s">
        <v>1028</v>
      </c>
      <c r="H34" s="193"/>
      <c r="I34" s="143"/>
      <c r="J34" s="143"/>
      <c r="K34" s="143"/>
      <c r="L34" s="181"/>
      <c r="M34" s="18"/>
      <c r="O34" s="526"/>
      <c r="P34" s="526"/>
      <c r="Q34" s="525" t="s">
        <v>33</v>
      </c>
      <c r="R34" s="982">
        <f>ROUND(R33*V33,4)</f>
        <v>1.0296000000000001</v>
      </c>
      <c r="S34" s="526"/>
      <c r="T34" s="526"/>
      <c r="U34" s="526"/>
      <c r="V34" s="526"/>
      <c r="W34" s="526"/>
      <c r="X34" s="526"/>
      <c r="Y34" s="526"/>
      <c r="Z34" s="526"/>
      <c r="AA34" s="526"/>
      <c r="AB34" s="525" t="s">
        <v>1036</v>
      </c>
      <c r="AC34" s="526"/>
      <c r="AD34" s="522"/>
      <c r="AE34" s="522"/>
      <c r="AF34" s="522"/>
      <c r="AG34" s="522"/>
      <c r="AH34" s="522"/>
      <c r="AI34" s="522"/>
      <c r="AJ34" s="522"/>
      <c r="AK34" s="522"/>
      <c r="AL34" s="522"/>
      <c r="AM34" s="522"/>
      <c r="AN34" s="522"/>
    </row>
    <row r="35" spans="1:40" ht="15" customHeight="1">
      <c r="A35" s="25"/>
      <c r="B35" s="144" t="s">
        <v>1029</v>
      </c>
      <c r="C35" s="146"/>
      <c r="D35" s="1016">
        <v>12</v>
      </c>
      <c r="E35" s="145" t="s">
        <v>125</v>
      </c>
      <c r="F35" s="1017"/>
      <c r="G35" s="1018"/>
      <c r="H35" s="145"/>
      <c r="I35" s="143"/>
      <c r="J35" s="143"/>
      <c r="K35" s="143"/>
      <c r="L35" s="181"/>
      <c r="M35" s="18"/>
      <c r="O35" s="526"/>
      <c r="P35" s="522"/>
      <c r="Q35" s="522"/>
      <c r="R35" s="522"/>
      <c r="S35" s="522"/>
      <c r="T35" s="522"/>
      <c r="U35" s="522"/>
      <c r="V35" s="522"/>
      <c r="W35" s="522"/>
      <c r="X35" s="522"/>
      <c r="Y35" s="522"/>
      <c r="Z35" s="526"/>
      <c r="AA35" s="526"/>
      <c r="AB35" s="525" t="s">
        <v>1036</v>
      </c>
      <c r="AC35" s="526"/>
      <c r="AD35" s="522"/>
      <c r="AE35" s="522"/>
      <c r="AF35" s="522"/>
      <c r="AG35" s="522"/>
      <c r="AH35" s="522"/>
      <c r="AI35" s="522"/>
      <c r="AJ35" s="522"/>
      <c r="AK35" s="522"/>
      <c r="AL35" s="522"/>
      <c r="AM35" s="522"/>
      <c r="AN35" s="522"/>
    </row>
    <row r="36" spans="1:40" ht="15" customHeight="1">
      <c r="A36" s="25"/>
      <c r="B36" s="149" t="s">
        <v>1030</v>
      </c>
      <c r="C36" s="151"/>
      <c r="D36" s="199">
        <v>6</v>
      </c>
      <c r="E36" s="150" t="s">
        <v>125</v>
      </c>
      <c r="F36" s="1019"/>
      <c r="G36" s="1020"/>
      <c r="H36" s="145"/>
      <c r="I36" s="143"/>
      <c r="J36" s="143"/>
      <c r="K36" s="143"/>
      <c r="L36" s="181"/>
      <c r="M36" s="18"/>
      <c r="O36" s="267" t="s">
        <v>1056</v>
      </c>
      <c r="P36" s="526" t="str">
        <f>"Average Rate Level for CY " &amp; G6</f>
        <v>Average Rate Level for CY 2024</v>
      </c>
      <c r="Q36" s="526"/>
      <c r="R36" s="526"/>
      <c r="S36" s="526"/>
      <c r="T36" s="526"/>
      <c r="U36" s="526"/>
      <c r="V36" s="526"/>
      <c r="W36" s="526"/>
      <c r="X36" s="526"/>
      <c r="Y36" s="526"/>
      <c r="Z36" s="526"/>
      <c r="AA36" s="526"/>
      <c r="AB36" s="525" t="s">
        <v>1036</v>
      </c>
      <c r="AC36" s="526"/>
      <c r="AD36" s="522"/>
      <c r="AE36" s="522"/>
      <c r="AF36" s="522"/>
      <c r="AG36" s="522"/>
      <c r="AH36" s="522"/>
      <c r="AI36" s="522"/>
      <c r="AJ36" s="522"/>
      <c r="AK36" s="522"/>
      <c r="AL36" s="522"/>
      <c r="AM36" s="522"/>
      <c r="AN36" s="522"/>
    </row>
    <row r="37" spans="1:40" ht="15" customHeight="1">
      <c r="A37" s="25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81"/>
      <c r="M37" s="18"/>
      <c r="O37" s="526"/>
      <c r="P37" s="526"/>
      <c r="Q37" s="525" t="s">
        <v>33</v>
      </c>
      <c r="R37" s="525" t="s">
        <v>1057</v>
      </c>
      <c r="S37" s="525" t="s">
        <v>150</v>
      </c>
      <c r="T37" s="526" t="s">
        <v>1058</v>
      </c>
      <c r="U37" s="526"/>
      <c r="V37" s="525" t="s">
        <v>34</v>
      </c>
      <c r="W37" s="525" t="s">
        <v>1059</v>
      </c>
      <c r="X37" s="525" t="s">
        <v>150</v>
      </c>
      <c r="Y37" s="526" t="s">
        <v>1060</v>
      </c>
      <c r="Z37" s="526"/>
      <c r="AA37" s="526"/>
      <c r="AB37" s="525" t="s">
        <v>1036</v>
      </c>
      <c r="AC37" s="526"/>
      <c r="AD37" s="522"/>
      <c r="AE37" s="522"/>
      <c r="AF37" s="522"/>
      <c r="AG37" s="522"/>
      <c r="AH37" s="522"/>
      <c r="AI37" s="522"/>
      <c r="AJ37" s="522"/>
      <c r="AK37" s="522"/>
      <c r="AL37" s="522"/>
      <c r="AM37" s="522"/>
      <c r="AN37" s="522"/>
    </row>
    <row r="38" spans="1:40" ht="15" customHeight="1">
      <c r="A38" s="25"/>
      <c r="B38" s="140" t="s">
        <v>463</v>
      </c>
      <c r="C38" s="142"/>
      <c r="D38" s="1021">
        <v>-0.01</v>
      </c>
      <c r="E38" s="142"/>
      <c r="F38" s="143"/>
      <c r="G38" s="180"/>
      <c r="H38" s="180"/>
      <c r="I38" s="143"/>
      <c r="J38" s="143"/>
      <c r="K38" s="143"/>
      <c r="L38" s="181"/>
      <c r="M38" s="18"/>
      <c r="O38" s="526"/>
      <c r="P38" s="526"/>
      <c r="Q38" s="525" t="s">
        <v>33</v>
      </c>
      <c r="R38" s="983">
        <f>0.5 * 0.25 * 0.5</f>
        <v>6.25E-2</v>
      </c>
      <c r="S38" s="525" t="s">
        <v>150</v>
      </c>
      <c r="T38" s="525">
        <f>1</f>
        <v>1</v>
      </c>
      <c r="U38" s="526"/>
      <c r="V38" s="525" t="s">
        <v>34</v>
      </c>
      <c r="W38" s="983">
        <f>(1-R38)</f>
        <v>0.9375</v>
      </c>
      <c r="X38" s="525" t="s">
        <v>150</v>
      </c>
      <c r="Y38" s="159">
        <f>(1+D38)</f>
        <v>0.99</v>
      </c>
      <c r="Z38" s="526"/>
      <c r="AA38" s="526"/>
      <c r="AB38" s="525" t="s">
        <v>1036</v>
      </c>
      <c r="AC38" s="526"/>
      <c r="AD38" s="522"/>
      <c r="AE38" s="522"/>
      <c r="AF38" s="522"/>
      <c r="AG38" s="522"/>
      <c r="AH38" s="522"/>
      <c r="AI38" s="522"/>
      <c r="AJ38" s="522"/>
      <c r="AK38" s="522"/>
      <c r="AL38" s="522"/>
      <c r="AM38" s="522"/>
      <c r="AN38" s="522"/>
    </row>
    <row r="39" spans="1:40" ht="15" customHeight="1">
      <c r="A39" s="25"/>
      <c r="B39" s="149" t="s">
        <v>464</v>
      </c>
      <c r="C39" s="151"/>
      <c r="D39" s="150" t="s">
        <v>1031</v>
      </c>
      <c r="E39" s="151"/>
      <c r="F39" s="143"/>
      <c r="G39" s="180"/>
      <c r="H39" s="180"/>
      <c r="I39" s="180"/>
      <c r="J39" s="180"/>
      <c r="K39" s="143"/>
      <c r="L39" s="181"/>
      <c r="M39" s="18"/>
      <c r="O39" s="526"/>
      <c r="P39" s="526"/>
      <c r="Q39" s="525" t="s">
        <v>33</v>
      </c>
      <c r="R39" s="984">
        <f>ROUND((R38*T38) + (W38*Y38), 4)</f>
        <v>0.99060000000000004</v>
      </c>
      <c r="S39" s="526"/>
      <c r="T39" s="526"/>
      <c r="U39" s="526"/>
      <c r="V39" s="526"/>
      <c r="W39" s="526"/>
      <c r="X39" s="526"/>
      <c r="Y39" s="526"/>
      <c r="Z39" s="526"/>
      <c r="AA39" s="526"/>
      <c r="AB39" s="525" t="s">
        <v>1036</v>
      </c>
      <c r="AC39" s="526"/>
      <c r="AD39" s="522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</row>
    <row r="40" spans="1:40" ht="15" customHeight="1">
      <c r="A40" s="25"/>
      <c r="B40" s="140" t="s">
        <v>465</v>
      </c>
      <c r="C40" s="142"/>
      <c r="D40" s="1021">
        <v>0.04</v>
      </c>
      <c r="E40" s="142"/>
      <c r="F40" s="180"/>
      <c r="G40" s="180"/>
      <c r="H40" s="180"/>
      <c r="I40" s="143"/>
      <c r="J40" s="143"/>
      <c r="K40" s="143"/>
      <c r="L40" s="181"/>
      <c r="M40" s="18"/>
      <c r="O40" s="526"/>
      <c r="P40" s="526"/>
      <c r="Q40" s="522"/>
      <c r="R40" s="522"/>
      <c r="S40" s="522"/>
      <c r="T40" s="522"/>
      <c r="U40" s="522"/>
      <c r="V40" s="522"/>
      <c r="W40" s="522"/>
      <c r="X40" s="522"/>
      <c r="Y40" s="522"/>
      <c r="Z40" s="522"/>
      <c r="AA40" s="526"/>
      <c r="AB40" s="525" t="s">
        <v>1036</v>
      </c>
      <c r="AC40" s="526"/>
      <c r="AD40" s="522"/>
      <c r="AE40" s="522"/>
      <c r="AF40" s="522"/>
      <c r="AG40" s="522"/>
      <c r="AH40" s="522"/>
      <c r="AI40" s="522"/>
      <c r="AJ40" s="522"/>
      <c r="AK40" s="522"/>
      <c r="AL40" s="522"/>
      <c r="AM40" s="522"/>
      <c r="AN40" s="522"/>
    </row>
    <row r="41" spans="1:40" ht="15" customHeight="1">
      <c r="A41" s="25"/>
      <c r="B41" s="149" t="s">
        <v>466</v>
      </c>
      <c r="C41" s="151"/>
      <c r="D41" s="150" t="s">
        <v>1032</v>
      </c>
      <c r="E41" s="151"/>
      <c r="F41" s="143"/>
      <c r="G41" s="143"/>
      <c r="H41" s="143"/>
      <c r="I41" s="143"/>
      <c r="J41" s="143"/>
      <c r="K41" s="143"/>
      <c r="L41" s="181"/>
      <c r="M41" s="18"/>
      <c r="O41" s="267" t="s">
        <v>1056</v>
      </c>
      <c r="P41" s="526" t="str">
        <f>"Average Rate Level for CY " &amp; I6</f>
        <v>Average Rate Level for CY 2025</v>
      </c>
      <c r="Q41" s="526"/>
      <c r="R41" s="526"/>
      <c r="S41" s="526"/>
      <c r="T41" s="526"/>
      <c r="U41" s="526"/>
      <c r="V41" s="526"/>
      <c r="W41" s="526"/>
      <c r="X41" s="526"/>
      <c r="Y41" s="526"/>
      <c r="Z41" s="526"/>
      <c r="AA41" s="526"/>
      <c r="AB41" s="525" t="s">
        <v>1036</v>
      </c>
      <c r="AC41" s="526"/>
      <c r="AD41" s="522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</row>
    <row r="42" spans="1:40" ht="15" customHeight="1">
      <c r="A42" s="25"/>
      <c r="B42" s="1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18"/>
      <c r="O42" s="526"/>
      <c r="P42" s="526"/>
      <c r="Q42" s="525" t="s">
        <v>33</v>
      </c>
      <c r="R42" s="525" t="s">
        <v>1061</v>
      </c>
      <c r="S42" s="525" t="s">
        <v>150</v>
      </c>
      <c r="T42" s="526" t="s">
        <v>1062</v>
      </c>
      <c r="U42" s="526"/>
      <c r="V42" s="525" t="s">
        <v>34</v>
      </c>
      <c r="W42" s="525" t="s">
        <v>1063</v>
      </c>
      <c r="X42" s="525" t="s">
        <v>150</v>
      </c>
      <c r="Y42" s="526" t="s">
        <v>1064</v>
      </c>
      <c r="Z42" s="526"/>
      <c r="AA42" s="526"/>
      <c r="AB42" s="525" t="s">
        <v>1036</v>
      </c>
      <c r="AC42" s="526"/>
      <c r="AD42" s="522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</row>
    <row r="43" spans="1:40" ht="15" customHeight="1">
      <c r="A43" s="22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8"/>
      <c r="O43" s="526"/>
      <c r="P43" s="526"/>
      <c r="Q43" s="525" t="s">
        <v>33</v>
      </c>
      <c r="R43" s="983">
        <f>0.5 * 0.5 * 1</f>
        <v>0.25</v>
      </c>
      <c r="S43" s="525" t="s">
        <v>150</v>
      </c>
      <c r="T43" s="159">
        <f>(1+D38)</f>
        <v>0.99</v>
      </c>
      <c r="U43" s="526"/>
      <c r="V43" s="525" t="s">
        <v>34</v>
      </c>
      <c r="W43" s="983">
        <f>(1-R43)</f>
        <v>0.75</v>
      </c>
      <c r="X43" s="525" t="s">
        <v>150</v>
      </c>
      <c r="Y43" s="983">
        <f>ROUND((1+D38)*(1+D40), 4)</f>
        <v>1.0296000000000001</v>
      </c>
      <c r="Z43" s="526"/>
      <c r="AA43" s="526"/>
      <c r="AB43" s="525" t="s">
        <v>1036</v>
      </c>
      <c r="AC43" s="526"/>
      <c r="AD43" s="522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</row>
    <row r="44" spans="1:40" ht="15" customHeight="1" thickBot="1">
      <c r="A44" s="24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2"/>
      <c r="O44" s="526"/>
      <c r="P44" s="526"/>
      <c r="Q44" s="525" t="s">
        <v>33</v>
      </c>
      <c r="R44" s="984">
        <f>ROUND((R43*T43) + (W43*Y43), 4)</f>
        <v>1.0197000000000001</v>
      </c>
      <c r="S44" s="526"/>
      <c r="T44" s="526"/>
      <c r="U44" s="526"/>
      <c r="V44" s="526"/>
      <c r="W44" s="526"/>
      <c r="X44" s="526"/>
      <c r="Y44" s="526"/>
      <c r="Z44" s="526"/>
      <c r="AA44" s="526"/>
      <c r="AB44" s="525" t="s">
        <v>1036</v>
      </c>
      <c r="AC44" s="526"/>
      <c r="AD44" s="522"/>
      <c r="AE44" s="522"/>
      <c r="AF44" s="522"/>
      <c r="AG44" s="522"/>
      <c r="AH44" s="522"/>
      <c r="AI44" s="522"/>
      <c r="AJ44" s="522"/>
      <c r="AK44" s="522"/>
      <c r="AL44" s="522"/>
      <c r="AM44" s="522"/>
      <c r="AN44" s="522"/>
    </row>
    <row r="45" spans="1:40" ht="1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O45" s="526"/>
      <c r="P45" s="526"/>
      <c r="Q45" s="522"/>
      <c r="R45" s="522"/>
      <c r="S45" s="522"/>
      <c r="T45" s="522"/>
      <c r="U45" s="522"/>
      <c r="V45" s="522"/>
      <c r="W45" s="522"/>
      <c r="X45" s="522"/>
      <c r="Y45" s="522"/>
      <c r="Z45" s="522"/>
      <c r="AA45" s="526"/>
      <c r="AB45" s="525" t="s">
        <v>1036</v>
      </c>
      <c r="AC45" s="526"/>
      <c r="AD45" s="522"/>
      <c r="AE45" s="522"/>
      <c r="AF45" s="522"/>
      <c r="AG45" s="522"/>
      <c r="AH45" s="522"/>
      <c r="AI45" s="522"/>
      <c r="AJ45" s="522"/>
      <c r="AK45" s="522"/>
      <c r="AL45" s="522"/>
      <c r="AM45" s="522"/>
      <c r="AN45" s="522"/>
    </row>
    <row r="46" spans="1:40" ht="15" customHeight="1">
      <c r="O46" s="267" t="s">
        <v>1065</v>
      </c>
      <c r="P46" s="522" t="str">
        <f>"Current Rate Level Factor for CY " &amp; G6</f>
        <v>Current Rate Level Factor for CY 2024</v>
      </c>
      <c r="Q46" s="522"/>
      <c r="R46" s="522"/>
      <c r="S46" s="522"/>
      <c r="T46" s="522"/>
      <c r="U46" s="522"/>
      <c r="V46" s="522"/>
      <c r="W46" s="522"/>
      <c r="X46" s="522"/>
      <c r="Y46" s="522"/>
      <c r="Z46" s="522"/>
      <c r="AA46" s="526"/>
      <c r="AB46" s="525" t="s">
        <v>1036</v>
      </c>
      <c r="AC46" s="526"/>
      <c r="AD46" s="522"/>
      <c r="AE46" s="522"/>
      <c r="AF46" s="522"/>
      <c r="AG46" s="522"/>
      <c r="AH46" s="522"/>
      <c r="AI46" s="522"/>
      <c r="AJ46" s="522"/>
      <c r="AK46" s="522"/>
      <c r="AL46" s="522"/>
      <c r="AM46" s="522"/>
      <c r="AN46" s="522"/>
    </row>
    <row r="47" spans="1:40" ht="15" customHeight="1">
      <c r="O47" s="526"/>
      <c r="P47" s="522"/>
      <c r="Q47" s="525" t="s">
        <v>33</v>
      </c>
      <c r="R47" s="44" t="s">
        <v>68</v>
      </c>
      <c r="S47" s="622" t="s">
        <v>35</v>
      </c>
      <c r="T47" s="44" t="s">
        <v>1066</v>
      </c>
      <c r="U47" s="525" t="s">
        <v>33</v>
      </c>
      <c r="V47" s="982">
        <f>R34</f>
        <v>1.0296000000000001</v>
      </c>
      <c r="W47" s="622" t="s">
        <v>35</v>
      </c>
      <c r="X47" s="984">
        <f>R39</f>
        <v>0.99060000000000004</v>
      </c>
      <c r="Y47" s="44" t="s">
        <v>33</v>
      </c>
      <c r="Z47" s="157">
        <f>ROUND(V47/X47,4)</f>
        <v>1.0394000000000001</v>
      </c>
      <c r="AA47" s="526"/>
      <c r="AB47" s="525" t="s">
        <v>1036</v>
      </c>
      <c r="AC47" s="526"/>
      <c r="AD47" s="522"/>
      <c r="AE47" s="522"/>
      <c r="AF47" s="522"/>
      <c r="AG47" s="522"/>
      <c r="AH47" s="522"/>
      <c r="AI47" s="522"/>
      <c r="AJ47" s="522"/>
      <c r="AK47" s="522"/>
      <c r="AL47" s="522"/>
      <c r="AM47" s="522"/>
      <c r="AN47" s="522"/>
    </row>
    <row r="48" spans="1:40" ht="15" customHeight="1">
      <c r="O48" s="526"/>
      <c r="P48" s="526"/>
      <c r="Q48" s="526"/>
      <c r="R48" s="526"/>
      <c r="S48" s="526"/>
      <c r="T48" s="526"/>
      <c r="U48" s="526"/>
      <c r="V48" s="526"/>
      <c r="W48" s="526"/>
      <c r="X48" s="526"/>
      <c r="Y48" s="526"/>
      <c r="Z48" s="526"/>
      <c r="AA48" s="526"/>
      <c r="AB48" s="525" t="s">
        <v>1036</v>
      </c>
      <c r="AC48" s="526"/>
      <c r="AD48" s="522"/>
      <c r="AE48" s="522"/>
      <c r="AF48" s="522"/>
      <c r="AG48" s="522"/>
      <c r="AH48" s="522"/>
      <c r="AI48" s="522"/>
      <c r="AJ48" s="522"/>
      <c r="AK48" s="522"/>
      <c r="AL48" s="522"/>
      <c r="AM48" s="522"/>
      <c r="AN48" s="522"/>
    </row>
    <row r="49" spans="15:40" ht="15" customHeight="1">
      <c r="O49" s="267" t="s">
        <v>1065</v>
      </c>
      <c r="P49" s="522" t="str">
        <f>"Current Rate Level Factor for CY " &amp; H6</f>
        <v>Current Rate Level Factor for CY and</v>
      </c>
      <c r="Q49" s="522"/>
      <c r="R49" s="522"/>
      <c r="S49" s="522"/>
      <c r="T49" s="522"/>
      <c r="U49" s="522"/>
      <c r="V49" s="522"/>
      <c r="W49" s="522"/>
      <c r="X49" s="522"/>
      <c r="Y49" s="522"/>
      <c r="Z49" s="522"/>
      <c r="AA49" s="526"/>
      <c r="AB49" s="525" t="s">
        <v>1036</v>
      </c>
      <c r="AC49" s="522"/>
      <c r="AD49" s="522"/>
      <c r="AE49" s="522"/>
      <c r="AF49" s="522"/>
      <c r="AG49" s="522"/>
      <c r="AH49" s="522"/>
      <c r="AI49" s="522"/>
      <c r="AJ49" s="522"/>
      <c r="AK49" s="522"/>
      <c r="AL49" s="522"/>
      <c r="AM49" s="522"/>
      <c r="AN49" s="522"/>
    </row>
    <row r="50" spans="15:40" ht="15" customHeight="1">
      <c r="O50" s="526"/>
      <c r="P50" s="522"/>
      <c r="Q50" s="525" t="s">
        <v>33</v>
      </c>
      <c r="R50" s="44" t="s">
        <v>68</v>
      </c>
      <c r="S50" s="622" t="s">
        <v>35</v>
      </c>
      <c r="T50" s="44" t="s">
        <v>1067</v>
      </c>
      <c r="U50" s="525" t="s">
        <v>33</v>
      </c>
      <c r="V50" s="982">
        <f>R34</f>
        <v>1.0296000000000001</v>
      </c>
      <c r="W50" s="622" t="s">
        <v>35</v>
      </c>
      <c r="X50" s="984">
        <f>R44</f>
        <v>1.0197000000000001</v>
      </c>
      <c r="Y50" s="44" t="s">
        <v>33</v>
      </c>
      <c r="Z50" s="157">
        <f>ROUND(V50/X50,4)</f>
        <v>1.0097</v>
      </c>
      <c r="AA50" s="526"/>
      <c r="AB50" s="525" t="s">
        <v>1036</v>
      </c>
      <c r="AC50" s="522"/>
      <c r="AD50" s="522"/>
      <c r="AE50" s="522"/>
      <c r="AF50" s="522"/>
      <c r="AG50" s="522"/>
      <c r="AH50" s="522"/>
      <c r="AI50" s="522"/>
      <c r="AJ50" s="522"/>
      <c r="AK50" s="522"/>
      <c r="AL50" s="522"/>
      <c r="AM50" s="522"/>
      <c r="AN50" s="522"/>
    </row>
    <row r="51" spans="15:40" ht="15" customHeight="1"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2"/>
      <c r="AA51" s="522"/>
      <c r="AB51" s="525" t="s">
        <v>1036</v>
      </c>
      <c r="AC51" s="522"/>
      <c r="AD51" s="522"/>
      <c r="AE51" s="522"/>
      <c r="AF51" s="522"/>
      <c r="AG51" s="522"/>
      <c r="AH51" s="522"/>
      <c r="AI51" s="522"/>
      <c r="AJ51" s="522"/>
      <c r="AK51" s="522"/>
      <c r="AL51" s="522"/>
      <c r="AM51" s="522"/>
      <c r="AN51" s="522"/>
    </row>
    <row r="52" spans="15:40" ht="15" customHeight="1">
      <c r="O52" s="153" t="s">
        <v>1068</v>
      </c>
      <c r="P52" s="522" t="s">
        <v>1069</v>
      </c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525" t="s">
        <v>1036</v>
      </c>
      <c r="AC52" s="522"/>
      <c r="AD52" s="522"/>
      <c r="AE52" s="522"/>
      <c r="AF52" s="522"/>
      <c r="AG52" s="522"/>
      <c r="AH52" s="522"/>
      <c r="AI52" s="522"/>
      <c r="AJ52" s="522"/>
      <c r="AK52" s="522"/>
      <c r="AL52" s="522"/>
      <c r="AM52" s="522"/>
      <c r="AN52" s="522"/>
    </row>
    <row r="53" spans="15:40" ht="15" customHeight="1"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/>
      <c r="AA53" s="522"/>
      <c r="AB53" s="525" t="s">
        <v>1036</v>
      </c>
      <c r="AC53" s="522"/>
      <c r="AD53" s="522"/>
      <c r="AE53" s="522"/>
      <c r="AF53" s="522"/>
      <c r="AG53" s="522"/>
      <c r="AH53" s="522"/>
      <c r="AI53" s="522"/>
      <c r="AJ53" s="522"/>
      <c r="AK53" s="522"/>
      <c r="AL53" s="522"/>
      <c r="AM53" s="522"/>
      <c r="AN53" s="522"/>
    </row>
    <row r="54" spans="15:40" ht="15" customHeight="1">
      <c r="O54" s="522"/>
      <c r="P54" s="622" t="s">
        <v>103</v>
      </c>
      <c r="Q54" s="622" t="s">
        <v>104</v>
      </c>
      <c r="R54" s="622" t="s">
        <v>105</v>
      </c>
      <c r="S54" s="622" t="s">
        <v>106</v>
      </c>
      <c r="T54" s="622" t="s">
        <v>1070</v>
      </c>
      <c r="U54" s="523"/>
      <c r="V54" s="622"/>
      <c r="W54" s="622"/>
      <c r="X54" s="522"/>
      <c r="Y54" s="522"/>
      <c r="Z54" s="522"/>
      <c r="AA54" s="522"/>
      <c r="AB54" s="525" t="s">
        <v>1036</v>
      </c>
      <c r="AC54" s="522"/>
      <c r="AD54" s="522"/>
      <c r="AE54" s="522"/>
      <c r="AF54" s="522"/>
      <c r="AG54" s="522"/>
      <c r="AH54" s="522"/>
      <c r="AI54" s="522"/>
      <c r="AJ54" s="522"/>
      <c r="AK54" s="522"/>
      <c r="AL54" s="522"/>
      <c r="AM54" s="522"/>
      <c r="AN54" s="522"/>
    </row>
    <row r="55" spans="15:40" ht="15" customHeight="1">
      <c r="O55" s="526"/>
      <c r="P55" s="125" t="s">
        <v>219</v>
      </c>
      <c r="Q55" s="126" t="s">
        <v>255</v>
      </c>
      <c r="R55" s="126" t="s">
        <v>1071</v>
      </c>
      <c r="S55" s="127" t="s">
        <v>1072</v>
      </c>
      <c r="T55" s="1038" t="s">
        <v>1073</v>
      </c>
      <c r="U55" s="1039"/>
      <c r="V55" s="526"/>
      <c r="W55" s="526"/>
      <c r="X55" s="526"/>
      <c r="Y55" s="526"/>
      <c r="Z55" s="526"/>
      <c r="AA55" s="526"/>
      <c r="AB55" s="525" t="s">
        <v>1036</v>
      </c>
      <c r="AC55" s="522"/>
      <c r="AD55" s="522"/>
      <c r="AE55" s="522"/>
      <c r="AF55" s="522"/>
      <c r="AG55" s="522"/>
      <c r="AH55" s="522"/>
      <c r="AI55" s="522"/>
      <c r="AJ55" s="522"/>
      <c r="AK55" s="522"/>
      <c r="AL55" s="522"/>
      <c r="AM55" s="522"/>
      <c r="AN55" s="522"/>
    </row>
    <row r="56" spans="15:40" ht="15" customHeight="1">
      <c r="O56" s="526"/>
      <c r="P56" s="174">
        <f>G6</f>
        <v>2024</v>
      </c>
      <c r="Q56" s="109">
        <f>C22</f>
        <v>129554</v>
      </c>
      <c r="R56" s="985">
        <f>Z47</f>
        <v>1.0394000000000001</v>
      </c>
      <c r="S56" s="986" t="str">
        <f>1+G21 &amp; " ^ " &amp; (R9+P57-P56)</f>
        <v>0.996 ^ 3</v>
      </c>
      <c r="T56" s="1034">
        <f>Q56*R56*(1+G21)^(R9+P57-P56)</f>
        <v>133048.98145518545</v>
      </c>
      <c r="U56" s="1035"/>
      <c r="V56" s="216" t="s">
        <v>1074</v>
      </c>
      <c r="W56" s="526"/>
      <c r="X56" s="526"/>
      <c r="Y56" s="526"/>
      <c r="Z56" s="526"/>
      <c r="AA56" s="526"/>
      <c r="AB56" s="525" t="s">
        <v>1036</v>
      </c>
      <c r="AC56" s="522"/>
      <c r="AD56" s="522"/>
      <c r="AE56" s="522"/>
      <c r="AF56" s="522"/>
      <c r="AG56" s="522"/>
      <c r="AH56" s="522"/>
      <c r="AI56" s="522"/>
      <c r="AJ56" s="522"/>
      <c r="AK56" s="522"/>
      <c r="AL56" s="522"/>
      <c r="AM56" s="522"/>
      <c r="AN56" s="522"/>
    </row>
    <row r="57" spans="15:40" ht="15" customHeight="1">
      <c r="O57" s="526"/>
      <c r="P57" s="175">
        <f>P56+1</f>
        <v>2025</v>
      </c>
      <c r="Q57" s="535">
        <f>C23</f>
        <v>139527</v>
      </c>
      <c r="R57" s="987">
        <f>Z50</f>
        <v>1.0097</v>
      </c>
      <c r="S57" s="538" t="str">
        <f>1+G21 &amp; " ^ " &amp; (R9+P57-P57)</f>
        <v>0.996 ^ 2</v>
      </c>
      <c r="T57" s="1036">
        <f>Q57*R57*(1+G21)^(R9+P57-P57)</f>
        <v>139755.6226913904</v>
      </c>
      <c r="U57" s="1037"/>
      <c r="V57" s="216" t="s">
        <v>1074</v>
      </c>
      <c r="W57" s="526"/>
      <c r="X57" s="526"/>
      <c r="Y57" s="526"/>
      <c r="Z57" s="526"/>
      <c r="AA57" s="526"/>
      <c r="AB57" s="525" t="s">
        <v>1036</v>
      </c>
      <c r="AC57" s="522"/>
      <c r="AD57" s="522"/>
      <c r="AE57" s="522"/>
      <c r="AF57" s="522"/>
      <c r="AG57" s="522"/>
      <c r="AH57" s="522"/>
      <c r="AI57" s="522"/>
      <c r="AJ57" s="522"/>
      <c r="AK57" s="522"/>
      <c r="AL57" s="522"/>
      <c r="AM57" s="522"/>
      <c r="AN57" s="522"/>
    </row>
    <row r="58" spans="15:40" ht="15" customHeight="1"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5" t="s">
        <v>1036</v>
      </c>
      <c r="AC58" s="522"/>
      <c r="AD58" s="522"/>
      <c r="AE58" s="522"/>
      <c r="AF58" s="522"/>
      <c r="AG58" s="522"/>
      <c r="AH58" s="522"/>
      <c r="AI58" s="522"/>
      <c r="AJ58" s="522"/>
      <c r="AK58" s="522"/>
      <c r="AL58" s="522"/>
      <c r="AM58" s="522"/>
      <c r="AN58" s="522"/>
    </row>
    <row r="59" spans="15:40" ht="15" customHeight="1">
      <c r="O59" s="842" t="s">
        <v>1075</v>
      </c>
      <c r="P59" s="526" t="s">
        <v>1076</v>
      </c>
      <c r="Q59" s="526"/>
      <c r="R59" s="526"/>
      <c r="S59" s="526"/>
      <c r="T59" s="526"/>
      <c r="U59" s="526"/>
      <c r="V59" s="526"/>
      <c r="W59" s="526"/>
      <c r="X59" s="526"/>
      <c r="Y59" s="526"/>
      <c r="Z59" s="526"/>
      <c r="AA59" s="526"/>
      <c r="AB59" s="525" t="s">
        <v>1036</v>
      </c>
      <c r="AC59" s="522"/>
      <c r="AD59" s="522"/>
      <c r="AE59" s="522"/>
      <c r="AF59" s="522"/>
      <c r="AG59" s="522"/>
      <c r="AH59" s="522"/>
      <c r="AI59" s="522"/>
      <c r="AJ59" s="522"/>
      <c r="AK59" s="522"/>
      <c r="AL59" s="522"/>
      <c r="AM59" s="522"/>
      <c r="AN59" s="522"/>
    </row>
    <row r="60" spans="15:40" ht="15" customHeight="1">
      <c r="O60" s="526"/>
      <c r="P60" s="526"/>
      <c r="Q60" s="526"/>
      <c r="R60" s="526"/>
      <c r="S60" s="526"/>
      <c r="T60" s="526"/>
      <c r="U60" s="526"/>
      <c r="V60" s="526"/>
      <c r="W60" s="526"/>
      <c r="X60" s="526"/>
      <c r="Y60" s="526"/>
      <c r="Z60" s="526"/>
      <c r="AA60" s="526"/>
      <c r="AB60" s="525" t="s">
        <v>1036</v>
      </c>
      <c r="AC60" s="522"/>
      <c r="AD60" s="522"/>
      <c r="AE60" s="522"/>
      <c r="AF60" s="522"/>
      <c r="AG60" s="522"/>
      <c r="AH60" s="522"/>
      <c r="AI60" s="522"/>
      <c r="AJ60" s="522"/>
      <c r="AK60" s="522"/>
      <c r="AL60" s="522"/>
      <c r="AM60" s="522"/>
      <c r="AN60" s="522"/>
    </row>
    <row r="61" spans="15:40" ht="15" customHeight="1">
      <c r="O61" s="526"/>
      <c r="P61" s="527" t="s">
        <v>1025</v>
      </c>
      <c r="Q61" s="526"/>
      <c r="R61" s="526"/>
      <c r="S61" s="522"/>
      <c r="T61" s="522"/>
      <c r="U61" s="522"/>
      <c r="V61" s="526"/>
      <c r="W61" s="526"/>
      <c r="X61" s="526"/>
      <c r="Y61" s="526"/>
      <c r="Z61" s="526"/>
      <c r="AA61" s="526"/>
      <c r="AB61" s="525" t="s">
        <v>1036</v>
      </c>
      <c r="AC61" s="522"/>
      <c r="AD61" s="522"/>
      <c r="AE61" s="522"/>
      <c r="AF61" s="522"/>
      <c r="AG61" s="522"/>
      <c r="AH61" s="522"/>
      <c r="AI61" s="522"/>
      <c r="AJ61" s="522"/>
      <c r="AK61" s="522"/>
      <c r="AL61" s="522"/>
      <c r="AM61" s="522"/>
      <c r="AN61" s="522"/>
    </row>
    <row r="62" spans="15:40" ht="15" customHeight="1">
      <c r="O62" s="526"/>
      <c r="P62" s="125" t="s">
        <v>83</v>
      </c>
      <c r="Q62" s="126">
        <v>12</v>
      </c>
      <c r="R62" s="126">
        <f>Q62+12</f>
        <v>24</v>
      </c>
      <c r="S62" s="126">
        <f>R62+12</f>
        <v>36</v>
      </c>
      <c r="T62" s="126">
        <f>S62+12</f>
        <v>48</v>
      </c>
      <c r="U62" s="127">
        <f>T62+12</f>
        <v>60</v>
      </c>
      <c r="V62" s="526"/>
      <c r="W62" s="526"/>
      <c r="X62" s="526"/>
      <c r="Y62" s="526"/>
      <c r="Z62" s="526"/>
      <c r="AA62" s="526"/>
      <c r="AB62" s="525" t="s">
        <v>1036</v>
      </c>
      <c r="AC62" s="522"/>
      <c r="AD62" s="522"/>
      <c r="AE62" s="522"/>
      <c r="AF62" s="522"/>
      <c r="AG62" s="522"/>
      <c r="AH62" s="522"/>
      <c r="AI62" s="522"/>
      <c r="AJ62" s="522"/>
      <c r="AK62" s="522"/>
      <c r="AL62" s="522"/>
      <c r="AM62" s="522"/>
      <c r="AN62" s="522"/>
    </row>
    <row r="63" spans="15:40" ht="15" customHeight="1">
      <c r="O63" s="526"/>
      <c r="P63" s="174">
        <f t="shared" ref="P63:U63" si="0">B27</f>
        <v>2021</v>
      </c>
      <c r="Q63" s="988">
        <f t="shared" si="0"/>
        <v>43200</v>
      </c>
      <c r="R63" s="988">
        <f t="shared" si="0"/>
        <v>58406.400000000001</v>
      </c>
      <c r="S63" s="988">
        <f t="shared" si="0"/>
        <v>67868.236799999999</v>
      </c>
      <c r="T63" s="988">
        <f t="shared" si="0"/>
        <v>66985.949721600002</v>
      </c>
      <c r="U63" s="989">
        <f t="shared" si="0"/>
        <v>66985.949721600002</v>
      </c>
      <c r="V63" s="526"/>
      <c r="W63" s="526"/>
      <c r="X63" s="526"/>
      <c r="Y63" s="526"/>
      <c r="Z63" s="526"/>
      <c r="AA63" s="526"/>
      <c r="AB63" s="525" t="s">
        <v>1036</v>
      </c>
      <c r="AC63" s="522"/>
      <c r="AD63" s="522"/>
      <c r="AE63" s="522"/>
      <c r="AF63" s="522"/>
      <c r="AG63" s="522"/>
      <c r="AH63" s="522"/>
      <c r="AI63" s="522"/>
      <c r="AJ63" s="522"/>
      <c r="AK63" s="522"/>
      <c r="AL63" s="522"/>
      <c r="AM63" s="522"/>
      <c r="AN63" s="522"/>
    </row>
    <row r="64" spans="15:40" ht="15" customHeight="1">
      <c r="O64" s="526"/>
      <c r="P64" s="174">
        <f>B28</f>
        <v>2022</v>
      </c>
      <c r="Q64" s="988">
        <f>C28</f>
        <v>45120</v>
      </c>
      <c r="R64" s="988">
        <f>D28</f>
        <v>64521.599999999999</v>
      </c>
      <c r="S64" s="988">
        <f>E28</f>
        <v>72006.10560000001</v>
      </c>
      <c r="T64" s="988">
        <f>F28</f>
        <v>81654.923750400005</v>
      </c>
      <c r="U64" s="989"/>
      <c r="V64" s="526"/>
      <c r="W64" s="526"/>
      <c r="X64" s="526"/>
      <c r="Y64" s="526"/>
      <c r="Z64" s="526"/>
      <c r="AA64" s="526"/>
      <c r="AB64" s="525" t="s">
        <v>1036</v>
      </c>
      <c r="AC64" s="522"/>
      <c r="AD64" s="522"/>
      <c r="AE64" s="522"/>
      <c r="AF64" s="522"/>
      <c r="AG64" s="522"/>
      <c r="AH64" s="522"/>
      <c r="AI64" s="522"/>
      <c r="AJ64" s="522"/>
      <c r="AK64" s="522"/>
      <c r="AL64" s="522"/>
      <c r="AM64" s="522"/>
      <c r="AN64" s="522"/>
    </row>
    <row r="65" spans="2:40" ht="15" customHeight="1">
      <c r="O65" s="526"/>
      <c r="P65" s="174">
        <f>B29</f>
        <v>2023</v>
      </c>
      <c r="Q65" s="988">
        <f>C29</f>
        <v>47940</v>
      </c>
      <c r="R65" s="988">
        <f>D29</f>
        <v>60452.34</v>
      </c>
      <c r="S65" s="988">
        <f>E29</f>
        <v>65348.979539999993</v>
      </c>
      <c r="T65" s="988"/>
      <c r="U65" s="989"/>
      <c r="V65" s="526"/>
      <c r="W65" s="526"/>
      <c r="X65" s="526"/>
      <c r="Y65" s="526"/>
      <c r="Z65" s="526"/>
      <c r="AA65" s="526"/>
      <c r="AB65" s="525" t="s">
        <v>1036</v>
      </c>
      <c r="AC65" s="522"/>
      <c r="AD65" s="522"/>
      <c r="AE65" s="522"/>
      <c r="AF65" s="522"/>
      <c r="AG65" s="522"/>
      <c r="AH65" s="522"/>
      <c r="AI65" s="522"/>
      <c r="AJ65" s="522"/>
      <c r="AK65" s="522"/>
      <c r="AL65" s="522"/>
      <c r="AM65" s="522"/>
      <c r="AN65" s="522"/>
    </row>
    <row r="66" spans="2:40" ht="15" customHeight="1">
      <c r="O66" s="526"/>
      <c r="P66" s="174">
        <f>B30</f>
        <v>2024</v>
      </c>
      <c r="Q66" s="988">
        <f>C30</f>
        <v>55800</v>
      </c>
      <c r="R66" s="988">
        <f>D30</f>
        <v>79068.600000000006</v>
      </c>
      <c r="S66" s="988"/>
      <c r="T66" s="988"/>
      <c r="U66" s="989"/>
      <c r="V66" s="526"/>
      <c r="W66" s="526"/>
      <c r="X66" s="526"/>
      <c r="Y66" s="526"/>
      <c r="Z66" s="526"/>
      <c r="AA66" s="526"/>
      <c r="AB66" s="525" t="s">
        <v>1036</v>
      </c>
      <c r="AC66" s="522"/>
      <c r="AD66" s="522"/>
      <c r="AE66" s="522"/>
      <c r="AF66" s="522"/>
      <c r="AG66" s="522"/>
      <c r="AH66" s="522"/>
      <c r="AI66" s="522"/>
      <c r="AJ66" s="522"/>
      <c r="AK66" s="522"/>
      <c r="AL66" s="522"/>
      <c r="AM66" s="522"/>
      <c r="AN66" s="522"/>
    </row>
    <row r="67" spans="2:40" ht="15" customHeight="1">
      <c r="O67" s="526"/>
      <c r="P67" s="175">
        <f>B31</f>
        <v>2025</v>
      </c>
      <c r="Q67" s="990">
        <f>C31</f>
        <v>69000</v>
      </c>
      <c r="R67" s="990"/>
      <c r="S67" s="990"/>
      <c r="T67" s="990"/>
      <c r="U67" s="991"/>
      <c r="V67" s="526"/>
      <c r="W67" s="526"/>
      <c r="X67" s="526"/>
      <c r="Y67" s="526"/>
      <c r="Z67" s="526"/>
      <c r="AA67" s="526"/>
      <c r="AB67" s="525" t="s">
        <v>1036</v>
      </c>
      <c r="AC67" s="522"/>
      <c r="AD67" s="522"/>
      <c r="AE67" s="522"/>
      <c r="AF67" s="522"/>
      <c r="AG67" s="522"/>
      <c r="AH67" s="522"/>
      <c r="AI67" s="522"/>
      <c r="AJ67" s="522"/>
      <c r="AK67" s="522"/>
      <c r="AL67" s="522"/>
      <c r="AM67" s="522"/>
      <c r="AN67" s="522"/>
    </row>
    <row r="68" spans="2:40" ht="15" customHeight="1">
      <c r="O68" s="526"/>
      <c r="P68" s="526"/>
      <c r="Q68" s="526"/>
      <c r="R68" s="526"/>
      <c r="S68" s="526"/>
      <c r="T68" s="526"/>
      <c r="U68" s="526"/>
      <c r="V68" s="526"/>
      <c r="W68" s="526"/>
      <c r="X68" s="526"/>
      <c r="Y68" s="526"/>
      <c r="Z68" s="526"/>
      <c r="AA68" s="526"/>
      <c r="AB68" s="525" t="s">
        <v>1036</v>
      </c>
      <c r="AC68" s="522"/>
      <c r="AD68" s="522"/>
      <c r="AE68" s="522"/>
      <c r="AF68" s="522"/>
      <c r="AG68" s="522"/>
      <c r="AH68" s="522"/>
      <c r="AI68" s="522"/>
      <c r="AJ68" s="522"/>
      <c r="AK68" s="522"/>
      <c r="AL68" s="522"/>
      <c r="AM68" s="522"/>
      <c r="AN68" s="522"/>
    </row>
    <row r="69" spans="2:40" ht="15" customHeight="1">
      <c r="O69" s="526"/>
      <c r="P69" s="527" t="s">
        <v>1025</v>
      </c>
      <c r="Q69" s="526"/>
      <c r="R69" s="526"/>
      <c r="S69" s="522"/>
      <c r="T69" s="522"/>
      <c r="U69" s="522"/>
      <c r="V69" s="526"/>
      <c r="W69" s="526"/>
      <c r="X69" s="526"/>
      <c r="Y69" s="526"/>
      <c r="Z69" s="526"/>
      <c r="AA69" s="526"/>
      <c r="AB69" s="525" t="s">
        <v>1036</v>
      </c>
      <c r="AC69" s="522"/>
      <c r="AD69" s="522"/>
      <c r="AE69" s="522"/>
      <c r="AF69" s="522"/>
      <c r="AG69" s="522"/>
      <c r="AH69" s="522"/>
      <c r="AI69" s="522"/>
      <c r="AJ69" s="522"/>
      <c r="AK69" s="522"/>
      <c r="AL69" s="522"/>
      <c r="AM69" s="522"/>
      <c r="AN69" s="522"/>
    </row>
    <row r="70" spans="2:40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O70" s="526"/>
      <c r="P70" s="125" t="s">
        <v>83</v>
      </c>
      <c r="Q70" s="992" t="s">
        <v>1077</v>
      </c>
      <c r="R70" s="992" t="s">
        <v>1078</v>
      </c>
      <c r="S70" s="992" t="s">
        <v>1079</v>
      </c>
      <c r="T70" s="992" t="s">
        <v>1080</v>
      </c>
      <c r="U70" s="127"/>
      <c r="V70" s="526"/>
      <c r="W70" s="526"/>
      <c r="X70" s="526"/>
      <c r="Y70" s="526"/>
      <c r="Z70" s="526"/>
      <c r="AA70" s="526"/>
      <c r="AB70" s="525" t="s">
        <v>1036</v>
      </c>
      <c r="AC70" s="522"/>
      <c r="AD70" s="522"/>
      <c r="AE70" s="522"/>
      <c r="AF70" s="522"/>
      <c r="AG70" s="522"/>
      <c r="AH70" s="522"/>
      <c r="AI70" s="522"/>
      <c r="AJ70" s="522"/>
      <c r="AK70" s="522"/>
      <c r="AL70" s="522"/>
      <c r="AM70" s="522"/>
      <c r="AN70" s="522"/>
    </row>
    <row r="71" spans="2:40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O71" s="526"/>
      <c r="P71" s="174">
        <f>B27</f>
        <v>2021</v>
      </c>
      <c r="Q71" s="993">
        <f>R63/Q63</f>
        <v>1.3520000000000001</v>
      </c>
      <c r="R71" s="993">
        <f t="shared" ref="R71:S73" si="1">S63/R63</f>
        <v>1.1619999999999999</v>
      </c>
      <c r="S71" s="993">
        <f t="shared" si="1"/>
        <v>0.9870000000000001</v>
      </c>
      <c r="T71" s="993">
        <f>U63/T63</f>
        <v>1</v>
      </c>
      <c r="U71" s="994"/>
      <c r="V71" s="526"/>
      <c r="W71" s="526"/>
      <c r="X71" s="526"/>
      <c r="Y71" s="526"/>
      <c r="Z71" s="526"/>
      <c r="AA71" s="526"/>
      <c r="AB71" s="525" t="s">
        <v>1036</v>
      </c>
      <c r="AC71" s="522"/>
      <c r="AD71" s="522"/>
      <c r="AE71" s="522"/>
      <c r="AF71" s="522"/>
      <c r="AG71" s="522"/>
      <c r="AH71" s="522"/>
      <c r="AI71" s="522"/>
      <c r="AJ71" s="522"/>
      <c r="AK71" s="522"/>
      <c r="AL71" s="522"/>
      <c r="AM71" s="522"/>
      <c r="AN71" s="522"/>
    </row>
    <row r="72" spans="2:40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O72" s="526"/>
      <c r="P72" s="174">
        <f>B28</f>
        <v>2022</v>
      </c>
      <c r="Q72" s="993">
        <f>R64/Q64</f>
        <v>1.43</v>
      </c>
      <c r="R72" s="993">
        <f t="shared" si="1"/>
        <v>1.1160000000000001</v>
      </c>
      <c r="S72" s="993">
        <f t="shared" si="1"/>
        <v>1.1339999999999999</v>
      </c>
      <c r="T72" s="993"/>
      <c r="U72" s="994"/>
      <c r="V72" s="526"/>
      <c r="W72" s="526"/>
      <c r="X72" s="526"/>
      <c r="Y72" s="526"/>
      <c r="Z72" s="526"/>
      <c r="AA72" s="526"/>
      <c r="AB72" s="525" t="s">
        <v>1036</v>
      </c>
      <c r="AC72" s="522"/>
      <c r="AD72" s="522"/>
      <c r="AE72" s="522"/>
      <c r="AF72" s="522"/>
      <c r="AG72" s="522"/>
      <c r="AH72" s="522"/>
      <c r="AI72" s="522"/>
      <c r="AJ72" s="522"/>
      <c r="AK72" s="522"/>
      <c r="AL72" s="522"/>
      <c r="AM72" s="522"/>
      <c r="AN72" s="522"/>
    </row>
    <row r="73" spans="2:40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O73" s="526"/>
      <c r="P73" s="174">
        <f>B29</f>
        <v>2023</v>
      </c>
      <c r="Q73" s="993">
        <f>R65/Q65</f>
        <v>1.2609999999999999</v>
      </c>
      <c r="R73" s="993">
        <f t="shared" si="1"/>
        <v>1.081</v>
      </c>
      <c r="S73" s="993"/>
      <c r="T73" s="993"/>
      <c r="U73" s="994"/>
      <c r="V73" s="526"/>
      <c r="W73" s="526"/>
      <c r="X73" s="526"/>
      <c r="Y73" s="526"/>
      <c r="Z73" s="526"/>
      <c r="AA73" s="526"/>
      <c r="AB73" s="525" t="s">
        <v>1036</v>
      </c>
      <c r="AC73" s="522"/>
      <c r="AD73" s="522"/>
      <c r="AE73" s="522"/>
      <c r="AF73" s="522"/>
      <c r="AG73" s="522"/>
      <c r="AH73" s="522"/>
      <c r="AI73" s="522"/>
      <c r="AJ73" s="522"/>
      <c r="AK73" s="522"/>
      <c r="AL73" s="522"/>
      <c r="AM73" s="522"/>
      <c r="AN73" s="522"/>
    </row>
    <row r="74" spans="2:40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O74" s="526"/>
      <c r="P74" s="174">
        <f>B30</f>
        <v>2024</v>
      </c>
      <c r="Q74" s="993">
        <f>R66/Q66</f>
        <v>1.417</v>
      </c>
      <c r="R74" s="993"/>
      <c r="S74" s="993"/>
      <c r="T74" s="993"/>
      <c r="U74" s="994"/>
      <c r="V74" s="526"/>
      <c r="W74" s="526"/>
      <c r="X74" s="526"/>
      <c r="Y74" s="526"/>
      <c r="Z74" s="526"/>
      <c r="AA74" s="526"/>
      <c r="AB74" s="525" t="s">
        <v>1036</v>
      </c>
      <c r="AC74" s="522"/>
      <c r="AD74" s="522"/>
      <c r="AE74" s="522"/>
      <c r="AF74" s="522"/>
      <c r="AG74" s="522"/>
      <c r="AH74" s="522"/>
      <c r="AI74" s="522"/>
      <c r="AJ74" s="522"/>
      <c r="AK74" s="522"/>
      <c r="AL74" s="522"/>
      <c r="AM74" s="522"/>
      <c r="AN74" s="522"/>
    </row>
    <row r="75" spans="2:40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O75" s="522"/>
      <c r="P75" s="175">
        <f>B31</f>
        <v>2025</v>
      </c>
      <c r="Q75" s="995"/>
      <c r="R75" s="995"/>
      <c r="S75" s="995"/>
      <c r="T75" s="995"/>
      <c r="U75" s="996"/>
      <c r="V75" s="522"/>
      <c r="W75" s="522"/>
      <c r="X75" s="522"/>
      <c r="Y75" s="522"/>
      <c r="Z75" s="522"/>
      <c r="AA75" s="522"/>
      <c r="AB75" s="525" t="s">
        <v>1036</v>
      </c>
      <c r="AC75" s="522"/>
      <c r="AD75" s="522"/>
      <c r="AE75" s="522"/>
      <c r="AF75" s="522"/>
      <c r="AG75" s="522"/>
      <c r="AH75" s="522"/>
      <c r="AI75" s="522"/>
      <c r="AJ75" s="522"/>
      <c r="AK75" s="522"/>
      <c r="AL75" s="522"/>
      <c r="AM75" s="522"/>
      <c r="AN75" s="522"/>
    </row>
    <row r="76" spans="2:40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O76" s="522"/>
      <c r="P76" s="44" t="s">
        <v>240</v>
      </c>
      <c r="Q76" s="997">
        <f>ROUND(AVERAGE(Q71:Q74),3)</f>
        <v>1.365</v>
      </c>
      <c r="R76" s="997">
        <f>ROUND(AVERAGE(R71:R74),3)</f>
        <v>1.1200000000000001</v>
      </c>
      <c r="S76" s="997">
        <f>ROUND(AVERAGE(S71:S74),3)</f>
        <v>1.0609999999999999</v>
      </c>
      <c r="T76" s="997">
        <f>ROUND(AVERAGE(T71:T74),3)</f>
        <v>1</v>
      </c>
      <c r="U76" s="998">
        <f>1</f>
        <v>1</v>
      </c>
      <c r="V76" s="46" t="s">
        <v>1081</v>
      </c>
      <c r="W76" s="522"/>
      <c r="X76" s="522"/>
      <c r="Y76" s="522"/>
      <c r="Z76" s="522"/>
      <c r="AA76" s="522"/>
      <c r="AB76" s="525" t="s">
        <v>1036</v>
      </c>
      <c r="AC76" s="522"/>
      <c r="AD76" s="522"/>
      <c r="AE76" s="522"/>
      <c r="AF76" s="522"/>
      <c r="AG76" s="522"/>
      <c r="AH76" s="522"/>
      <c r="AI76" s="522"/>
      <c r="AJ76" s="522"/>
      <c r="AK76" s="522"/>
      <c r="AL76" s="522"/>
      <c r="AM76" s="522"/>
      <c r="AN76" s="522"/>
    </row>
    <row r="77" spans="2:40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O77" s="522"/>
      <c r="P77" s="999" t="s">
        <v>306</v>
      </c>
      <c r="Q77" s="1000">
        <f>ROUND(R77*Q76,3)</f>
        <v>1.6220000000000001</v>
      </c>
      <c r="R77" s="1000">
        <f>ROUND(S77*R76,3)</f>
        <v>1.1879999999999999</v>
      </c>
      <c r="S77" s="1000">
        <f>ROUND(T77*S76,3)</f>
        <v>1.0609999999999999</v>
      </c>
      <c r="T77" s="1000">
        <f>ROUND(U77*T76,3)</f>
        <v>1</v>
      </c>
      <c r="U77" s="1001">
        <f>U76</f>
        <v>1</v>
      </c>
      <c r="V77" s="522"/>
      <c r="W77" s="522"/>
      <c r="X77" s="522"/>
      <c r="Y77" s="522"/>
      <c r="Z77" s="522"/>
      <c r="AA77" s="522"/>
      <c r="AB77" s="525" t="s">
        <v>1036</v>
      </c>
      <c r="AC77" s="522"/>
      <c r="AD77" s="522"/>
      <c r="AE77" s="522"/>
      <c r="AF77" s="522"/>
      <c r="AG77" s="522"/>
      <c r="AH77" s="522"/>
      <c r="AI77" s="522"/>
      <c r="AJ77" s="522"/>
      <c r="AK77" s="522"/>
      <c r="AL77" s="522"/>
      <c r="AM77" s="522"/>
      <c r="AN77" s="522"/>
    </row>
    <row r="78" spans="2:40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O78" s="522"/>
      <c r="P78" s="522"/>
      <c r="Q78" s="522"/>
      <c r="R78" s="522"/>
      <c r="S78" s="522"/>
      <c r="T78" s="522"/>
      <c r="U78" s="522"/>
      <c r="V78" s="522"/>
      <c r="W78" s="522"/>
      <c r="X78" s="522"/>
      <c r="Y78" s="522"/>
      <c r="Z78" s="522"/>
      <c r="AA78" s="522"/>
      <c r="AB78" s="525" t="s">
        <v>1036</v>
      </c>
      <c r="AC78" s="522"/>
      <c r="AD78" s="522"/>
      <c r="AE78" s="522"/>
      <c r="AF78" s="522"/>
      <c r="AG78" s="522"/>
      <c r="AH78" s="522"/>
      <c r="AI78" s="522"/>
      <c r="AJ78" s="522"/>
      <c r="AK78" s="522"/>
      <c r="AL78" s="522"/>
      <c r="AM78" s="522"/>
      <c r="AN78" s="522"/>
    </row>
    <row r="79" spans="2:40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O79" s="652" t="s">
        <v>1082</v>
      </c>
      <c r="P79" s="522" t="s">
        <v>1083</v>
      </c>
      <c r="Q79" s="522"/>
      <c r="R79" s="522"/>
      <c r="S79" s="522"/>
      <c r="T79" s="522"/>
      <c r="U79" s="522"/>
      <c r="V79" s="522"/>
      <c r="W79" s="522"/>
      <c r="X79" s="522"/>
      <c r="Y79" s="522"/>
      <c r="Z79" s="522"/>
      <c r="AA79" s="522"/>
      <c r="AB79" s="525" t="s">
        <v>1036</v>
      </c>
      <c r="AC79" s="522"/>
      <c r="AD79" s="522"/>
      <c r="AE79" s="522"/>
      <c r="AF79" s="522"/>
      <c r="AG79" s="522"/>
      <c r="AH79" s="522"/>
      <c r="AI79" s="522"/>
      <c r="AJ79" s="522"/>
      <c r="AK79" s="522"/>
      <c r="AL79" s="522"/>
      <c r="AM79" s="522"/>
      <c r="AN79" s="522"/>
    </row>
    <row r="80" spans="2:40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O80" s="522"/>
      <c r="P80" s="522"/>
      <c r="Q80" s="522"/>
      <c r="R80" s="522"/>
      <c r="S80" s="522"/>
      <c r="T80" s="522"/>
      <c r="U80" s="522"/>
      <c r="V80" s="522"/>
      <c r="W80" s="522"/>
      <c r="X80" s="522"/>
      <c r="Y80" s="522"/>
      <c r="Z80" s="522"/>
      <c r="AA80" s="522"/>
      <c r="AB80" s="525" t="s">
        <v>1036</v>
      </c>
      <c r="AC80" s="522"/>
      <c r="AD80" s="522"/>
      <c r="AE80" s="522"/>
      <c r="AF80" s="522"/>
      <c r="AG80" s="522"/>
      <c r="AH80" s="522"/>
      <c r="AI80" s="522"/>
      <c r="AJ80" s="522"/>
      <c r="AK80" s="522"/>
      <c r="AL80" s="522"/>
      <c r="AM80" s="522"/>
      <c r="AN80" s="522"/>
    </row>
    <row r="81" spans="2:40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O81" s="522"/>
      <c r="P81" s="622" t="s">
        <v>103</v>
      </c>
      <c r="Q81" s="622" t="s">
        <v>104</v>
      </c>
      <c r="R81" s="622" t="s">
        <v>105</v>
      </c>
      <c r="S81" s="622" t="s">
        <v>106</v>
      </c>
      <c r="T81" s="622" t="s">
        <v>1070</v>
      </c>
      <c r="U81" s="523"/>
      <c r="V81" s="522"/>
      <c r="W81" s="522"/>
      <c r="X81" s="522"/>
      <c r="Y81" s="522"/>
      <c r="Z81" s="522"/>
      <c r="AA81" s="522"/>
      <c r="AB81" s="525" t="s">
        <v>1036</v>
      </c>
      <c r="AC81" s="522"/>
      <c r="AD81" s="522"/>
      <c r="AE81" s="522"/>
      <c r="AF81" s="522"/>
      <c r="AG81" s="522"/>
      <c r="AH81" s="522"/>
      <c r="AI81" s="522"/>
      <c r="AJ81" s="522"/>
      <c r="AK81" s="522"/>
      <c r="AL81" s="522"/>
      <c r="AM81" s="522"/>
      <c r="AN81" s="522"/>
    </row>
    <row r="82" spans="2:40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O82" s="522"/>
      <c r="P82" s="125" t="s">
        <v>83</v>
      </c>
      <c r="Q82" s="126" t="s">
        <v>1084</v>
      </c>
      <c r="R82" s="126" t="s">
        <v>270</v>
      </c>
      <c r="S82" s="127" t="s">
        <v>1072</v>
      </c>
      <c r="T82" s="1022" t="s">
        <v>1085</v>
      </c>
      <c r="U82" s="1009"/>
      <c r="V82" s="522"/>
      <c r="W82" s="522"/>
      <c r="X82" s="522"/>
      <c r="Y82" s="522"/>
      <c r="Z82" s="522"/>
      <c r="AA82" s="522"/>
      <c r="AB82" s="525" t="s">
        <v>1036</v>
      </c>
      <c r="AC82" s="522"/>
      <c r="AD82" s="522"/>
      <c r="AE82" s="522"/>
      <c r="AF82" s="522"/>
      <c r="AG82" s="522"/>
      <c r="AH82" s="522"/>
      <c r="AI82" s="522"/>
      <c r="AJ82" s="522"/>
      <c r="AK82" s="522"/>
      <c r="AL82" s="522"/>
      <c r="AM82" s="522"/>
      <c r="AN82" s="522"/>
    </row>
    <row r="83" spans="2:40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O83" s="522"/>
      <c r="P83" s="174">
        <f>B22</f>
        <v>2024</v>
      </c>
      <c r="Q83" s="109">
        <f>R66</f>
        <v>79068.600000000006</v>
      </c>
      <c r="R83" s="767">
        <f>R77</f>
        <v>1.1879999999999999</v>
      </c>
      <c r="S83" s="986" t="str">
        <f>1+G22 &amp; " ^ " &amp; (R9+P84-P83)</f>
        <v>0.998 ^ 3</v>
      </c>
      <c r="T83" s="1034">
        <f>Q83*R83*(1+G22)^(R9+P84-P83)</f>
        <v>93371.02226969364</v>
      </c>
      <c r="U83" s="1035"/>
      <c r="V83" s="216" t="s">
        <v>1086</v>
      </c>
      <c r="W83" s="522"/>
      <c r="X83" s="522"/>
      <c r="Y83" s="522"/>
      <c r="Z83" s="522"/>
      <c r="AA83" s="522"/>
      <c r="AB83" s="525" t="s">
        <v>1036</v>
      </c>
      <c r="AC83" s="522"/>
      <c r="AD83" s="522"/>
      <c r="AE83" s="522"/>
      <c r="AF83" s="522"/>
      <c r="AG83" s="522"/>
      <c r="AH83" s="522"/>
      <c r="AI83" s="522"/>
      <c r="AJ83" s="522"/>
      <c r="AK83" s="522"/>
      <c r="AL83" s="522"/>
      <c r="AM83" s="522"/>
      <c r="AN83" s="522"/>
    </row>
    <row r="84" spans="2:40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O84" s="522"/>
      <c r="P84" s="175">
        <f>B23</f>
        <v>2025</v>
      </c>
      <c r="Q84" s="535">
        <f>Q67</f>
        <v>69000</v>
      </c>
      <c r="R84" s="1002">
        <f>Q77</f>
        <v>1.6220000000000001</v>
      </c>
      <c r="S84" s="538" t="str">
        <f>1+G22 &amp; " ^ " &amp; (R9+P84-P84)</f>
        <v>0.998 ^ 2</v>
      </c>
      <c r="T84" s="1036">
        <f>Q84*R84*(1+G22)^(R9+P84-P84)</f>
        <v>111470.77567200002</v>
      </c>
      <c r="U84" s="1037"/>
      <c r="V84" s="216" t="s">
        <v>1086</v>
      </c>
      <c r="W84" s="522"/>
      <c r="X84" s="522"/>
      <c r="Y84" s="522"/>
      <c r="Z84" s="522"/>
      <c r="AA84" s="522"/>
      <c r="AB84" s="525" t="s">
        <v>1036</v>
      </c>
      <c r="AC84" s="522"/>
      <c r="AD84" s="522"/>
      <c r="AE84" s="522"/>
      <c r="AF84" s="522"/>
      <c r="AG84" s="522"/>
      <c r="AH84" s="522"/>
      <c r="AI84" s="522"/>
      <c r="AJ84" s="522"/>
      <c r="AK84" s="522"/>
      <c r="AL84" s="522"/>
      <c r="AM84" s="522"/>
      <c r="AN84" s="522"/>
    </row>
    <row r="85" spans="2:40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O85" s="522"/>
      <c r="P85" s="522"/>
      <c r="Q85" s="522"/>
      <c r="R85" s="522"/>
      <c r="S85" s="522"/>
      <c r="T85" s="522"/>
      <c r="U85" s="522"/>
      <c r="V85" s="522"/>
      <c r="W85" s="522"/>
      <c r="X85" s="522"/>
      <c r="Y85" s="522"/>
      <c r="Z85" s="522"/>
      <c r="AA85" s="522"/>
      <c r="AB85" s="525" t="s">
        <v>1036</v>
      </c>
      <c r="AC85" s="522"/>
      <c r="AD85" s="522"/>
      <c r="AE85" s="522"/>
      <c r="AF85" s="522"/>
      <c r="AG85" s="522"/>
      <c r="AH85" s="522"/>
      <c r="AI85" s="522"/>
      <c r="AJ85" s="522"/>
      <c r="AK85" s="522"/>
      <c r="AL85" s="522"/>
      <c r="AM85" s="522"/>
      <c r="AN85" s="522"/>
    </row>
    <row r="86" spans="2:40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O86" s="157" t="s">
        <v>1087</v>
      </c>
      <c r="P86" s="522" t="s">
        <v>1088</v>
      </c>
      <c r="Q86" s="522"/>
      <c r="R86" s="522"/>
      <c r="S86" s="522"/>
      <c r="T86" s="522"/>
      <c r="U86" s="522"/>
      <c r="V86" s="522"/>
      <c r="W86" s="522"/>
      <c r="X86" s="522"/>
      <c r="Y86" s="522"/>
      <c r="Z86" s="522"/>
      <c r="AA86" s="522"/>
      <c r="AB86" s="525" t="s">
        <v>1036</v>
      </c>
      <c r="AC86" s="522"/>
      <c r="AD86" s="522"/>
      <c r="AE86" s="522"/>
      <c r="AF86" s="522"/>
      <c r="AG86" s="522"/>
      <c r="AH86" s="522"/>
      <c r="AI86" s="522"/>
      <c r="AJ86" s="522"/>
      <c r="AK86" s="522"/>
      <c r="AL86" s="522"/>
      <c r="AM86" s="522"/>
      <c r="AN86" s="522"/>
    </row>
    <row r="87" spans="2:40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O87" s="522"/>
      <c r="P87" s="522"/>
      <c r="Q87" s="522"/>
      <c r="R87" s="522"/>
      <c r="S87" s="522"/>
      <c r="T87" s="522"/>
      <c r="U87" s="522"/>
      <c r="V87" s="522"/>
      <c r="W87" s="522"/>
      <c r="X87" s="522"/>
      <c r="Y87" s="522"/>
      <c r="Z87" s="522"/>
      <c r="AA87" s="522"/>
      <c r="AB87" s="525" t="s">
        <v>1036</v>
      </c>
      <c r="AC87" s="522"/>
      <c r="AD87" s="522"/>
      <c r="AE87" s="522"/>
      <c r="AF87" s="522"/>
      <c r="AG87" s="522"/>
      <c r="AH87" s="522"/>
      <c r="AI87" s="522"/>
      <c r="AJ87" s="522"/>
      <c r="AK87" s="522"/>
      <c r="AL87" s="522"/>
      <c r="AM87" s="522"/>
      <c r="AN87" s="522"/>
    </row>
    <row r="88" spans="2:40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O88" s="522"/>
      <c r="P88" s="522" t="s">
        <v>1089</v>
      </c>
      <c r="Q88" s="522"/>
      <c r="R88" s="522"/>
      <c r="S88" s="522"/>
      <c r="T88" s="522"/>
      <c r="U88" s="522"/>
      <c r="V88" s="522"/>
      <c r="W88" s="522"/>
      <c r="X88" s="522"/>
      <c r="Y88" s="522"/>
      <c r="Z88" s="522"/>
      <c r="AA88" s="522"/>
      <c r="AB88" s="525" t="s">
        <v>1036</v>
      </c>
      <c r="AC88" s="522"/>
      <c r="AD88" s="522"/>
      <c r="AE88" s="522"/>
      <c r="AF88" s="522"/>
      <c r="AG88" s="522"/>
      <c r="AH88" s="522"/>
      <c r="AI88" s="522"/>
      <c r="AJ88" s="522"/>
      <c r="AK88" s="522"/>
      <c r="AL88" s="522"/>
      <c r="AM88" s="522"/>
      <c r="AN88" s="522"/>
    </row>
    <row r="89" spans="2:40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O89" s="522"/>
      <c r="P89" s="522"/>
      <c r="Q89" s="525" t="s">
        <v>33</v>
      </c>
      <c r="R89" s="591" t="s">
        <v>1090</v>
      </c>
      <c r="S89" s="522"/>
      <c r="T89" s="622" t="s">
        <v>35</v>
      </c>
      <c r="U89" s="522" t="s">
        <v>1091</v>
      </c>
      <c r="V89" s="522"/>
      <c r="W89" s="522"/>
      <c r="X89" s="522"/>
      <c r="Y89" s="522"/>
      <c r="Z89" s="522"/>
      <c r="AA89" s="522"/>
      <c r="AB89" s="525" t="s">
        <v>1036</v>
      </c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</row>
    <row r="90" spans="2:40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O90" s="522"/>
      <c r="P90" s="522"/>
      <c r="Q90" s="522"/>
      <c r="R90" s="522"/>
      <c r="S90" s="522"/>
      <c r="T90" s="522"/>
      <c r="U90" s="522"/>
      <c r="V90" s="522"/>
      <c r="W90" s="522"/>
      <c r="X90" s="522"/>
      <c r="Y90" s="522"/>
      <c r="Z90" s="522"/>
      <c r="AA90" s="522"/>
      <c r="AB90" s="525" t="s">
        <v>1036</v>
      </c>
      <c r="AC90" s="522"/>
      <c r="AD90" s="522"/>
      <c r="AE90" s="522"/>
      <c r="AF90" s="522"/>
      <c r="AG90" s="522"/>
      <c r="AH90" s="522"/>
      <c r="AI90" s="522"/>
      <c r="AJ90" s="522"/>
      <c r="AK90" s="522"/>
      <c r="AL90" s="522"/>
      <c r="AM90" s="522"/>
      <c r="AN90" s="522"/>
    </row>
    <row r="91" spans="2:40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O91" s="522"/>
      <c r="P91" s="522"/>
      <c r="Q91" s="525" t="s">
        <v>33</v>
      </c>
      <c r="R91" s="1032">
        <f>T83</f>
        <v>93371.02226969364</v>
      </c>
      <c r="S91" s="1033"/>
      <c r="T91" s="1003" t="s">
        <v>34</v>
      </c>
      <c r="U91" s="1032">
        <f>T84</f>
        <v>111470.77567200002</v>
      </c>
      <c r="V91" s="1033"/>
      <c r="W91" s="522"/>
      <c r="X91" s="522"/>
      <c r="Y91" s="522"/>
      <c r="Z91" s="522"/>
      <c r="AA91" s="522"/>
      <c r="AB91" s="525" t="s">
        <v>1036</v>
      </c>
      <c r="AC91" s="522"/>
      <c r="AD91" s="522"/>
      <c r="AE91" s="522"/>
      <c r="AF91" s="522"/>
      <c r="AG91" s="522"/>
      <c r="AH91" s="522"/>
      <c r="AI91" s="522"/>
      <c r="AJ91" s="522"/>
      <c r="AK91" s="522"/>
      <c r="AL91" s="522"/>
      <c r="AM91" s="522"/>
      <c r="AN91" s="522"/>
    </row>
    <row r="92" spans="2:40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O92" s="522"/>
      <c r="P92" s="522"/>
      <c r="Q92" s="522"/>
      <c r="R92" s="1030">
        <f>T56</f>
        <v>133048.98145518545</v>
      </c>
      <c r="S92" s="1031"/>
      <c r="T92" s="1004" t="s">
        <v>34</v>
      </c>
      <c r="U92" s="1030">
        <f>T57</f>
        <v>139755.6226913904</v>
      </c>
      <c r="V92" s="1031"/>
      <c r="W92" s="522"/>
      <c r="X92" s="522"/>
      <c r="Y92" s="522"/>
      <c r="Z92" s="522"/>
      <c r="AA92" s="522"/>
      <c r="AB92" s="525" t="s">
        <v>1036</v>
      </c>
      <c r="AC92" s="522"/>
      <c r="AD92" s="522"/>
      <c r="AE92" s="522"/>
      <c r="AF92" s="522"/>
      <c r="AG92" s="522"/>
      <c r="AH92" s="522"/>
      <c r="AI92" s="522"/>
      <c r="AJ92" s="522"/>
      <c r="AK92" s="522"/>
      <c r="AL92" s="522"/>
      <c r="AM92" s="522"/>
      <c r="AN92" s="522"/>
    </row>
    <row r="93" spans="2:40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2"/>
      <c r="AA93" s="522"/>
      <c r="AB93" s="525" t="s">
        <v>1036</v>
      </c>
      <c r="AC93" s="522"/>
      <c r="AD93" s="522"/>
      <c r="AE93" s="522"/>
      <c r="AF93" s="522"/>
      <c r="AG93" s="522"/>
      <c r="AH93" s="522"/>
      <c r="AI93" s="522"/>
      <c r="AJ93" s="522"/>
      <c r="AK93" s="522"/>
      <c r="AL93" s="522"/>
      <c r="AM93" s="522"/>
      <c r="AN93" s="522"/>
    </row>
    <row r="94" spans="2:40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O94" s="522"/>
      <c r="P94" s="522"/>
      <c r="Q94" s="525" t="s">
        <v>33</v>
      </c>
      <c r="R94" s="588">
        <f>ROUND((R91+U91) / (R92+U92), 3)</f>
        <v>0.751</v>
      </c>
      <c r="S94" s="522"/>
      <c r="T94" s="522"/>
      <c r="U94" s="522"/>
      <c r="V94" s="522"/>
      <c r="W94" s="522"/>
      <c r="X94" s="522"/>
      <c r="Y94" s="522"/>
      <c r="Z94" s="522"/>
      <c r="AA94" s="522"/>
      <c r="AB94" s="525" t="s">
        <v>1036</v>
      </c>
      <c r="AC94" s="522"/>
      <c r="AD94" s="522"/>
      <c r="AE94" s="522"/>
      <c r="AF94" s="522"/>
      <c r="AG94" s="522"/>
      <c r="AH94" s="522"/>
      <c r="AI94" s="522"/>
      <c r="AJ94" s="522"/>
      <c r="AK94" s="522"/>
      <c r="AL94" s="522"/>
      <c r="AM94" s="522"/>
      <c r="AN94" s="522"/>
    </row>
    <row r="95" spans="2:40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O95" s="522"/>
      <c r="P95" s="522"/>
      <c r="Q95" s="522"/>
      <c r="R95" s="522"/>
      <c r="S95" s="522"/>
      <c r="T95" s="522"/>
      <c r="U95" s="522"/>
      <c r="V95" s="522"/>
      <c r="W95" s="522"/>
      <c r="X95" s="522"/>
      <c r="Y95" s="522"/>
      <c r="Z95" s="522"/>
      <c r="AA95" s="522"/>
      <c r="AB95" s="525" t="s">
        <v>1036</v>
      </c>
      <c r="AC95" s="522"/>
      <c r="AD95" s="522"/>
      <c r="AE95" s="522"/>
      <c r="AF95" s="522"/>
      <c r="AG95" s="522"/>
      <c r="AH95" s="522"/>
      <c r="AI95" s="522"/>
      <c r="AJ95" s="522"/>
      <c r="AK95" s="522"/>
      <c r="AL95" s="522"/>
      <c r="AM95" s="522"/>
      <c r="AN95" s="522"/>
    </row>
    <row r="96" spans="2:40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O96" s="157" t="s">
        <v>1092</v>
      </c>
      <c r="P96" s="522" t="s">
        <v>1093</v>
      </c>
      <c r="Q96" s="522"/>
      <c r="R96" s="522"/>
      <c r="S96" s="522"/>
      <c r="T96" s="522"/>
      <c r="U96" s="522"/>
      <c r="V96" s="522"/>
      <c r="W96" s="522"/>
      <c r="X96" s="522"/>
      <c r="Y96" s="522"/>
      <c r="Z96" s="522"/>
      <c r="AA96" s="522"/>
      <c r="AB96" s="525" t="s">
        <v>1036</v>
      </c>
      <c r="AC96" s="522"/>
      <c r="AD96" s="522"/>
      <c r="AE96" s="522"/>
      <c r="AF96" s="522"/>
      <c r="AG96" s="522"/>
      <c r="AH96" s="522"/>
      <c r="AI96" s="522"/>
      <c r="AJ96" s="522"/>
      <c r="AK96" s="522"/>
      <c r="AL96" s="522"/>
      <c r="AM96" s="522"/>
      <c r="AN96" s="522"/>
    </row>
    <row r="97" spans="2:40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O97" s="522"/>
      <c r="P97" s="522"/>
      <c r="Q97" s="522"/>
      <c r="R97" s="522"/>
      <c r="S97" s="522"/>
      <c r="T97" s="522"/>
      <c r="U97" s="522"/>
      <c r="V97" s="522"/>
      <c r="W97" s="522"/>
      <c r="X97" s="522"/>
      <c r="Y97" s="522"/>
      <c r="Z97" s="522"/>
      <c r="AA97" s="522"/>
      <c r="AB97" s="525" t="s">
        <v>1036</v>
      </c>
      <c r="AC97" s="522"/>
      <c r="AD97" s="522"/>
      <c r="AE97" s="522"/>
      <c r="AF97" s="522"/>
      <c r="AG97" s="522"/>
      <c r="AH97" s="522"/>
      <c r="AI97" s="522"/>
      <c r="AJ97" s="522"/>
      <c r="AK97" s="522"/>
      <c r="AL97" s="522"/>
      <c r="AM97" s="522"/>
      <c r="AN97" s="522"/>
    </row>
    <row r="98" spans="2:40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O98" s="522"/>
      <c r="P98" s="522" t="s">
        <v>1094</v>
      </c>
      <c r="Q98" s="522"/>
      <c r="R98" s="522"/>
      <c r="S98" s="522"/>
      <c r="T98" s="522"/>
      <c r="U98" s="522"/>
      <c r="V98" s="522"/>
      <c r="W98" s="522"/>
      <c r="X98" s="522" t="s">
        <v>1104</v>
      </c>
      <c r="Y98" s="522"/>
      <c r="Z98" s="522"/>
      <c r="AA98" s="522"/>
      <c r="AB98" s="525" t="s">
        <v>1036</v>
      </c>
      <c r="AC98" s="522"/>
      <c r="AD98" s="522"/>
      <c r="AE98" s="522"/>
      <c r="AF98" s="522"/>
      <c r="AG98" s="522"/>
      <c r="AH98" s="522"/>
      <c r="AI98" s="522"/>
      <c r="AJ98" s="522"/>
      <c r="AK98" s="522"/>
      <c r="AL98" s="522"/>
      <c r="AM98" s="522"/>
      <c r="AN98" s="522"/>
    </row>
    <row r="99" spans="2:40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O99" s="522"/>
      <c r="P99" s="522"/>
      <c r="Q99" s="525" t="s">
        <v>33</v>
      </c>
      <c r="R99" s="526" t="s">
        <v>1105</v>
      </c>
      <c r="S99" s="526"/>
      <c r="T99" s="44"/>
      <c r="U99" s="622"/>
      <c r="V99" s="156" t="s">
        <v>35</v>
      </c>
      <c r="W99" s="526" t="s">
        <v>121</v>
      </c>
      <c r="X99" s="168" t="s">
        <v>123</v>
      </c>
      <c r="Y99" s="169">
        <v>1</v>
      </c>
      <c r="Z99" s="522"/>
      <c r="AA99" s="522"/>
      <c r="AB99" s="525" t="s">
        <v>1036</v>
      </c>
      <c r="AC99" s="522"/>
      <c r="AD99" s="522"/>
      <c r="AE99" s="522"/>
      <c r="AF99" s="522"/>
      <c r="AG99" s="522"/>
      <c r="AH99" s="522"/>
      <c r="AI99" s="522"/>
      <c r="AJ99" s="522"/>
      <c r="AK99" s="522"/>
      <c r="AL99" s="522"/>
      <c r="AM99" s="522"/>
      <c r="AN99" s="522"/>
    </row>
    <row r="100" spans="2:40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O100" s="522"/>
      <c r="P100" s="522"/>
      <c r="Q100" s="522"/>
      <c r="R100" s="522"/>
      <c r="S100" s="522"/>
      <c r="T100" s="522"/>
      <c r="U100" s="522"/>
      <c r="V100" s="522"/>
      <c r="W100" s="522"/>
      <c r="X100" s="522"/>
      <c r="Y100" s="522"/>
      <c r="Z100" s="522"/>
      <c r="AA100" s="522"/>
      <c r="AB100" s="525" t="s">
        <v>1036</v>
      </c>
      <c r="AC100" s="522"/>
      <c r="AD100" s="522"/>
      <c r="AE100" s="522"/>
      <c r="AF100" s="522"/>
      <c r="AG100" s="522"/>
      <c r="AH100" s="522"/>
      <c r="AI100" s="522"/>
      <c r="AJ100" s="522"/>
      <c r="AK100" s="522"/>
      <c r="AL100" s="522"/>
      <c r="AM100" s="522"/>
      <c r="AN100" s="522"/>
    </row>
    <row r="101" spans="2:40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O101" s="522"/>
      <c r="P101" s="522"/>
      <c r="Q101" s="525" t="s">
        <v>33</v>
      </c>
      <c r="R101" s="1003" t="s">
        <v>1106</v>
      </c>
      <c r="S101" s="1005">
        <f>R94</f>
        <v>0.751</v>
      </c>
      <c r="T101" s="43" t="s">
        <v>150</v>
      </c>
      <c r="U101" s="1024">
        <f>1+L24</f>
        <v>1.028</v>
      </c>
      <c r="V101" s="1003" t="s">
        <v>195</v>
      </c>
      <c r="W101" s="43" t="s">
        <v>34</v>
      </c>
      <c r="X101" s="638" t="str">
        <f>L21*100 &amp; "% )"</f>
        <v>3.7% )</v>
      </c>
      <c r="Y101" s="168" t="s">
        <v>123</v>
      </c>
      <c r="Z101" s="169">
        <v>1</v>
      </c>
      <c r="AA101" s="522"/>
      <c r="AB101" s="525" t="s">
        <v>1036</v>
      </c>
      <c r="AC101" s="522"/>
      <c r="AD101" s="522"/>
      <c r="AE101" s="522"/>
      <c r="AF101" s="522"/>
      <c r="AG101" s="522"/>
      <c r="AH101" s="522"/>
      <c r="AI101" s="522"/>
      <c r="AJ101" s="522"/>
      <c r="AK101" s="522"/>
      <c r="AL101" s="522"/>
      <c r="AM101" s="522"/>
      <c r="AN101" s="522"/>
    </row>
    <row r="102" spans="2:40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O102" s="522"/>
      <c r="P102" s="522"/>
      <c r="Q102" s="522"/>
      <c r="R102" s="622" t="s">
        <v>213</v>
      </c>
      <c r="S102" s="44">
        <v>1</v>
      </c>
      <c r="T102" s="622" t="s">
        <v>123</v>
      </c>
      <c r="U102" s="1006">
        <f>L22</f>
        <v>0.20399999999999999</v>
      </c>
      <c r="V102" s="622" t="s">
        <v>123</v>
      </c>
      <c r="W102" s="1006">
        <f>L23</f>
        <v>3.5999999999999997E-2</v>
      </c>
      <c r="X102" s="622" t="s">
        <v>195</v>
      </c>
      <c r="Y102" s="522"/>
      <c r="Z102" s="522"/>
      <c r="AA102" s="522"/>
      <c r="AB102" s="525" t="s">
        <v>1036</v>
      </c>
      <c r="AC102" s="522"/>
      <c r="AD102" s="522"/>
      <c r="AE102" s="522"/>
      <c r="AF102" s="522"/>
      <c r="AG102" s="522"/>
      <c r="AH102" s="522"/>
      <c r="AI102" s="522"/>
      <c r="AJ102" s="522"/>
      <c r="AK102" s="522"/>
      <c r="AL102" s="522"/>
      <c r="AM102" s="522"/>
      <c r="AN102" s="522"/>
    </row>
    <row r="103" spans="2:40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5" t="s">
        <v>1036</v>
      </c>
      <c r="AC103" s="522"/>
      <c r="AD103" s="522"/>
      <c r="AE103" s="522"/>
      <c r="AF103" s="522"/>
      <c r="AG103" s="522"/>
      <c r="AH103" s="522"/>
      <c r="AI103" s="522"/>
      <c r="AJ103" s="522"/>
      <c r="AK103" s="522"/>
      <c r="AL103" s="522"/>
      <c r="AM103" s="522"/>
      <c r="AN103" s="522"/>
    </row>
    <row r="104" spans="2:40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O104" s="522"/>
      <c r="P104" s="522"/>
      <c r="Q104" s="525" t="s">
        <v>33</v>
      </c>
      <c r="R104" s="588">
        <f>((S101*U101) + L21) / (S102-U102-W102) - Z101</f>
        <v>6.4510526315789463E-2</v>
      </c>
      <c r="S104" s="216" t="s">
        <v>1095</v>
      </c>
      <c r="T104" s="522"/>
      <c r="U104" s="522"/>
      <c r="V104" s="522"/>
      <c r="W104" s="522"/>
      <c r="X104" s="522"/>
      <c r="Y104" s="522"/>
      <c r="Z104" s="522"/>
      <c r="AA104" s="522"/>
      <c r="AB104" s="525" t="s">
        <v>1036</v>
      </c>
      <c r="AC104" s="522"/>
      <c r="AD104" s="522"/>
      <c r="AE104" s="522"/>
      <c r="AF104" s="522"/>
      <c r="AG104" s="522"/>
      <c r="AH104" s="522"/>
      <c r="AI104" s="522"/>
      <c r="AJ104" s="522"/>
      <c r="AK104" s="522"/>
      <c r="AL104" s="522"/>
      <c r="AM104" s="522"/>
      <c r="AN104" s="522"/>
    </row>
    <row r="105" spans="2:40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O105" s="522"/>
      <c r="P105" s="522"/>
      <c r="Q105" s="522"/>
      <c r="R105" s="522"/>
      <c r="S105" s="522"/>
      <c r="T105" s="522"/>
      <c r="U105" s="522"/>
      <c r="V105" s="522"/>
      <c r="W105" s="522"/>
      <c r="X105" s="522"/>
      <c r="Y105" s="522"/>
      <c r="Z105" s="522"/>
      <c r="AA105" s="522"/>
      <c r="AB105" s="525" t="s">
        <v>1036</v>
      </c>
      <c r="AC105" s="522"/>
      <c r="AD105" s="522"/>
      <c r="AE105" s="522"/>
      <c r="AF105" s="522"/>
      <c r="AG105" s="522"/>
      <c r="AH105" s="522"/>
      <c r="AI105" s="522"/>
      <c r="AJ105" s="522"/>
      <c r="AK105" s="522"/>
      <c r="AL105" s="522"/>
      <c r="AM105" s="522"/>
      <c r="AN105" s="522"/>
    </row>
    <row r="106" spans="2:40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O106" s="522"/>
      <c r="P106" s="522"/>
      <c r="Q106" s="522"/>
      <c r="R106" s="522"/>
      <c r="S106" s="522"/>
      <c r="T106" s="522"/>
      <c r="U106" s="522"/>
      <c r="V106" s="522"/>
      <c r="W106" s="522"/>
      <c r="X106" s="522"/>
      <c r="Y106" s="522"/>
      <c r="Z106" s="522"/>
      <c r="AA106" s="522"/>
      <c r="AB106" s="525" t="s">
        <v>1036</v>
      </c>
      <c r="AC106" s="522"/>
      <c r="AD106" s="522"/>
      <c r="AE106" s="522"/>
      <c r="AF106" s="522"/>
      <c r="AG106" s="522"/>
      <c r="AH106" s="522"/>
      <c r="AI106" s="522"/>
      <c r="AJ106" s="522"/>
      <c r="AK106" s="522"/>
      <c r="AL106" s="522"/>
      <c r="AM106" s="522"/>
      <c r="AN106" s="522"/>
    </row>
    <row r="107" spans="2:40" ht="1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O107" s="522"/>
      <c r="P107" s="522"/>
      <c r="Q107" s="522"/>
      <c r="R107" s="522"/>
      <c r="S107" s="522"/>
      <c r="T107" s="522"/>
      <c r="U107" s="522"/>
      <c r="V107" s="522"/>
      <c r="W107" s="522"/>
      <c r="X107" s="522"/>
      <c r="Y107" s="522"/>
      <c r="Z107" s="522"/>
      <c r="AA107" s="522"/>
      <c r="AB107" s="525" t="s">
        <v>1036</v>
      </c>
      <c r="AC107" s="522"/>
      <c r="AD107" s="522"/>
      <c r="AE107" s="522"/>
      <c r="AF107" s="522"/>
      <c r="AG107" s="522"/>
      <c r="AH107" s="522"/>
      <c r="AI107" s="522"/>
      <c r="AJ107" s="522"/>
      <c r="AK107" s="522"/>
      <c r="AL107" s="522"/>
      <c r="AM107" s="522"/>
      <c r="AN107" s="522"/>
    </row>
    <row r="108" spans="2:40" ht="1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O108" s="522"/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2"/>
      <c r="AA108" s="522"/>
      <c r="AB108" s="525" t="s">
        <v>1036</v>
      </c>
      <c r="AC108" s="522"/>
      <c r="AD108" s="522"/>
      <c r="AE108" s="522"/>
      <c r="AF108" s="522"/>
      <c r="AG108" s="522"/>
      <c r="AH108" s="522"/>
      <c r="AI108" s="522"/>
      <c r="AJ108" s="522"/>
      <c r="AK108" s="522"/>
      <c r="AL108" s="522"/>
      <c r="AM108" s="522"/>
      <c r="AN108" s="522"/>
    </row>
    <row r="109" spans="2:40" ht="1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O109" s="522"/>
      <c r="P109" s="522"/>
      <c r="Q109" s="522"/>
      <c r="R109" s="522"/>
      <c r="S109" s="522"/>
      <c r="T109" s="522"/>
      <c r="U109" s="522"/>
      <c r="V109" s="522"/>
      <c r="W109" s="522"/>
      <c r="X109" s="522"/>
      <c r="Y109" s="522"/>
      <c r="Z109" s="522"/>
      <c r="AA109" s="522"/>
      <c r="AB109" s="525" t="s">
        <v>1036</v>
      </c>
      <c r="AC109" s="522"/>
      <c r="AD109" s="522"/>
      <c r="AE109" s="522"/>
      <c r="AF109" s="522"/>
      <c r="AG109" s="522"/>
      <c r="AH109" s="522"/>
      <c r="AI109" s="522"/>
      <c r="AJ109" s="522"/>
      <c r="AK109" s="522"/>
      <c r="AL109" s="522"/>
      <c r="AM109" s="522"/>
      <c r="AN109" s="522"/>
    </row>
    <row r="110" spans="2:40" ht="1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O110" s="522"/>
      <c r="P110" s="522"/>
      <c r="Q110" s="522"/>
      <c r="R110" s="522"/>
      <c r="S110" s="522"/>
      <c r="T110" s="522"/>
      <c r="U110" s="522"/>
      <c r="V110" s="522"/>
      <c r="W110" s="522"/>
      <c r="X110" s="522"/>
      <c r="Y110" s="522"/>
      <c r="Z110" s="522"/>
      <c r="AA110" s="522"/>
      <c r="AB110" s="525" t="s">
        <v>1036</v>
      </c>
      <c r="AC110" s="522"/>
      <c r="AD110" s="522"/>
      <c r="AE110" s="522"/>
      <c r="AF110" s="522"/>
      <c r="AG110" s="522"/>
      <c r="AH110" s="522"/>
      <c r="AI110" s="522"/>
      <c r="AJ110" s="522"/>
      <c r="AK110" s="522"/>
      <c r="AL110" s="522"/>
      <c r="AM110" s="522"/>
      <c r="AN110" s="522"/>
    </row>
    <row r="111" spans="2:40" ht="1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O111" s="522"/>
      <c r="P111" s="522"/>
      <c r="Q111" s="522"/>
      <c r="R111" s="522"/>
      <c r="S111" s="522"/>
      <c r="T111" s="522"/>
      <c r="U111" s="522"/>
      <c r="V111" s="522"/>
      <c r="W111" s="522"/>
      <c r="X111" s="522"/>
      <c r="Y111" s="522"/>
      <c r="Z111" s="522"/>
      <c r="AA111" s="522"/>
      <c r="AB111" s="525" t="s">
        <v>1036</v>
      </c>
      <c r="AC111" s="522"/>
      <c r="AD111" s="522"/>
      <c r="AE111" s="522"/>
      <c r="AF111" s="522"/>
      <c r="AG111" s="522"/>
      <c r="AH111" s="522"/>
      <c r="AI111" s="522"/>
      <c r="AJ111" s="522"/>
      <c r="AK111" s="522"/>
      <c r="AL111" s="522"/>
      <c r="AM111" s="522"/>
      <c r="AN111" s="522"/>
    </row>
    <row r="112" spans="2:40" ht="1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O112" s="522"/>
      <c r="P112" s="522"/>
      <c r="Q112" s="522"/>
      <c r="R112" s="522"/>
      <c r="S112" s="522"/>
      <c r="T112" s="522"/>
      <c r="U112" s="522"/>
      <c r="V112" s="522"/>
      <c r="W112" s="522"/>
      <c r="X112" s="522"/>
      <c r="Y112" s="522"/>
      <c r="Z112" s="522"/>
      <c r="AA112" s="522"/>
      <c r="AB112" s="525" t="s">
        <v>1036</v>
      </c>
      <c r="AC112" s="522"/>
      <c r="AD112" s="522"/>
      <c r="AE112" s="522"/>
      <c r="AF112" s="522"/>
      <c r="AG112" s="522"/>
      <c r="AH112" s="522"/>
      <c r="AI112" s="522"/>
      <c r="AJ112" s="522"/>
      <c r="AK112" s="522"/>
      <c r="AL112" s="522"/>
      <c r="AM112" s="522"/>
      <c r="AN112" s="522"/>
    </row>
    <row r="113" spans="2:40" ht="1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O113" s="522"/>
      <c r="P113" s="522"/>
      <c r="Q113" s="522"/>
      <c r="R113" s="522"/>
      <c r="S113" s="522"/>
      <c r="T113" s="522"/>
      <c r="U113" s="522"/>
      <c r="V113" s="522"/>
      <c r="W113" s="522"/>
      <c r="X113" s="522"/>
      <c r="Y113" s="522"/>
      <c r="Z113" s="522"/>
      <c r="AA113" s="522"/>
      <c r="AB113" s="525" t="s">
        <v>1036</v>
      </c>
      <c r="AC113" s="522"/>
      <c r="AD113" s="522"/>
      <c r="AE113" s="522"/>
      <c r="AF113" s="522"/>
      <c r="AG113" s="522"/>
      <c r="AH113" s="522"/>
      <c r="AI113" s="522"/>
      <c r="AJ113" s="522"/>
      <c r="AK113" s="522"/>
      <c r="AL113" s="522"/>
      <c r="AM113" s="522"/>
      <c r="AN113" s="522"/>
    </row>
    <row r="114" spans="2:40" ht="1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O114" s="522"/>
      <c r="P114" s="522"/>
      <c r="Q114" s="522"/>
      <c r="R114" s="522"/>
      <c r="S114" s="522"/>
      <c r="T114" s="522"/>
      <c r="U114" s="522"/>
      <c r="V114" s="522"/>
      <c r="W114" s="522"/>
      <c r="X114" s="522"/>
      <c r="Y114" s="522"/>
      <c r="Z114" s="522"/>
      <c r="AA114" s="522"/>
      <c r="AB114" s="525" t="s">
        <v>1036</v>
      </c>
      <c r="AC114" s="522"/>
      <c r="AD114" s="522"/>
      <c r="AE114" s="522"/>
      <c r="AF114" s="522"/>
      <c r="AG114" s="522"/>
      <c r="AH114" s="522"/>
      <c r="AI114" s="522"/>
      <c r="AJ114" s="522"/>
      <c r="AK114" s="522"/>
      <c r="AL114" s="522"/>
      <c r="AM114" s="522"/>
      <c r="AN114" s="522"/>
    </row>
    <row r="115" spans="2:40" ht="1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O115" s="522"/>
      <c r="P115" s="522"/>
      <c r="Q115" s="522"/>
      <c r="R115" s="522"/>
      <c r="S115" s="522"/>
      <c r="T115" s="522"/>
      <c r="U115" s="522"/>
      <c r="V115" s="522"/>
      <c r="W115" s="522"/>
      <c r="X115" s="522"/>
      <c r="Y115" s="522"/>
      <c r="Z115" s="522"/>
      <c r="AA115" s="522"/>
      <c r="AB115" s="525" t="s">
        <v>1036</v>
      </c>
      <c r="AC115" s="522"/>
      <c r="AD115" s="522"/>
      <c r="AE115" s="522"/>
      <c r="AF115" s="522"/>
      <c r="AG115" s="522"/>
      <c r="AH115" s="522"/>
      <c r="AI115" s="522"/>
      <c r="AJ115" s="522"/>
      <c r="AK115" s="522"/>
      <c r="AL115" s="522"/>
      <c r="AM115" s="522"/>
      <c r="AN115" s="522"/>
    </row>
    <row r="116" spans="2:40" ht="1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O116" s="522"/>
      <c r="P116" s="522"/>
      <c r="Q116" s="522"/>
      <c r="R116" s="522"/>
      <c r="S116" s="522"/>
      <c r="T116" s="522"/>
      <c r="U116" s="522"/>
      <c r="V116" s="522"/>
      <c r="W116" s="522"/>
      <c r="X116" s="522"/>
      <c r="Y116" s="522"/>
      <c r="Z116" s="522"/>
      <c r="AA116" s="522"/>
      <c r="AB116" s="525" t="s">
        <v>1036</v>
      </c>
      <c r="AC116" s="522"/>
      <c r="AD116" s="522"/>
      <c r="AE116" s="522"/>
      <c r="AF116" s="522"/>
      <c r="AG116" s="522"/>
      <c r="AH116" s="522"/>
      <c r="AI116" s="522"/>
      <c r="AJ116" s="522"/>
      <c r="AK116" s="522"/>
      <c r="AL116" s="522"/>
      <c r="AM116" s="522"/>
      <c r="AN116" s="522"/>
    </row>
    <row r="117" spans="2:40" ht="1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O117" s="522"/>
      <c r="P117" s="522"/>
      <c r="Q117" s="522"/>
      <c r="R117" s="522"/>
      <c r="S117" s="522"/>
      <c r="T117" s="522"/>
      <c r="U117" s="522"/>
      <c r="V117" s="522"/>
      <c r="W117" s="522"/>
      <c r="X117" s="522"/>
      <c r="Y117" s="522"/>
      <c r="Z117" s="522"/>
      <c r="AA117" s="522"/>
      <c r="AB117" s="525" t="s">
        <v>1036</v>
      </c>
      <c r="AC117" s="522"/>
      <c r="AD117" s="522"/>
      <c r="AE117" s="522"/>
      <c r="AF117" s="522"/>
      <c r="AG117" s="522"/>
      <c r="AH117" s="522"/>
      <c r="AI117" s="522"/>
      <c r="AJ117" s="522"/>
      <c r="AK117" s="522"/>
      <c r="AL117" s="522"/>
      <c r="AM117" s="522"/>
      <c r="AN117" s="522"/>
    </row>
    <row r="118" spans="2:40" ht="1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O118" s="522"/>
      <c r="P118" s="522"/>
      <c r="Q118" s="522"/>
      <c r="R118" s="522"/>
      <c r="S118" s="522"/>
      <c r="T118" s="522"/>
      <c r="U118" s="522"/>
      <c r="V118" s="522"/>
      <c r="W118" s="522"/>
      <c r="X118" s="522"/>
      <c r="Y118" s="522"/>
      <c r="Z118" s="522"/>
      <c r="AA118" s="522"/>
      <c r="AB118" s="525" t="s">
        <v>1036</v>
      </c>
      <c r="AC118" s="522"/>
      <c r="AD118" s="522"/>
      <c r="AE118" s="522"/>
      <c r="AF118" s="522"/>
      <c r="AG118" s="522"/>
      <c r="AH118" s="522"/>
      <c r="AI118" s="522"/>
      <c r="AJ118" s="522"/>
      <c r="AK118" s="522"/>
      <c r="AL118" s="522"/>
      <c r="AM118" s="522"/>
      <c r="AN118" s="522"/>
    </row>
    <row r="119" spans="2:40" ht="1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O119" s="522"/>
      <c r="P119" s="522"/>
      <c r="Q119" s="522"/>
      <c r="R119" s="522"/>
      <c r="S119" s="522"/>
      <c r="T119" s="522"/>
      <c r="U119" s="522"/>
      <c r="V119" s="522"/>
      <c r="W119" s="522"/>
      <c r="X119" s="522"/>
      <c r="Y119" s="522"/>
      <c r="Z119" s="522"/>
      <c r="AA119" s="522"/>
      <c r="AB119" s="525" t="s">
        <v>1036</v>
      </c>
      <c r="AC119" s="522"/>
      <c r="AD119" s="522"/>
      <c r="AE119" s="522"/>
      <c r="AF119" s="522"/>
      <c r="AG119" s="522"/>
      <c r="AH119" s="522"/>
      <c r="AI119" s="522"/>
      <c r="AJ119" s="522"/>
      <c r="AK119" s="522"/>
      <c r="AL119" s="522"/>
      <c r="AM119" s="522"/>
      <c r="AN119" s="522"/>
    </row>
    <row r="120" spans="2:40" ht="1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2:40" ht="1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2:40" ht="1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2:40" ht="1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2:40" ht="1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2:40" ht="1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</row>
  </sheetData>
  <sortState ref="O46:U179">
    <sortCondition ref="O46:O179"/>
  </sortState>
  <mergeCells count="10">
    <mergeCell ref="L1:M1"/>
    <mergeCell ref="T55:U55"/>
    <mergeCell ref="T56:U56"/>
    <mergeCell ref="T57:U57"/>
    <mergeCell ref="R91:S91"/>
    <mergeCell ref="R92:S92"/>
    <mergeCell ref="U91:V91"/>
    <mergeCell ref="U92:V92"/>
    <mergeCell ref="T83:U83"/>
    <mergeCell ref="T84:U84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A101"/>
  <sheetViews>
    <sheetView zoomScaleNormal="100" workbookViewId="0"/>
  </sheetViews>
  <sheetFormatPr defaultColWidth="9.140625" defaultRowHeight="15"/>
  <cols>
    <col min="1" max="1" width="9.140625" style="21"/>
    <col min="2" max="2" width="13.7109375" style="21" customWidth="1"/>
    <col min="3" max="4" width="11.140625" style="21" customWidth="1"/>
    <col min="5" max="5" width="4.7109375" style="21" customWidth="1"/>
    <col min="6" max="6" width="11.140625" style="21" customWidth="1"/>
    <col min="7" max="7" width="8.7109375" style="21" customWidth="1"/>
    <col min="8" max="8" width="5.7109375" style="21" customWidth="1"/>
    <col min="9" max="9" width="9.7109375" style="21" customWidth="1"/>
    <col min="10" max="13" width="11.140625" style="21" customWidth="1"/>
    <col min="14" max="16" width="9.140625" style="21"/>
    <col min="17" max="17" width="10.7109375" style="21" customWidth="1"/>
    <col min="18" max="21" width="9.140625" style="21"/>
    <col min="22" max="22" width="10.7109375" style="21" customWidth="1"/>
    <col min="23" max="16384" width="9.140625" style="21"/>
  </cols>
  <sheetData>
    <row r="1" spans="1:27">
      <c r="A1" s="7">
        <v>12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1028" t="s">
        <v>24</v>
      </c>
      <c r="M1" s="1029"/>
      <c r="O1" s="1" t="s">
        <v>32</v>
      </c>
      <c r="P1" s="46" t="str">
        <f>VLOOKUP(A1,'Point Grid'!$L$8:$T$54,9,FALSE)</f>
        <v>Pricing - Werner Appendix B: Homeowners</v>
      </c>
      <c r="Q1" s="510"/>
      <c r="R1" s="510"/>
      <c r="S1" s="510"/>
      <c r="T1" s="510"/>
      <c r="U1" s="510"/>
      <c r="V1" s="510"/>
      <c r="W1" s="510"/>
      <c r="X1" s="510"/>
      <c r="Y1" s="510"/>
    </row>
    <row r="2" spans="1:27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</row>
    <row r="3" spans="1:27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889" t="s">
        <v>119</v>
      </c>
      <c r="P3" s="59" t="s">
        <v>943</v>
      </c>
      <c r="Q3" s="890"/>
      <c r="R3" s="891" t="s">
        <v>944</v>
      </c>
      <c r="S3" s="59"/>
      <c r="T3" s="59" t="s">
        <v>945</v>
      </c>
      <c r="U3" s="59"/>
      <c r="V3" s="59" t="s">
        <v>189</v>
      </c>
      <c r="W3" s="59"/>
      <c r="X3" s="43" t="s">
        <v>33</v>
      </c>
      <c r="Y3" s="892">
        <f>S21</f>
        <v>456.4752692703936</v>
      </c>
      <c r="Z3" s="522"/>
      <c r="AA3" s="522"/>
    </row>
    <row r="4" spans="1:27">
      <c r="A4" s="9">
        <f>INDEX('Point Grid'!B:B,MATCH(A1,'Point Grid'!A:A,0))</f>
        <v>3.25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O4" s="652" t="s">
        <v>211</v>
      </c>
      <c r="P4" s="522" t="s">
        <v>943</v>
      </c>
      <c r="Q4" s="529"/>
      <c r="R4" s="893" t="s">
        <v>946</v>
      </c>
      <c r="S4" s="522"/>
      <c r="T4" s="522" t="s">
        <v>947</v>
      </c>
      <c r="U4" s="522"/>
      <c r="V4" s="522" t="s">
        <v>189</v>
      </c>
      <c r="W4" s="522"/>
      <c r="X4" s="44" t="s">
        <v>33</v>
      </c>
      <c r="Y4" s="894">
        <f>Q27</f>
        <v>164.64449999999999</v>
      </c>
      <c r="Z4" s="522"/>
      <c r="AA4" s="522"/>
    </row>
    <row r="5" spans="1:27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O5" s="895" t="s">
        <v>258</v>
      </c>
      <c r="P5" s="59" t="s">
        <v>943</v>
      </c>
      <c r="Q5" s="896"/>
      <c r="R5" s="897" t="s">
        <v>948</v>
      </c>
      <c r="S5" s="531"/>
      <c r="T5" s="59" t="s">
        <v>947</v>
      </c>
      <c r="U5" s="531"/>
      <c r="V5" s="59" t="s">
        <v>189</v>
      </c>
      <c r="W5" s="531"/>
      <c r="X5" s="43" t="s">
        <v>33</v>
      </c>
      <c r="Y5" s="898">
        <f>K17</f>
        <v>37.51</v>
      </c>
      <c r="Z5" s="178" t="s">
        <v>949</v>
      </c>
      <c r="AA5" s="526"/>
    </row>
    <row r="6" spans="1:27">
      <c r="A6" s="25" t="s">
        <v>2</v>
      </c>
      <c r="B6" s="143" t="s">
        <v>950</v>
      </c>
      <c r="C6" s="143"/>
      <c r="D6" s="143"/>
      <c r="E6" s="143"/>
      <c r="F6" s="143"/>
      <c r="G6" s="143"/>
      <c r="H6" s="143"/>
      <c r="I6" s="143"/>
      <c r="J6" s="143"/>
      <c r="K6" s="143"/>
      <c r="L6" s="181"/>
      <c r="M6" s="18"/>
      <c r="O6" s="899" t="s">
        <v>152</v>
      </c>
      <c r="P6" s="522" t="s">
        <v>943</v>
      </c>
      <c r="Q6" s="491"/>
      <c r="R6" s="154" t="s">
        <v>951</v>
      </c>
      <c r="S6" s="526"/>
      <c r="T6" s="526" t="s">
        <v>952</v>
      </c>
      <c r="U6" s="526"/>
      <c r="V6" s="522" t="s">
        <v>189</v>
      </c>
      <c r="W6" s="526"/>
      <c r="X6" s="44" t="s">
        <v>33</v>
      </c>
      <c r="Y6" s="900">
        <f>R41</f>
        <v>36.697247706422019</v>
      </c>
      <c r="Z6" s="526"/>
      <c r="AA6" s="526"/>
    </row>
    <row r="7" spans="1:27" ht="15.75" thickBot="1">
      <c r="A7" s="9">
        <f>INDEX('Point Grid'!$C$8:$I$54,MATCH($A$1,'Point Grid'!$A$8:$A$54,0),MATCH(A6,'Point Grid'!$C$7:$I$7,0))</f>
        <v>3.25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81"/>
      <c r="M7" s="18"/>
      <c r="O7" s="901" t="s">
        <v>279</v>
      </c>
      <c r="P7" s="59" t="s">
        <v>943</v>
      </c>
      <c r="Q7" s="896"/>
      <c r="R7" s="897" t="s">
        <v>953</v>
      </c>
      <c r="S7" s="531"/>
      <c r="T7" s="531" t="s">
        <v>954</v>
      </c>
      <c r="U7" s="531"/>
      <c r="V7" s="59" t="s">
        <v>189</v>
      </c>
      <c r="W7" s="531"/>
      <c r="X7" s="43" t="s">
        <v>33</v>
      </c>
      <c r="Y7" s="902">
        <f>R53</f>
        <v>55.575976115347835</v>
      </c>
      <c r="Z7" s="526"/>
      <c r="AA7" s="526"/>
    </row>
    <row r="8" spans="1:27" ht="15.75" thickBot="1">
      <c r="A8" s="5"/>
      <c r="B8" s="903" t="s">
        <v>955</v>
      </c>
      <c r="C8" s="904"/>
      <c r="D8" s="433">
        <v>2026</v>
      </c>
      <c r="E8" s="433">
        <v>4</v>
      </c>
      <c r="F8" s="434">
        <v>1</v>
      </c>
      <c r="G8" s="180"/>
      <c r="H8" s="905" t="s">
        <v>956</v>
      </c>
      <c r="I8" s="434">
        <v>12</v>
      </c>
      <c r="J8" s="180"/>
      <c r="K8" s="469">
        <v>1</v>
      </c>
      <c r="L8" s="181"/>
      <c r="M8" s="18"/>
      <c r="O8" s="526"/>
      <c r="P8" s="526"/>
      <c r="Q8" s="526"/>
      <c r="R8" s="526"/>
      <c r="S8" s="526"/>
      <c r="T8" s="526"/>
      <c r="U8" s="526"/>
      <c r="V8" s="526"/>
      <c r="W8" s="526"/>
      <c r="X8" s="906" t="s">
        <v>957</v>
      </c>
      <c r="Y8" s="907">
        <f>SUM(Y3:Y7)</f>
        <v>750.90299309216346</v>
      </c>
      <c r="Z8" s="908" t="s">
        <v>958</v>
      </c>
      <c r="AA8" s="909">
        <f>1-D11-D12</f>
        <v>0.78</v>
      </c>
    </row>
    <row r="9" spans="1:27">
      <c r="A9" s="25"/>
      <c r="B9" s="57"/>
      <c r="C9" s="57"/>
      <c r="D9" s="910" t="s">
        <v>126</v>
      </c>
      <c r="E9" s="910" t="s">
        <v>127</v>
      </c>
      <c r="F9" s="910" t="s">
        <v>128</v>
      </c>
      <c r="G9" s="180"/>
      <c r="H9" s="180"/>
      <c r="I9" s="910" t="s">
        <v>125</v>
      </c>
      <c r="J9" s="180"/>
      <c r="K9" s="910" t="s">
        <v>959</v>
      </c>
      <c r="L9" s="181"/>
      <c r="M9" s="18"/>
      <c r="O9" s="526"/>
      <c r="P9" s="526"/>
      <c r="Q9" s="526"/>
      <c r="R9" s="526"/>
      <c r="S9" s="526"/>
      <c r="T9" s="526"/>
      <c r="U9" s="526"/>
      <c r="V9" s="526"/>
      <c r="W9" s="526"/>
      <c r="X9" s="906" t="s">
        <v>960</v>
      </c>
      <c r="Y9" s="911">
        <f>Y8/(1-D11-D12)</f>
        <v>962.69614498995315</v>
      </c>
      <c r="Z9" s="216" t="s">
        <v>212</v>
      </c>
      <c r="AA9" s="522"/>
    </row>
    <row r="10" spans="1:27">
      <c r="A10" s="25"/>
      <c r="B10" s="57"/>
      <c r="C10" s="57"/>
      <c r="D10" s="57"/>
      <c r="E10" s="57"/>
      <c r="F10" s="910"/>
      <c r="G10" s="57"/>
      <c r="H10" s="57"/>
      <c r="I10" s="57"/>
      <c r="J10" s="181"/>
      <c r="K10" s="181"/>
      <c r="L10" s="181"/>
      <c r="M10" s="18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6"/>
      <c r="AA10" s="526"/>
    </row>
    <row r="11" spans="1:27">
      <c r="A11" s="25"/>
      <c r="B11" s="912" t="s">
        <v>961</v>
      </c>
      <c r="C11" s="63"/>
      <c r="D11" s="197">
        <v>0.13</v>
      </c>
      <c r="E11" s="180"/>
      <c r="F11" s="180"/>
      <c r="G11" s="57"/>
      <c r="H11" s="912" t="s">
        <v>962</v>
      </c>
      <c r="I11" s="913"/>
      <c r="J11" s="63"/>
      <c r="K11" s="914">
        <v>0.38</v>
      </c>
      <c r="L11" s="181"/>
      <c r="M11" s="18"/>
      <c r="O11" s="254" t="s">
        <v>119</v>
      </c>
      <c r="P11" s="526" t="s">
        <v>963</v>
      </c>
      <c r="Q11" s="526"/>
      <c r="R11" s="526"/>
      <c r="S11" s="526"/>
      <c r="T11" s="526"/>
      <c r="U11" s="526"/>
      <c r="V11" s="526"/>
      <c r="W11" s="526"/>
      <c r="X11" s="526"/>
      <c r="Y11" s="526"/>
      <c r="Z11" s="526"/>
      <c r="AA11" s="526"/>
    </row>
    <row r="12" spans="1:27">
      <c r="A12" s="25"/>
      <c r="B12" s="915" t="s">
        <v>964</v>
      </c>
      <c r="C12" s="560"/>
      <c r="D12" s="916">
        <v>0.09</v>
      </c>
      <c r="E12" s="57"/>
      <c r="F12" s="57"/>
      <c r="G12" s="57"/>
      <c r="H12" s="915" t="s">
        <v>1007</v>
      </c>
      <c r="I12" s="917"/>
      <c r="J12" s="148"/>
      <c r="K12" s="324">
        <v>79000</v>
      </c>
      <c r="L12" s="181"/>
      <c r="M12" s="18"/>
      <c r="O12" s="526"/>
      <c r="P12" s="526"/>
      <c r="Q12" s="526"/>
      <c r="R12" s="526"/>
      <c r="S12" s="526"/>
      <c r="T12" s="526"/>
      <c r="U12" s="526"/>
      <c r="V12" s="526"/>
      <c r="W12" s="526"/>
      <c r="X12" s="526"/>
      <c r="Y12" s="526"/>
      <c r="Z12" s="526"/>
      <c r="AA12" s="526"/>
    </row>
    <row r="13" spans="1:27">
      <c r="A13" s="25"/>
      <c r="B13" s="918" t="s">
        <v>965</v>
      </c>
      <c r="C13" s="69"/>
      <c r="D13" s="919">
        <v>52</v>
      </c>
      <c r="E13" s="317" t="s">
        <v>1008</v>
      </c>
      <c r="F13" s="57"/>
      <c r="G13" s="57"/>
      <c r="H13" s="918" t="s">
        <v>1009</v>
      </c>
      <c r="I13" s="920"/>
      <c r="J13" s="164"/>
      <c r="K13" s="383">
        <v>39000</v>
      </c>
      <c r="L13" s="181"/>
      <c r="M13" s="18"/>
      <c r="O13" s="888"/>
      <c r="P13" s="921" t="s">
        <v>966</v>
      </c>
      <c r="Q13" s="922"/>
      <c r="R13" s="923" t="s">
        <v>967</v>
      </c>
      <c r="S13" s="211" t="s">
        <v>967</v>
      </c>
      <c r="T13" s="526"/>
      <c r="U13" s="526"/>
      <c r="V13" s="526"/>
      <c r="W13" s="526"/>
      <c r="X13" s="526"/>
      <c r="Y13" s="526"/>
      <c r="Z13" s="526"/>
      <c r="AA13" s="526"/>
    </row>
    <row r="14" spans="1:27">
      <c r="A14" s="25"/>
      <c r="B14" s="180"/>
      <c r="C14" s="180"/>
      <c r="D14" s="180"/>
      <c r="E14" s="180"/>
      <c r="F14" s="180"/>
      <c r="G14" s="180"/>
      <c r="H14" s="317" t="s">
        <v>968</v>
      </c>
      <c r="I14" s="180"/>
      <c r="J14" s="180"/>
      <c r="K14" s="181"/>
      <c r="L14" s="181"/>
      <c r="M14" s="18"/>
      <c r="O14" s="924"/>
      <c r="P14" s="925" t="s">
        <v>969</v>
      </c>
      <c r="Q14" s="926" t="str">
        <f>"from "&amp;O20</f>
        <v>from 2024</v>
      </c>
      <c r="R14" s="927" t="s">
        <v>250</v>
      </c>
      <c r="S14" s="539" t="s">
        <v>250</v>
      </c>
      <c r="T14" s="526"/>
      <c r="U14" s="528" t="s">
        <v>970</v>
      </c>
      <c r="V14" s="123"/>
      <c r="W14" s="526"/>
      <c r="X14" s="526"/>
      <c r="Y14" s="526"/>
      <c r="Z14" s="526"/>
      <c r="AA14" s="526"/>
    </row>
    <row r="15" spans="1:27">
      <c r="A15" s="25"/>
      <c r="B15" s="928" t="s">
        <v>971</v>
      </c>
      <c r="C15" s="63"/>
      <c r="D15" s="929">
        <v>0.06</v>
      </c>
      <c r="E15" s="180"/>
      <c r="F15" s="180"/>
      <c r="G15" s="180"/>
      <c r="H15" s="317" t="s">
        <v>1010</v>
      </c>
      <c r="I15" s="180"/>
      <c r="J15" s="180"/>
      <c r="K15" s="143"/>
      <c r="L15" s="181"/>
      <c r="M15" s="18"/>
      <c r="O15" s="930"/>
      <c r="P15" s="931" t="str">
        <f>"to "&amp;O20</f>
        <v>to 2024</v>
      </c>
      <c r="Q15" s="932" t="s">
        <v>972</v>
      </c>
      <c r="R15" s="933" t="s">
        <v>973</v>
      </c>
      <c r="S15" s="540" t="s">
        <v>974</v>
      </c>
      <c r="T15" s="526"/>
      <c r="U15" s="934" t="s">
        <v>975</v>
      </c>
      <c r="V15" s="531"/>
      <c r="W15" s="531"/>
      <c r="X15" s="531"/>
      <c r="Y15" s="531"/>
      <c r="Z15" s="526"/>
      <c r="AA15" s="526"/>
    </row>
    <row r="16" spans="1:27">
      <c r="A16" s="25"/>
      <c r="B16" s="935" t="s">
        <v>976</v>
      </c>
      <c r="C16" s="69"/>
      <c r="D16" s="936">
        <v>0.03</v>
      </c>
      <c r="E16" s="180"/>
      <c r="F16" s="180"/>
      <c r="G16" s="317"/>
      <c r="H16" s="180"/>
      <c r="I16" s="180"/>
      <c r="J16" s="180"/>
      <c r="K16" s="143"/>
      <c r="L16" s="181"/>
      <c r="M16" s="18"/>
      <c r="O16" s="117">
        <f>B23</f>
        <v>2020</v>
      </c>
      <c r="P16" s="109">
        <f>O20-O16</f>
        <v>4</v>
      </c>
      <c r="Q16" s="937">
        <f>D8+1-(O20+0.5)+(E8-1)/12</f>
        <v>2.75</v>
      </c>
      <c r="R16" s="109">
        <f>PRODUCT(D23:F23)*(1+D15)^P16*(1+D16)^Q16</f>
        <v>300325.48350207129</v>
      </c>
      <c r="S16" s="203">
        <f>R16/C23</f>
        <v>390.03309545723545</v>
      </c>
      <c r="T16" s="526"/>
      <c r="U16" s="526" t="str">
        <f>"= " &amp; D23 &amp; " x " &amp; E23 &amp;" x "&amp; F23 &amp; " x (" &amp; 1+D15 &amp; ")^" &amp; P16 &amp; " x (" &amp; 1+D16 &amp; ")^" &amp; Q16</f>
        <v>= 206900 x 1 x 1.06 x (1.06)^4 x (1.03)^2.75</v>
      </c>
      <c r="V16" s="526"/>
      <c r="W16" s="526"/>
      <c r="X16" s="526"/>
      <c r="Y16" s="526"/>
      <c r="Z16" s="526"/>
      <c r="AA16" s="526"/>
    </row>
    <row r="17" spans="1:27">
      <c r="A17" s="25"/>
      <c r="B17" s="938" t="s">
        <v>977</v>
      </c>
      <c r="C17" s="939"/>
      <c r="D17" s="940">
        <v>0.03</v>
      </c>
      <c r="E17" s="180"/>
      <c r="F17" s="180"/>
      <c r="G17" s="317"/>
      <c r="H17" s="941" t="s">
        <v>978</v>
      </c>
      <c r="I17" s="942"/>
      <c r="J17" s="193"/>
      <c r="K17" s="666">
        <v>37.51</v>
      </c>
      <c r="L17" s="181"/>
      <c r="M17" s="18"/>
      <c r="O17" s="117">
        <f>B24</f>
        <v>2021</v>
      </c>
      <c r="P17" s="109">
        <f>O20-O17</f>
        <v>3</v>
      </c>
      <c r="Q17" s="937">
        <f>Q16</f>
        <v>2.75</v>
      </c>
      <c r="R17" s="109">
        <f>PRODUCT(D24:F24)*(1+D15)^P17*(1+D16)^Q17</f>
        <v>367096.7364798155</v>
      </c>
      <c r="S17" s="203">
        <f>R17/C24</f>
        <v>399.01819182588639</v>
      </c>
      <c r="T17" s="526"/>
      <c r="U17" s="526" t="str">
        <f>"= " &amp; D24 &amp; " x " &amp; E24 &amp;" x "&amp; F24 &amp; " x (" &amp; 1+D15 &amp; ")^" &amp; P17 &amp; " x (" &amp; 1+D16 &amp; ")^" &amp; Q17</f>
        <v>= 252900 x 1.06 x 1.06 x (1.06)^3 x (1.03)^2.75</v>
      </c>
      <c r="V17" s="526"/>
      <c r="W17" s="526"/>
      <c r="X17" s="526"/>
      <c r="Y17" s="526"/>
      <c r="Z17" s="526"/>
      <c r="AA17" s="526"/>
    </row>
    <row r="18" spans="1:27" ht="15" customHeight="1">
      <c r="A18" s="25"/>
      <c r="B18" s="935" t="s">
        <v>979</v>
      </c>
      <c r="C18" s="164"/>
      <c r="D18" s="936">
        <v>0</v>
      </c>
      <c r="E18" s="180"/>
      <c r="F18" s="180"/>
      <c r="G18" s="180"/>
      <c r="H18" s="180"/>
      <c r="I18" s="180"/>
      <c r="J18" s="143"/>
      <c r="K18" s="943" t="s">
        <v>980</v>
      </c>
      <c r="L18" s="181"/>
      <c r="M18" s="18"/>
      <c r="O18" s="117">
        <f>B25</f>
        <v>2022</v>
      </c>
      <c r="P18" s="109">
        <f>O20-O18</f>
        <v>2</v>
      </c>
      <c r="Q18" s="937">
        <f>Q16</f>
        <v>2.75</v>
      </c>
      <c r="R18" s="109">
        <f>PRODUCT(D25:F25)*(1+D15)^P18*(1+D16)^Q18</f>
        <v>434693.44489974593</v>
      </c>
      <c r="S18" s="203">
        <f>R18/C25</f>
        <v>448.13757206159374</v>
      </c>
      <c r="T18" s="526"/>
      <c r="U18" s="526" t="str">
        <f>"= " &amp; D25 &amp; " x " &amp; E25 &amp;" x "&amp; F25 &amp; " x (" &amp; 1+D15 &amp; ")^" &amp; P18 &amp; " x (" &amp; 1+D16 &amp; ")^" &amp; Q18</f>
        <v>= 308700 x 1.09 x 1.06 x (1.06)^2 x (1.03)^2.75</v>
      </c>
      <c r="V18" s="526"/>
      <c r="W18" s="526"/>
      <c r="X18" s="526"/>
      <c r="Y18" s="526"/>
      <c r="Z18" s="526"/>
      <c r="AA18" s="526"/>
    </row>
    <row r="19" spans="1:27" ht="15" customHeight="1">
      <c r="A19" s="25"/>
      <c r="B19" s="180"/>
      <c r="C19" s="180"/>
      <c r="D19" s="180"/>
      <c r="E19" s="180"/>
      <c r="F19" s="180"/>
      <c r="G19" s="180"/>
      <c r="H19" s="180"/>
      <c r="I19" s="180"/>
      <c r="J19" s="180"/>
      <c r="K19" s="181"/>
      <c r="L19" s="181"/>
      <c r="M19" s="18"/>
      <c r="O19" s="117">
        <f>B26</f>
        <v>2023</v>
      </c>
      <c r="P19" s="109">
        <f>O20-O19</f>
        <v>1</v>
      </c>
      <c r="Q19" s="937">
        <f>Q16</f>
        <v>2.75</v>
      </c>
      <c r="R19" s="109">
        <f>PRODUCT(D26:F26)*(1+D15)^P19*(1+D16)^Q19</f>
        <v>510316.81444477738</v>
      </c>
      <c r="S19" s="203">
        <f>R19/C26</f>
        <v>495.45321790755088</v>
      </c>
      <c r="T19" s="526"/>
      <c r="U19" s="526" t="str">
        <f>"= " &amp; D26 &amp; " x " &amp; E26 &amp;" x "&amp; F26 &amp; " x (" &amp; 1+D15 &amp; ")^" &amp; P19 &amp; " x (" &amp; 1+D16 &amp; ")^" &amp; Q19</f>
        <v>= 367300 x 1.14 x 1.06 x (1.06)^1 x (1.03)^2.75</v>
      </c>
      <c r="V19" s="526"/>
      <c r="W19" s="526"/>
      <c r="X19" s="526"/>
      <c r="Y19" s="526"/>
      <c r="Z19" s="526"/>
      <c r="AA19" s="526"/>
    </row>
    <row r="20" spans="1:27" ht="15" customHeight="1">
      <c r="A20" s="25"/>
      <c r="B20" s="944"/>
      <c r="C20" s="945"/>
      <c r="D20" s="945" t="s">
        <v>967</v>
      </c>
      <c r="E20" s="946"/>
      <c r="F20" s="947"/>
      <c r="G20" s="947"/>
      <c r="H20" s="57"/>
      <c r="I20" s="180"/>
      <c r="J20" s="180"/>
      <c r="K20" s="143"/>
      <c r="L20" s="181"/>
      <c r="M20" s="18"/>
      <c r="O20" s="948">
        <f>B27</f>
        <v>2024</v>
      </c>
      <c r="P20" s="535">
        <f>O20-O20</f>
        <v>0</v>
      </c>
      <c r="Q20" s="949">
        <f>Q16</f>
        <v>2.75</v>
      </c>
      <c r="R20" s="535">
        <f>PRODUCT(D27:F27)*(1+D15)^P20*(1+D16)^Q20</f>
        <v>599210.35331867461</v>
      </c>
      <c r="S20" s="204">
        <f>R20/C27</f>
        <v>549.73426909970146</v>
      </c>
      <c r="T20" s="526"/>
      <c r="U20" s="526" t="str">
        <f>"= " &amp; D27 &amp; " x " &amp; E27 &amp;" x "&amp; F27 &amp; " x (" &amp; 1+D15 &amp; ")^" &amp; P20 &amp; " x (" &amp; 1+D16 &amp; ")^" &amp; Q20</f>
        <v>= 434300 x 1.2 x 1.06 x (1.06)^0 x (1.03)^2.75</v>
      </c>
      <c r="V20" s="526"/>
      <c r="W20" s="526"/>
      <c r="X20" s="526"/>
      <c r="Y20" s="526"/>
      <c r="Z20" s="526"/>
      <c r="AA20" s="526"/>
    </row>
    <row r="21" spans="1:27" ht="15" customHeight="1">
      <c r="A21" s="22"/>
      <c r="B21" s="417"/>
      <c r="C21" s="950"/>
      <c r="D21" s="950" t="s">
        <v>981</v>
      </c>
      <c r="E21" s="815"/>
      <c r="F21" s="816" t="s">
        <v>341</v>
      </c>
      <c r="G21" s="816" t="s">
        <v>982</v>
      </c>
      <c r="H21" s="57"/>
      <c r="I21" s="180"/>
      <c r="J21" s="181"/>
      <c r="K21" s="143"/>
      <c r="L21" s="181"/>
      <c r="M21" s="18"/>
      <c r="O21" s="526"/>
      <c r="P21" s="526"/>
      <c r="Q21" s="526"/>
      <c r="R21" s="951" t="s">
        <v>983</v>
      </c>
      <c r="S21" s="952">
        <f>AVERAGE(S16:S20)</f>
        <v>456.4752692703936</v>
      </c>
      <c r="T21" s="526"/>
      <c r="U21" s="526"/>
      <c r="V21" s="526"/>
      <c r="W21" s="526"/>
      <c r="X21" s="526"/>
      <c r="Y21" s="526"/>
      <c r="Z21" s="526"/>
      <c r="AA21" s="526"/>
    </row>
    <row r="22" spans="1:27" ht="15" customHeight="1">
      <c r="A22" s="22"/>
      <c r="B22" s="418" t="s">
        <v>219</v>
      </c>
      <c r="C22" s="953" t="s">
        <v>139</v>
      </c>
      <c r="D22" s="953" t="s">
        <v>984</v>
      </c>
      <c r="E22" s="263" t="s">
        <v>131</v>
      </c>
      <c r="F22" s="470" t="s">
        <v>985</v>
      </c>
      <c r="G22" s="470" t="s">
        <v>986</v>
      </c>
      <c r="H22" s="57"/>
      <c r="I22" s="180"/>
      <c r="J22" s="181"/>
      <c r="K22" s="143"/>
      <c r="L22" s="181"/>
      <c r="M22" s="18"/>
      <c r="O22" s="526"/>
      <c r="P22" s="526"/>
      <c r="Q22" s="526"/>
      <c r="R22" s="526"/>
      <c r="S22" s="526"/>
      <c r="T22" s="526"/>
      <c r="U22" s="526"/>
      <c r="V22" s="526"/>
      <c r="W22" s="526"/>
      <c r="X22" s="526"/>
      <c r="Y22" s="526"/>
      <c r="Z22" s="526"/>
      <c r="AA22" s="526"/>
    </row>
    <row r="23" spans="1:27" ht="15" customHeight="1">
      <c r="A23" s="22"/>
      <c r="B23" s="417">
        <v>2020</v>
      </c>
      <c r="C23" s="550">
        <v>770</v>
      </c>
      <c r="D23" s="550">
        <v>206900</v>
      </c>
      <c r="E23" s="345">
        <v>1</v>
      </c>
      <c r="F23" s="954">
        <v>1.06</v>
      </c>
      <c r="G23" s="955">
        <v>288</v>
      </c>
      <c r="H23" s="57"/>
      <c r="I23" s="180"/>
      <c r="J23" s="143"/>
      <c r="K23" s="143"/>
      <c r="L23" s="181"/>
      <c r="M23" s="18"/>
      <c r="O23" s="233" t="s">
        <v>211</v>
      </c>
      <c r="P23" s="526" t="s">
        <v>987</v>
      </c>
      <c r="Q23" s="526"/>
      <c r="R23" s="526"/>
      <c r="S23" s="526"/>
      <c r="T23" s="526"/>
      <c r="U23" s="526"/>
      <c r="V23" s="522"/>
      <c r="W23" s="522"/>
      <c r="X23" s="522"/>
      <c r="Y23" s="522"/>
      <c r="Z23" s="522"/>
      <c r="AA23" s="522"/>
    </row>
    <row r="24" spans="1:27" ht="15" customHeight="1">
      <c r="A24" s="22"/>
      <c r="B24" s="417">
        <v>2021</v>
      </c>
      <c r="C24" s="550">
        <v>920</v>
      </c>
      <c r="D24" s="550">
        <v>252900</v>
      </c>
      <c r="E24" s="345">
        <v>1.06</v>
      </c>
      <c r="F24" s="954">
        <v>1.06</v>
      </c>
      <c r="G24" s="955">
        <v>303</v>
      </c>
      <c r="H24" s="57"/>
      <c r="I24" s="57"/>
      <c r="J24" s="143"/>
      <c r="K24" s="143"/>
      <c r="L24" s="181"/>
      <c r="M24" s="18"/>
      <c r="O24" s="526"/>
      <c r="P24" s="526"/>
      <c r="Q24" s="526"/>
      <c r="R24" s="526"/>
      <c r="S24" s="526"/>
      <c r="T24" s="526"/>
      <c r="U24" s="526"/>
      <c r="V24" s="522"/>
      <c r="W24" s="522"/>
      <c r="X24" s="522"/>
      <c r="Y24" s="522"/>
      <c r="Z24" s="522"/>
      <c r="AA24" s="522"/>
    </row>
    <row r="25" spans="1:27" ht="15" customHeight="1">
      <c r="A25" s="22"/>
      <c r="B25" s="417">
        <v>2022</v>
      </c>
      <c r="C25" s="550">
        <v>970</v>
      </c>
      <c r="D25" s="550">
        <v>308700</v>
      </c>
      <c r="E25" s="345">
        <v>1.0900000000000001</v>
      </c>
      <c r="F25" s="954">
        <v>1.06</v>
      </c>
      <c r="G25" s="955">
        <v>319</v>
      </c>
      <c r="H25" s="57"/>
      <c r="I25" s="180"/>
      <c r="J25" s="180"/>
      <c r="K25" s="180"/>
      <c r="L25" s="181"/>
      <c r="M25" s="18"/>
      <c r="O25" s="526"/>
      <c r="P25" s="525" t="s">
        <v>33</v>
      </c>
      <c r="Q25" s="526" t="s">
        <v>988</v>
      </c>
      <c r="R25" s="526"/>
      <c r="S25" s="525" t="s">
        <v>150</v>
      </c>
      <c r="T25" s="526" t="s">
        <v>989</v>
      </c>
      <c r="U25" s="525" t="s">
        <v>150</v>
      </c>
      <c r="V25" s="526" t="s">
        <v>990</v>
      </c>
      <c r="W25" s="522"/>
      <c r="X25" s="522"/>
      <c r="Y25" s="522"/>
      <c r="Z25" s="522"/>
      <c r="AA25" s="522"/>
    </row>
    <row r="26" spans="1:27" ht="15" customHeight="1">
      <c r="A26" s="22"/>
      <c r="B26" s="417">
        <v>2023</v>
      </c>
      <c r="C26" s="550">
        <v>1030</v>
      </c>
      <c r="D26" s="550">
        <v>367300</v>
      </c>
      <c r="E26" s="345">
        <v>1.1399999999999999</v>
      </c>
      <c r="F26" s="954">
        <v>1.06</v>
      </c>
      <c r="G26" s="955">
        <v>336</v>
      </c>
      <c r="H26" s="57"/>
      <c r="I26" s="180"/>
      <c r="J26" s="180"/>
      <c r="K26" s="180"/>
      <c r="L26" s="181"/>
      <c r="M26" s="18"/>
      <c r="O26" s="526"/>
      <c r="P26" s="525" t="s">
        <v>33</v>
      </c>
      <c r="Q26" s="956">
        <f>K11</f>
        <v>0.38</v>
      </c>
      <c r="R26" s="526"/>
      <c r="S26" s="525" t="s">
        <v>150</v>
      </c>
      <c r="T26" s="957">
        <f>Z35</f>
        <v>408.75</v>
      </c>
      <c r="U26" s="525" t="s">
        <v>150</v>
      </c>
      <c r="V26" s="958">
        <f>F23</f>
        <v>1.06</v>
      </c>
      <c r="W26" s="522"/>
      <c r="X26" s="522"/>
      <c r="Y26" s="522"/>
      <c r="Z26" s="522"/>
      <c r="AA26" s="522"/>
    </row>
    <row r="27" spans="1:27" ht="15" customHeight="1">
      <c r="A27" s="22"/>
      <c r="B27" s="417">
        <v>2024</v>
      </c>
      <c r="C27" s="550">
        <v>1090</v>
      </c>
      <c r="D27" s="550">
        <v>434300</v>
      </c>
      <c r="E27" s="345">
        <v>1.2</v>
      </c>
      <c r="F27" s="954">
        <v>1.06</v>
      </c>
      <c r="G27" s="955">
        <v>354</v>
      </c>
      <c r="H27" s="57"/>
      <c r="I27" s="180"/>
      <c r="J27" s="180"/>
      <c r="K27" s="180"/>
      <c r="L27" s="181"/>
      <c r="M27" s="18"/>
      <c r="O27" s="526"/>
      <c r="P27" s="525" t="s">
        <v>33</v>
      </c>
      <c r="Q27" s="657">
        <f>Q26*T26*V26</f>
        <v>164.64449999999999</v>
      </c>
      <c r="R27" s="216" t="s">
        <v>991</v>
      </c>
      <c r="S27" s="526"/>
      <c r="T27" s="526"/>
      <c r="U27" s="526"/>
      <c r="V27" s="522"/>
      <c r="W27" s="522"/>
      <c r="X27" s="522"/>
      <c r="Y27" s="522"/>
      <c r="Z27" s="522"/>
      <c r="AA27" s="522"/>
    </row>
    <row r="28" spans="1:27" ht="15" customHeight="1">
      <c r="A28" s="22"/>
      <c r="B28" s="417">
        <v>2025</v>
      </c>
      <c r="C28" s="550"/>
      <c r="D28" s="950"/>
      <c r="E28" s="917"/>
      <c r="F28" s="560"/>
      <c r="G28" s="955">
        <v>373</v>
      </c>
      <c r="H28" s="57"/>
      <c r="I28" s="57"/>
      <c r="J28" s="143"/>
      <c r="K28" s="143"/>
      <c r="L28" s="181"/>
      <c r="M28" s="18"/>
      <c r="O28" s="526"/>
      <c r="P28" s="526"/>
      <c r="Q28" s="526"/>
      <c r="R28" s="526"/>
      <c r="S28" s="526"/>
      <c r="T28" s="526"/>
      <c r="U28" s="526"/>
      <c r="V28" s="522"/>
      <c r="W28" s="522"/>
      <c r="X28" s="522"/>
      <c r="Y28" s="522"/>
      <c r="Z28" s="522"/>
      <c r="AA28" s="522"/>
    </row>
    <row r="29" spans="1:27" ht="15" customHeight="1">
      <c r="A29" s="22"/>
      <c r="B29" s="417">
        <v>2026</v>
      </c>
      <c r="C29" s="550"/>
      <c r="D29" s="950"/>
      <c r="E29" s="917"/>
      <c r="F29" s="560"/>
      <c r="G29" s="959">
        <v>393</v>
      </c>
      <c r="H29" s="57"/>
      <c r="I29" s="57"/>
      <c r="J29" s="143"/>
      <c r="K29" s="143"/>
      <c r="L29" s="181"/>
      <c r="M29" s="18"/>
      <c r="O29" s="526"/>
      <c r="P29" s="527" t="s">
        <v>992</v>
      </c>
      <c r="Q29" s="526"/>
      <c r="R29" s="526"/>
      <c r="S29" s="526"/>
      <c r="T29" s="526"/>
      <c r="U29" s="526"/>
      <c r="V29" s="59"/>
      <c r="W29" s="960" t="s">
        <v>993</v>
      </c>
      <c r="X29" s="535" t="s">
        <v>33</v>
      </c>
      <c r="Y29" s="531" t="str">
        <f>D8+1&amp;" - " &amp; RIGHT("0"&amp;E8,2) &amp; " - " &amp; RIGHT("0"&amp;F8,2)</f>
        <v>2027 - 04 - 01</v>
      </c>
      <c r="Z29" s="531"/>
      <c r="AA29" s="526"/>
    </row>
    <row r="30" spans="1:27" ht="15" customHeight="1">
      <c r="A30" s="22"/>
      <c r="B30" s="418">
        <v>2027</v>
      </c>
      <c r="C30" s="551"/>
      <c r="D30" s="953"/>
      <c r="E30" s="920"/>
      <c r="F30" s="69"/>
      <c r="G30" s="961">
        <v>414</v>
      </c>
      <c r="H30" s="57"/>
      <c r="I30" s="57"/>
      <c r="J30" s="143"/>
      <c r="K30" s="143"/>
      <c r="L30" s="181"/>
      <c r="M30" s="18"/>
      <c r="O30" s="526"/>
      <c r="P30" s="273" t="s">
        <v>994</v>
      </c>
      <c r="Q30" s="526"/>
      <c r="R30" s="526"/>
      <c r="S30" s="526"/>
      <c r="T30" s="526"/>
      <c r="U30" s="526"/>
      <c r="V30" s="522"/>
      <c r="W30" s="167" t="str">
        <f>"AAD("&amp;B29&amp;")"</f>
        <v>AAD(2026)</v>
      </c>
      <c r="X30" s="525" t="s">
        <v>33</v>
      </c>
      <c r="Y30" s="526" t="str">
        <f>B29&amp;" - 07 - 01"</f>
        <v>2026 - 07 - 01</v>
      </c>
      <c r="Z30" s="526"/>
      <c r="AA30" s="526"/>
    </row>
    <row r="31" spans="1:27" ht="15" customHeight="1">
      <c r="A31" s="22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  <c r="O31" s="526"/>
      <c r="P31" s="273" t="s">
        <v>995</v>
      </c>
      <c r="Q31" s="522"/>
      <c r="R31" s="522"/>
      <c r="S31" s="522"/>
      <c r="T31" s="522"/>
      <c r="U31" s="526"/>
      <c r="V31" s="522"/>
      <c r="W31" s="167" t="str">
        <f>"AAD("&amp;B30&amp;")"</f>
        <v>AAD(2027)</v>
      </c>
      <c r="X31" s="525" t="s">
        <v>33</v>
      </c>
      <c r="Y31" s="526" t="str">
        <f>B30&amp;" - 07 - 01"</f>
        <v>2027 - 07 - 01</v>
      </c>
      <c r="Z31" s="526"/>
      <c r="AA31" s="526"/>
    </row>
    <row r="32" spans="1:27" ht="15" customHeight="1">
      <c r="A32" s="22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  <c r="O32" s="526"/>
      <c r="P32" s="178" t="s">
        <v>996</v>
      </c>
      <c r="Q32" s="522"/>
      <c r="R32" s="522"/>
      <c r="S32" s="522"/>
      <c r="T32" s="522"/>
      <c r="U32" s="526"/>
      <c r="V32" s="522"/>
      <c r="W32" s="522"/>
      <c r="X32" s="522"/>
      <c r="Y32" s="522"/>
      <c r="Z32" s="522"/>
      <c r="AA32" s="526"/>
    </row>
    <row r="33" spans="1:27" ht="15" customHeight="1">
      <c r="A33" s="22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O33" s="526"/>
      <c r="P33" s="178" t="str">
        <f>"CY "&amp;B29&amp;" and CY "&amp;B30&amp;" where the weight given to "&amp;"CY "&amp;B29&amp;" is:"</f>
        <v>CY 2026 and CY 2027 where the weight given to CY 2026 is:</v>
      </c>
      <c r="Q33" s="522"/>
      <c r="R33" s="522"/>
      <c r="S33" s="522"/>
      <c r="T33" s="522"/>
      <c r="U33" s="526"/>
      <c r="V33" s="962">
        <f>IF(E8=7,0,IF(E8=4,0.25,0.5))</f>
        <v>0.25</v>
      </c>
      <c r="W33" s="522"/>
      <c r="X33" s="522"/>
      <c r="Y33" s="522"/>
      <c r="Z33" s="522"/>
      <c r="AA33" s="526"/>
    </row>
    <row r="34" spans="1:27" ht="15" customHeight="1">
      <c r="A34" s="2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  <c r="O34" s="526"/>
      <c r="P34" s="522"/>
      <c r="Q34" s="526"/>
      <c r="R34" s="526"/>
      <c r="S34" s="526"/>
      <c r="T34" s="526"/>
      <c r="U34" s="526"/>
      <c r="V34" s="522"/>
      <c r="W34" s="526"/>
      <c r="X34" s="526"/>
      <c r="Y34" s="526"/>
      <c r="Z34" s="526"/>
      <c r="AA34" s="526"/>
    </row>
    <row r="35" spans="1:27" ht="15" customHeight="1">
      <c r="A35" s="22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  <c r="O35" s="526"/>
      <c r="P35" s="522" t="s">
        <v>989</v>
      </c>
      <c r="Q35" s="44" t="s">
        <v>33</v>
      </c>
      <c r="R35" s="680">
        <f>V33</f>
        <v>0.25</v>
      </c>
      <c r="S35" s="44" t="s">
        <v>150</v>
      </c>
      <c r="T35" s="963">
        <f>G29</f>
        <v>393</v>
      </c>
      <c r="U35" s="44" t="s">
        <v>34</v>
      </c>
      <c r="V35" s="159">
        <f>1-V33</f>
        <v>0.75</v>
      </c>
      <c r="W35" s="525" t="s">
        <v>150</v>
      </c>
      <c r="X35" s="340">
        <f>G30</f>
        <v>414</v>
      </c>
      <c r="Y35" s="525" t="s">
        <v>33</v>
      </c>
      <c r="Z35" s="964">
        <f>R35*T35+V35*X35</f>
        <v>408.75</v>
      </c>
      <c r="AA35" s="526"/>
    </row>
    <row r="36" spans="1:27" ht="15" customHeight="1">
      <c r="A36" s="22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  <c r="O36" s="526"/>
      <c r="P36" s="522"/>
      <c r="Q36" s="522"/>
      <c r="R36" s="522"/>
      <c r="S36" s="522"/>
      <c r="T36" s="522"/>
      <c r="U36" s="522"/>
      <c r="V36" s="522"/>
      <c r="W36" s="526"/>
      <c r="X36" s="526"/>
      <c r="Y36" s="526"/>
      <c r="Z36" s="526"/>
      <c r="AA36" s="526"/>
    </row>
    <row r="37" spans="1:27" ht="15" customHeight="1" thickBot="1">
      <c r="A37" s="24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  <c r="O37" s="965" t="s">
        <v>152</v>
      </c>
      <c r="P37" s="522" t="str">
        <f>" calculate the net reinsurance cost per exposure (assume no exposure trend so use exposures from "&amp;B27&amp;")"</f>
        <v xml:space="preserve"> calculate the net reinsurance cost per exposure (assume no exposure trend so use exposures from 2024)</v>
      </c>
      <c r="Q37" s="522"/>
      <c r="R37" s="522"/>
      <c r="S37" s="522"/>
      <c r="T37" s="522"/>
      <c r="U37" s="522"/>
      <c r="V37" s="526"/>
      <c r="W37" s="526"/>
      <c r="X37" s="526"/>
      <c r="Y37" s="526"/>
      <c r="Z37" s="526"/>
      <c r="AA37" s="526"/>
    </row>
    <row r="38" spans="1:27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O38" s="526"/>
      <c r="P38" s="526"/>
      <c r="Q38" s="526"/>
      <c r="R38" s="526"/>
      <c r="S38" s="526"/>
      <c r="T38" s="526"/>
      <c r="U38" s="526"/>
      <c r="V38" s="526"/>
      <c r="W38" s="526"/>
      <c r="X38" s="526"/>
      <c r="Y38" s="526"/>
      <c r="Z38" s="526"/>
      <c r="AA38" s="526"/>
    </row>
    <row r="39" spans="1:27" ht="15" customHeight="1">
      <c r="O39" s="526"/>
      <c r="P39" s="526" t="s">
        <v>997</v>
      </c>
      <c r="Q39" s="525" t="s">
        <v>33</v>
      </c>
      <c r="R39" s="526" t="str">
        <f>"(" &amp;H12</f>
        <v>(2024 reinsurance cost</v>
      </c>
      <c r="S39" s="526"/>
      <c r="T39" s="526"/>
      <c r="U39" s="525" t="s">
        <v>123</v>
      </c>
      <c r="V39" s="526" t="str">
        <f>H13&amp;")"</f>
        <v>2024 reinsurance recoveries)</v>
      </c>
      <c r="W39" s="526"/>
      <c r="X39" s="526"/>
      <c r="Y39" s="156" t="s">
        <v>35</v>
      </c>
      <c r="Z39" s="526" t="str">
        <f>"EE for CY " &amp;B27</f>
        <v>EE for CY 2024</v>
      </c>
      <c r="AA39" s="526"/>
    </row>
    <row r="40" spans="1:27" ht="15" customHeight="1">
      <c r="O40" s="526"/>
      <c r="P40" s="526"/>
      <c r="Q40" s="525" t="s">
        <v>33</v>
      </c>
      <c r="R40" s="154" t="s">
        <v>213</v>
      </c>
      <c r="S40" s="526">
        <f>K12</f>
        <v>79000</v>
      </c>
      <c r="T40" s="526"/>
      <c r="U40" s="525" t="s">
        <v>123</v>
      </c>
      <c r="V40" s="154">
        <f>K13</f>
        <v>39000</v>
      </c>
      <c r="W40" s="525"/>
      <c r="X40" s="525" t="s">
        <v>195</v>
      </c>
      <c r="Y40" s="156" t="s">
        <v>35</v>
      </c>
      <c r="Z40" s="526">
        <f>C27</f>
        <v>1090</v>
      </c>
      <c r="AA40" s="526"/>
    </row>
    <row r="41" spans="1:27" ht="15" customHeight="1">
      <c r="O41" s="526"/>
      <c r="P41" s="526"/>
      <c r="Q41" s="525" t="s">
        <v>33</v>
      </c>
      <c r="R41" s="966">
        <f>(S40-V40)/Z40</f>
        <v>36.697247706422019</v>
      </c>
      <c r="S41" s="216" t="s">
        <v>998</v>
      </c>
      <c r="T41" s="526"/>
      <c r="U41" s="526"/>
      <c r="V41" s="526"/>
      <c r="W41" s="526"/>
      <c r="X41" s="526"/>
      <c r="Y41" s="526"/>
      <c r="Z41" s="526"/>
      <c r="AA41" s="526"/>
    </row>
    <row r="42" spans="1:27" ht="15" customHeight="1">
      <c r="O42" s="526"/>
      <c r="P42" s="526"/>
      <c r="Q42" s="526"/>
      <c r="R42" s="526"/>
      <c r="S42" s="526"/>
      <c r="T42" s="526"/>
      <c r="U42" s="526"/>
      <c r="V42" s="526"/>
      <c r="W42" s="526"/>
      <c r="X42" s="526"/>
      <c r="Y42" s="526"/>
      <c r="Z42" s="526"/>
      <c r="AA42" s="526"/>
    </row>
    <row r="43" spans="1:27" ht="15" customHeight="1">
      <c r="O43" s="784" t="s">
        <v>279</v>
      </c>
      <c r="P43" s="526" t="s">
        <v>999</v>
      </c>
      <c r="Q43" s="526"/>
      <c r="R43" s="526"/>
      <c r="S43" s="526"/>
      <c r="T43" s="526"/>
      <c r="U43" s="526"/>
      <c r="V43" s="526"/>
      <c r="W43" s="526"/>
      <c r="X43" s="526"/>
      <c r="Y43" s="526"/>
      <c r="Z43" s="526"/>
      <c r="AA43" s="526"/>
    </row>
    <row r="44" spans="1:27" ht="15" customHeight="1"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526"/>
      <c r="Z44" s="526"/>
      <c r="AA44" s="526"/>
    </row>
    <row r="45" spans="1:27" ht="15" customHeight="1">
      <c r="O45" s="526"/>
      <c r="P45" s="167" t="str">
        <f>"AWD("&amp;B27&amp;")"</f>
        <v>AWD(2024)</v>
      </c>
      <c r="Q45" s="525" t="s">
        <v>33</v>
      </c>
      <c r="R45" s="526" t="str">
        <f>B27&amp;" - 07 - 01"</f>
        <v>2024 - 07 - 01</v>
      </c>
      <c r="S45" s="526"/>
      <c r="T45" s="526"/>
      <c r="U45" s="526"/>
      <c r="V45" s="526"/>
      <c r="W45" s="526"/>
      <c r="X45" s="526"/>
      <c r="Y45" s="526"/>
      <c r="Z45" s="526"/>
      <c r="AA45" s="526"/>
    </row>
    <row r="46" spans="1:27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O46" s="526"/>
      <c r="P46" s="167" t="s">
        <v>1000</v>
      </c>
      <c r="Q46" s="525" t="s">
        <v>33</v>
      </c>
      <c r="R46" s="526" t="str">
        <f>IF(OR(E8=1,E8=4),D8,D8+1) &amp; " - " &amp; RIGHT("0"&amp;IF(OR(E8=1,E8=4),E8+6,E8-6),2) &amp; " - 01"</f>
        <v>2026 - 10 - 01</v>
      </c>
      <c r="S46" s="526"/>
      <c r="T46" s="526"/>
      <c r="U46" s="526"/>
      <c r="V46" s="526"/>
      <c r="W46" s="526"/>
      <c r="X46" s="526"/>
      <c r="Y46" s="526"/>
      <c r="Z46" s="526"/>
      <c r="AA46" s="526"/>
    </row>
    <row r="47" spans="1:27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O47" s="526"/>
      <c r="P47" s="526"/>
      <c r="Q47" s="526"/>
      <c r="R47" s="526"/>
      <c r="S47" s="526"/>
      <c r="T47" s="526"/>
      <c r="U47" s="526"/>
      <c r="V47" s="526"/>
      <c r="W47" s="526"/>
      <c r="X47" s="526"/>
      <c r="Y47" s="526"/>
      <c r="Z47" s="526"/>
      <c r="AA47" s="526"/>
    </row>
    <row r="48" spans="1:27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O48" s="526"/>
      <c r="P48" s="167" t="s">
        <v>1001</v>
      </c>
      <c r="Q48" s="525" t="s">
        <v>33</v>
      </c>
      <c r="R48" s="159">
        <f>(R58-R57)/12</f>
        <v>2.25</v>
      </c>
      <c r="S48" s="526"/>
      <c r="T48" s="526"/>
      <c r="U48" s="526"/>
      <c r="V48" s="526"/>
      <c r="W48" s="526"/>
      <c r="X48" s="526"/>
      <c r="Y48" s="526"/>
      <c r="Z48" s="526"/>
      <c r="AA48" s="526"/>
    </row>
    <row r="49" spans="2:27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O49" s="526"/>
      <c r="P49" s="526"/>
      <c r="Q49" s="526"/>
      <c r="R49" s="526"/>
      <c r="S49" s="526"/>
      <c r="T49" s="526"/>
      <c r="U49" s="526"/>
      <c r="V49" s="526"/>
      <c r="W49" s="526"/>
      <c r="X49" s="526"/>
      <c r="Y49" s="526"/>
      <c r="Z49" s="526"/>
      <c r="AA49" s="526"/>
    </row>
    <row r="50" spans="2:27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O50" s="526"/>
      <c r="P50" s="526" t="s">
        <v>1002</v>
      </c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526"/>
    </row>
    <row r="51" spans="2:27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O51" s="526"/>
      <c r="P51" s="526"/>
      <c r="Q51" s="525" t="s">
        <v>33</v>
      </c>
      <c r="R51" s="526" t="str">
        <f>"E(F) through " &amp;B27</f>
        <v>E(F) through 2024</v>
      </c>
      <c r="S51" s="526"/>
      <c r="T51" s="525" t="s">
        <v>150</v>
      </c>
      <c r="U51" s="123" t="s">
        <v>1003</v>
      </c>
      <c r="V51" s="526"/>
      <c r="W51" s="526"/>
      <c r="X51" s="526"/>
      <c r="Y51" s="526"/>
      <c r="Z51" s="526"/>
      <c r="AA51" s="526"/>
    </row>
    <row r="52" spans="2:27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O52" s="526"/>
      <c r="P52" s="526"/>
      <c r="Q52" s="525" t="s">
        <v>33</v>
      </c>
      <c r="R52" s="967">
        <f>D13</f>
        <v>52</v>
      </c>
      <c r="S52" s="526"/>
      <c r="T52" s="525" t="s">
        <v>150</v>
      </c>
      <c r="U52" s="526" t="str">
        <f>"("&amp;1+D17&amp;") ^ "&amp;ROUND(R48,2)</f>
        <v>(1.03) ^ 2.25</v>
      </c>
      <c r="V52" s="526"/>
      <c r="W52" s="526"/>
      <c r="X52" s="526"/>
      <c r="Y52" s="526"/>
      <c r="Z52" s="526"/>
      <c r="AA52" s="526"/>
    </row>
    <row r="53" spans="2:27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O53" s="526"/>
      <c r="P53" s="526"/>
      <c r="Q53" s="525" t="s">
        <v>33</v>
      </c>
      <c r="R53" s="968">
        <f>R52*(1+D17)^R48</f>
        <v>55.575976115347835</v>
      </c>
      <c r="S53" s="216" t="s">
        <v>1004</v>
      </c>
      <c r="T53" s="526"/>
      <c r="U53" s="526"/>
      <c r="V53" s="526"/>
      <c r="W53" s="526"/>
      <c r="X53" s="526"/>
      <c r="Y53" s="526"/>
      <c r="Z53" s="526"/>
      <c r="AA53" s="526"/>
    </row>
    <row r="54" spans="2:27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O54" s="526"/>
      <c r="P54" s="526"/>
      <c r="Q54" s="526"/>
      <c r="R54" s="526"/>
      <c r="S54" s="526"/>
      <c r="T54" s="526"/>
      <c r="U54" s="526"/>
      <c r="V54" s="526"/>
      <c r="W54" s="526"/>
      <c r="X54" s="526"/>
      <c r="Y54" s="526"/>
      <c r="Z54" s="526"/>
      <c r="AA54" s="526"/>
    </row>
    <row r="55" spans="2:27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O55" s="969" t="s">
        <v>1005</v>
      </c>
      <c r="P55" s="969"/>
      <c r="Q55" s="969"/>
      <c r="R55" s="969"/>
      <c r="S55" s="969"/>
      <c r="T55" s="969"/>
      <c r="U55" s="969"/>
      <c r="V55" s="969"/>
      <c r="W55" s="969"/>
      <c r="X55" s="969"/>
      <c r="Y55" s="969"/>
      <c r="Z55" s="969"/>
      <c r="AA55" s="969"/>
    </row>
    <row r="56" spans="2:27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O56" s="526"/>
      <c r="P56" s="522"/>
      <c r="Q56" s="522"/>
      <c r="R56" s="44" t="s">
        <v>1006</v>
      </c>
      <c r="S56" s="526"/>
      <c r="T56" s="526"/>
      <c r="U56" s="526"/>
      <c r="V56" s="526"/>
      <c r="W56" s="526"/>
      <c r="X56" s="526"/>
      <c r="Y56" s="526"/>
      <c r="Z56" s="526"/>
      <c r="AA56" s="526"/>
    </row>
    <row r="57" spans="2:27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O57" s="525" t="str">
        <f>LEFT(B27,4)</f>
        <v>2024</v>
      </c>
      <c r="P57" s="622" t="s">
        <v>129</v>
      </c>
      <c r="Q57" s="44">
        <v>1</v>
      </c>
      <c r="R57" s="44">
        <f>O57*12+P57</f>
        <v>24295</v>
      </c>
      <c r="S57" s="526"/>
      <c r="T57" s="526"/>
      <c r="U57" s="526"/>
      <c r="V57" s="526"/>
      <c r="W57" s="526"/>
      <c r="X57" s="526"/>
      <c r="Y57" s="526"/>
      <c r="Z57" s="526"/>
      <c r="AA57" s="526"/>
    </row>
    <row r="58" spans="2:27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O58" s="525" t="str">
        <f>LEFT(D8,4)</f>
        <v>2026</v>
      </c>
      <c r="P58" s="44" t="str">
        <f>MID(R46,8,2)</f>
        <v>10</v>
      </c>
      <c r="Q58" s="44">
        <v>1</v>
      </c>
      <c r="R58" s="44">
        <f>O58*12+P58</f>
        <v>24322</v>
      </c>
      <c r="S58" s="526"/>
      <c r="T58" s="526"/>
      <c r="U58" s="526"/>
      <c r="V58" s="526"/>
      <c r="W58" s="526"/>
      <c r="X58" s="526"/>
      <c r="Y58" s="526"/>
      <c r="Z58" s="526"/>
      <c r="AA58" s="526"/>
    </row>
    <row r="59" spans="2:27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27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O60" s="510"/>
      <c r="P60" s="510"/>
      <c r="Q60" s="510"/>
      <c r="R60" s="510"/>
      <c r="S60" s="510"/>
      <c r="T60" s="510"/>
      <c r="U60" s="510"/>
      <c r="V60" s="510"/>
      <c r="W60" s="510"/>
      <c r="X60" s="510"/>
      <c r="Y60" s="510"/>
      <c r="Z60" s="510"/>
    </row>
    <row r="61" spans="2:27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510"/>
      <c r="Z61" s="510"/>
    </row>
    <row r="62" spans="2:27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O62" s="510"/>
      <c r="P62" s="510"/>
      <c r="Q62" s="510"/>
      <c r="R62" s="510"/>
      <c r="S62" s="510"/>
      <c r="T62" s="510"/>
      <c r="U62" s="510"/>
      <c r="V62" s="510"/>
      <c r="W62" s="510"/>
      <c r="X62" s="510"/>
      <c r="Y62" s="510"/>
      <c r="Z62" s="510"/>
    </row>
    <row r="63" spans="2:27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O63" s="510"/>
      <c r="P63" s="510"/>
      <c r="Q63" s="510"/>
      <c r="R63" s="510"/>
      <c r="S63" s="510"/>
      <c r="T63" s="510"/>
      <c r="U63" s="510"/>
      <c r="V63" s="510"/>
      <c r="W63" s="510"/>
      <c r="X63" s="510"/>
      <c r="Y63" s="510"/>
      <c r="Z63" s="510"/>
    </row>
    <row r="64" spans="2:27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O64" s="510"/>
      <c r="P64" s="510"/>
      <c r="Q64" s="510"/>
      <c r="R64" s="510"/>
      <c r="S64" s="510"/>
      <c r="T64" s="510"/>
      <c r="U64" s="510"/>
      <c r="V64" s="510"/>
      <c r="W64" s="510"/>
      <c r="X64" s="510"/>
      <c r="Y64" s="510"/>
      <c r="Z64" s="510"/>
    </row>
    <row r="65" spans="2:26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O65" s="510"/>
      <c r="P65" s="510"/>
      <c r="Q65" s="510"/>
      <c r="R65" s="510"/>
      <c r="S65" s="510"/>
      <c r="T65" s="510"/>
      <c r="U65" s="510"/>
      <c r="V65" s="510"/>
      <c r="W65" s="510"/>
      <c r="X65" s="510"/>
      <c r="Y65" s="510"/>
      <c r="Z65" s="510"/>
    </row>
    <row r="66" spans="2:26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510"/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</row>
    <row r="67" spans="2:26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510"/>
      <c r="P67" s="510"/>
      <c r="Q67" s="510"/>
      <c r="R67" s="510"/>
      <c r="S67" s="510"/>
      <c r="T67" s="510"/>
      <c r="U67" s="510"/>
      <c r="V67" s="510"/>
      <c r="W67" s="510"/>
      <c r="X67" s="510"/>
      <c r="Y67" s="510"/>
      <c r="Z67" s="510"/>
    </row>
    <row r="68" spans="2:26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510"/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</row>
    <row r="69" spans="2:26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</row>
    <row r="70" spans="2:26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26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26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26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26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26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26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26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26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26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26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1">
    <mergeCell ref="L1:M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A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7" ht="15" customHeight="1">
      <c r="A1" s="7">
        <v>13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Pricing - Chap 9: Risk Classification</v>
      </c>
      <c r="M1"/>
      <c r="N1"/>
      <c r="O1"/>
      <c r="P1"/>
      <c r="Q1"/>
      <c r="R1"/>
      <c r="S1"/>
      <c r="T1"/>
      <c r="U1"/>
    </row>
    <row r="2" spans="1:27" ht="15" customHeight="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 s="510"/>
      <c r="N2" s="510"/>
      <c r="O2" s="510"/>
      <c r="P2" s="510"/>
      <c r="Q2" s="510"/>
      <c r="R2" s="510"/>
      <c r="S2" s="510"/>
      <c r="T2" s="510"/>
      <c r="U2"/>
    </row>
    <row r="3" spans="1:27" ht="15" customHeight="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2</v>
      </c>
      <c r="L3" s="153" t="s">
        <v>119</v>
      </c>
      <c r="M3" s="522" t="s">
        <v>529</v>
      </c>
      <c r="N3" s="522"/>
      <c r="O3" s="522"/>
      <c r="P3" s="522"/>
      <c r="Q3" s="522"/>
      <c r="R3" s="522"/>
      <c r="S3" s="522"/>
      <c r="T3" s="522"/>
      <c r="U3" s="522"/>
      <c r="V3" s="522"/>
      <c r="W3" s="522"/>
      <c r="AA3" s="522"/>
    </row>
    <row r="4" spans="1:27" ht="15" customHeight="1">
      <c r="A4" s="9">
        <f>INDEX('Point Grid'!B:B,MATCH(A1,'Point Grid'!A:A,0))</f>
        <v>3.75</v>
      </c>
      <c r="B4" s="17"/>
      <c r="C4" s="17"/>
      <c r="D4" s="17"/>
      <c r="E4" s="17"/>
      <c r="F4" s="17"/>
      <c r="G4" s="17"/>
      <c r="H4" s="17"/>
      <c r="I4" s="18"/>
      <c r="J4" s="30"/>
      <c r="K4" s="41"/>
      <c r="L4" s="522"/>
      <c r="M4" s="44" t="s">
        <v>530</v>
      </c>
      <c r="N4" s="591" t="s">
        <v>531</v>
      </c>
      <c r="O4" s="522"/>
      <c r="P4" s="522"/>
      <c r="Q4" s="522"/>
      <c r="R4" s="522"/>
      <c r="S4" s="522"/>
      <c r="T4" s="522"/>
      <c r="U4" s="522"/>
      <c r="V4" s="522"/>
      <c r="W4" s="522"/>
      <c r="AA4" s="522"/>
    </row>
    <row r="5" spans="1:27" ht="15" customHeight="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 s="526"/>
      <c r="M5" s="44" t="s">
        <v>532</v>
      </c>
      <c r="N5" s="591" t="s">
        <v>533</v>
      </c>
      <c r="O5" s="522"/>
      <c r="P5" s="522"/>
      <c r="Q5" s="522"/>
      <c r="R5" s="522"/>
      <c r="S5" s="522"/>
      <c r="T5" s="522"/>
      <c r="U5" s="522"/>
      <c r="V5" s="526"/>
      <c r="W5" s="526"/>
      <c r="AA5" s="526"/>
    </row>
    <row r="6" spans="1:27" ht="15" customHeight="1">
      <c r="A6" s="25" t="s">
        <v>2</v>
      </c>
      <c r="B6" s="17" t="s">
        <v>522</v>
      </c>
      <c r="C6" s="17"/>
      <c r="D6" s="17"/>
      <c r="E6" s="17"/>
      <c r="F6" s="17"/>
      <c r="G6" s="17"/>
      <c r="H6" s="17"/>
      <c r="I6" s="18"/>
      <c r="J6" s="30"/>
      <c r="K6" s="41"/>
      <c r="L6" s="526"/>
      <c r="M6" s="44" t="s">
        <v>534</v>
      </c>
      <c r="N6" s="591" t="s">
        <v>535</v>
      </c>
      <c r="O6" s="522"/>
      <c r="P6" s="522"/>
      <c r="Q6" s="522"/>
      <c r="R6" s="522"/>
      <c r="S6" s="522"/>
      <c r="T6" s="522"/>
      <c r="U6" s="522"/>
      <c r="V6" s="526"/>
      <c r="W6" s="526"/>
      <c r="AA6" s="526"/>
    </row>
    <row r="7" spans="1:27" ht="15" customHeight="1" thickBot="1">
      <c r="A7" s="9">
        <f>INDEX('Point Grid'!$C$8:$I$54,MATCH($A$1,'Point Grid'!$A$8:$A$54,0),MATCH(A6,'Point Grid'!$C$7:$I$7,0))</f>
        <v>3.75</v>
      </c>
      <c r="B7" s="17"/>
      <c r="C7" s="17"/>
      <c r="D7" s="17"/>
      <c r="E7" s="17"/>
      <c r="F7" s="17"/>
      <c r="G7" s="17"/>
      <c r="H7" s="17"/>
      <c r="I7" s="18"/>
      <c r="J7" s="30"/>
      <c r="K7" s="41"/>
      <c r="L7" s="526"/>
      <c r="M7" s="522"/>
      <c r="N7" s="522"/>
      <c r="O7" s="522"/>
      <c r="P7" s="522"/>
      <c r="Q7" s="522"/>
      <c r="R7" s="522"/>
      <c r="S7" s="522"/>
      <c r="T7" s="522"/>
      <c r="U7" s="522"/>
      <c r="V7" s="526"/>
      <c r="W7" s="526"/>
      <c r="AA7" s="526"/>
    </row>
    <row r="8" spans="1:27" ht="15" customHeight="1" thickBot="1">
      <c r="A8" s="5"/>
      <c r="B8" s="17"/>
      <c r="C8" s="182" t="s">
        <v>136</v>
      </c>
      <c r="D8" s="219"/>
      <c r="E8" s="220"/>
      <c r="F8" s="188"/>
      <c r="G8" s="143"/>
      <c r="H8" s="143"/>
      <c r="I8" s="18"/>
      <c r="J8" s="30"/>
      <c r="K8"/>
      <c r="L8" s="526"/>
      <c r="M8" s="156" t="s">
        <v>103</v>
      </c>
      <c r="N8" s="156" t="s">
        <v>104</v>
      </c>
      <c r="O8" s="156" t="s">
        <v>105</v>
      </c>
      <c r="P8" s="156" t="s">
        <v>106</v>
      </c>
      <c r="Q8" s="156" t="s">
        <v>107</v>
      </c>
      <c r="R8" s="156" t="s">
        <v>108</v>
      </c>
      <c r="S8" s="156" t="s">
        <v>536</v>
      </c>
      <c r="T8" s="156" t="s">
        <v>537</v>
      </c>
      <c r="U8" s="156" t="s">
        <v>538</v>
      </c>
      <c r="V8" s="526"/>
      <c r="W8" s="526"/>
      <c r="AA8" s="526"/>
    </row>
    <row r="9" spans="1:27" ht="15" customHeight="1">
      <c r="A9" s="25"/>
      <c r="B9" s="17"/>
      <c r="C9" s="221" t="s">
        <v>137</v>
      </c>
      <c r="D9" s="222"/>
      <c r="E9" s="223" t="s">
        <v>84</v>
      </c>
      <c r="F9" s="221" t="s">
        <v>523</v>
      </c>
      <c r="G9" s="143"/>
      <c r="H9" s="143"/>
      <c r="I9" s="18"/>
      <c r="J9" s="30"/>
      <c r="K9" s="41"/>
      <c r="L9" s="526"/>
      <c r="M9" s="171" t="s">
        <v>136</v>
      </c>
      <c r="N9" s="210"/>
      <c r="O9" s="211"/>
      <c r="P9" s="213"/>
      <c r="Q9" s="210"/>
      <c r="R9" s="104"/>
      <c r="S9" s="592"/>
      <c r="T9" s="593" t="s">
        <v>539</v>
      </c>
      <c r="U9" s="171" t="s">
        <v>540</v>
      </c>
      <c r="V9" s="526"/>
      <c r="W9" s="526"/>
      <c r="AA9" s="526"/>
    </row>
    <row r="10" spans="1:27" ht="15" customHeight="1">
      <c r="A10" s="25"/>
      <c r="B10" s="17"/>
      <c r="C10" s="185" t="s">
        <v>138</v>
      </c>
      <c r="D10" s="224" t="s">
        <v>139</v>
      </c>
      <c r="E10" s="225" t="s">
        <v>140</v>
      </c>
      <c r="F10" s="185" t="s">
        <v>144</v>
      </c>
      <c r="G10" s="143" t="s">
        <v>524</v>
      </c>
      <c r="H10" s="143"/>
      <c r="I10" s="18"/>
      <c r="J10" s="30"/>
      <c r="K10"/>
      <c r="L10" s="526"/>
      <c r="M10" s="108" t="s">
        <v>137</v>
      </c>
      <c r="N10" s="109"/>
      <c r="O10" s="539" t="s">
        <v>84</v>
      </c>
      <c r="P10" s="214" t="s">
        <v>141</v>
      </c>
      <c r="Q10" s="109" t="s">
        <v>142</v>
      </c>
      <c r="R10" s="594" t="s">
        <v>541</v>
      </c>
      <c r="S10" s="595" t="s">
        <v>523</v>
      </c>
      <c r="T10" s="596" t="s">
        <v>523</v>
      </c>
      <c r="U10" s="108" t="s">
        <v>142</v>
      </c>
      <c r="V10" s="526"/>
      <c r="W10" s="526"/>
      <c r="AA10" s="526"/>
    </row>
    <row r="11" spans="1:27" ht="15" customHeight="1">
      <c r="A11" s="25"/>
      <c r="B11" s="17"/>
      <c r="C11" s="221">
        <v>1</v>
      </c>
      <c r="D11" s="222">
        <v>1580</v>
      </c>
      <c r="E11" s="223">
        <v>1011200</v>
      </c>
      <c r="F11" s="589">
        <v>0.73</v>
      </c>
      <c r="G11" s="143"/>
      <c r="H11" s="143"/>
      <c r="I11" s="18"/>
      <c r="J11" s="30"/>
      <c r="K11"/>
      <c r="L11" s="526"/>
      <c r="M11" s="113" t="s">
        <v>138</v>
      </c>
      <c r="N11" s="535" t="s">
        <v>139</v>
      </c>
      <c r="O11" s="538" t="s">
        <v>140</v>
      </c>
      <c r="P11" s="215" t="s">
        <v>143</v>
      </c>
      <c r="Q11" s="535" t="s">
        <v>144</v>
      </c>
      <c r="R11" s="597" t="s">
        <v>542</v>
      </c>
      <c r="S11" s="598" t="s">
        <v>144</v>
      </c>
      <c r="T11" s="599" t="s">
        <v>144</v>
      </c>
      <c r="U11" s="113" t="s">
        <v>144</v>
      </c>
      <c r="V11" s="526"/>
      <c r="W11" s="526"/>
      <c r="AA11" s="526"/>
    </row>
    <row r="12" spans="1:27" ht="15" customHeight="1">
      <c r="A12" s="25"/>
      <c r="B12" s="17"/>
      <c r="C12" s="221">
        <v>2</v>
      </c>
      <c r="D12" s="222">
        <v>4250</v>
      </c>
      <c r="E12" s="223">
        <v>2210000</v>
      </c>
      <c r="F12" s="589">
        <v>1</v>
      </c>
      <c r="G12" s="143"/>
      <c r="H12" s="143"/>
      <c r="I12" s="18"/>
      <c r="J12" s="30"/>
      <c r="K12"/>
      <c r="L12" s="526"/>
      <c r="M12" s="108" t="s">
        <v>132</v>
      </c>
      <c r="N12" s="600">
        <f t="shared" ref="N12:O14" si="0">D11</f>
        <v>1580</v>
      </c>
      <c r="O12" s="601">
        <f t="shared" si="0"/>
        <v>1011200</v>
      </c>
      <c r="P12" s="214">
        <f>O12/N12</f>
        <v>640</v>
      </c>
      <c r="Q12" s="602">
        <f>P12/P15</f>
        <v>1.0565854054273314</v>
      </c>
      <c r="R12" s="603">
        <f>MIN(1,SQRT(N12/E15))</f>
        <v>0.34997231341213086</v>
      </c>
      <c r="S12" s="604">
        <f>F11</f>
        <v>0.73</v>
      </c>
      <c r="T12" s="605">
        <f>S12/S15</f>
        <v>0.69166123475183927</v>
      </c>
      <c r="U12" s="606">
        <f>R12*Q12+(1-R12)*T12</f>
        <v>0.81937459098314447</v>
      </c>
      <c r="V12" s="526"/>
      <c r="W12" s="526"/>
      <c r="AA12" s="526"/>
    </row>
    <row r="13" spans="1:27" ht="15" customHeight="1">
      <c r="A13" s="25"/>
      <c r="B13" s="17"/>
      <c r="C13" s="185">
        <v>3</v>
      </c>
      <c r="D13" s="224">
        <v>2310</v>
      </c>
      <c r="E13" s="225">
        <v>1709400</v>
      </c>
      <c r="F13" s="590">
        <v>1.38</v>
      </c>
      <c r="G13" s="143"/>
      <c r="H13" s="143"/>
      <c r="I13" s="18"/>
      <c r="J13" s="30"/>
      <c r="K13" s="41"/>
      <c r="L13" s="526"/>
      <c r="M13" s="108" t="s">
        <v>133</v>
      </c>
      <c r="N13" s="600">
        <f t="shared" si="0"/>
        <v>4250</v>
      </c>
      <c r="O13" s="601">
        <f t="shared" si="0"/>
        <v>2210000</v>
      </c>
      <c r="P13" s="214">
        <f>O13/N13</f>
        <v>520</v>
      </c>
      <c r="Q13" s="602">
        <f>P13/P15</f>
        <v>0.85847564190970682</v>
      </c>
      <c r="R13" s="603">
        <f>MIN(1,SQRT(N13/E15))</f>
        <v>0.57398376661808581</v>
      </c>
      <c r="S13" s="604">
        <f>F12</f>
        <v>1</v>
      </c>
      <c r="T13" s="605">
        <f>S13/S15</f>
        <v>0.94748114349567025</v>
      </c>
      <c r="U13" s="606">
        <f>R13*Q13+(1-R13)*T13</f>
        <v>0.89639343044562692</v>
      </c>
      <c r="V13" s="526"/>
      <c r="W13" s="526"/>
      <c r="AA13" s="526"/>
    </row>
    <row r="14" spans="1:27" ht="15" customHeight="1">
      <c r="A14" s="25"/>
      <c r="B14" s="17"/>
      <c r="C14" s="143"/>
      <c r="D14" s="143"/>
      <c r="E14" s="143"/>
      <c r="F14" s="143"/>
      <c r="G14" s="143"/>
      <c r="H14" s="143"/>
      <c r="I14" s="18"/>
      <c r="J14" s="30"/>
      <c r="K14"/>
      <c r="L14" s="526"/>
      <c r="M14" s="113" t="s">
        <v>134</v>
      </c>
      <c r="N14" s="607">
        <f t="shared" si="0"/>
        <v>2310</v>
      </c>
      <c r="O14" s="608">
        <f t="shared" si="0"/>
        <v>1709400</v>
      </c>
      <c r="P14" s="215">
        <f>O14/N14</f>
        <v>740</v>
      </c>
      <c r="Q14" s="609">
        <f>P14/P15</f>
        <v>1.2216768750253519</v>
      </c>
      <c r="R14" s="610">
        <f>MIN(1,SQRT(N14/E15))</f>
        <v>0.42316635906208383</v>
      </c>
      <c r="S14" s="611">
        <f>F13</f>
        <v>1.38</v>
      </c>
      <c r="T14" s="612">
        <f>S14/S15</f>
        <v>1.3075239780240249</v>
      </c>
      <c r="U14" s="613">
        <f>R14*Q14+(1-R14)*T14</f>
        <v>1.2711963720120489</v>
      </c>
      <c r="V14" s="526"/>
      <c r="W14" s="526"/>
      <c r="AA14" s="526"/>
    </row>
    <row r="15" spans="1:27" ht="15" customHeight="1">
      <c r="A15" s="25"/>
      <c r="B15" s="17"/>
      <c r="C15" s="143" t="s">
        <v>525</v>
      </c>
      <c r="D15" s="143"/>
      <c r="E15" s="218">
        <v>12900</v>
      </c>
      <c r="F15" s="143" t="s">
        <v>526</v>
      </c>
      <c r="G15" s="143"/>
      <c r="H15" s="143"/>
      <c r="I15" s="18"/>
      <c r="J15" s="30"/>
      <c r="K15"/>
      <c r="L15" s="526"/>
      <c r="M15" s="125" t="s">
        <v>90</v>
      </c>
      <c r="N15" s="126">
        <f>SUM(N12:N14)</f>
        <v>8140</v>
      </c>
      <c r="O15" s="177">
        <f>SUM(O12:O14)</f>
        <v>4930600</v>
      </c>
      <c r="P15" s="217">
        <f>O15/N15</f>
        <v>605.7248157248157</v>
      </c>
      <c r="Q15" s="217">
        <f>P15/P15</f>
        <v>1</v>
      </c>
      <c r="R15" s="614" t="s">
        <v>297</v>
      </c>
      <c r="S15" s="615">
        <f>SUMPRODUCT(N12:N14,S12:S14)/SUM(N12:N14)</f>
        <v>1.0554299754299752</v>
      </c>
      <c r="T15" s="616">
        <f>S15/S15</f>
        <v>1</v>
      </c>
      <c r="U15" s="617">
        <f>SUMPRODUCT(U12:U14,N12:N14)/N15</f>
        <v>0.98780682463084957</v>
      </c>
      <c r="V15" s="526"/>
      <c r="W15" s="526"/>
      <c r="AA15" s="526"/>
    </row>
    <row r="16" spans="1:27" ht="15" customHeight="1">
      <c r="A16" s="25"/>
      <c r="B16" s="17"/>
      <c r="C16" s="196" t="s">
        <v>527</v>
      </c>
      <c r="D16" s="143"/>
      <c r="E16" s="143"/>
      <c r="F16" s="143"/>
      <c r="G16" s="143"/>
      <c r="H16" s="143"/>
      <c r="I16" s="18"/>
      <c r="J16" s="30"/>
      <c r="K16" s="41"/>
      <c r="L16" s="526"/>
      <c r="M16" s="526"/>
      <c r="N16" s="526"/>
      <c r="O16" s="526"/>
      <c r="P16" s="526"/>
      <c r="Q16" s="522"/>
      <c r="R16" s="522"/>
      <c r="S16" s="522"/>
      <c r="T16" s="522"/>
      <c r="U16" s="526"/>
      <c r="V16" s="526"/>
      <c r="W16" s="526"/>
      <c r="AA16" s="526"/>
    </row>
    <row r="17" spans="1:27" ht="15" customHeight="1">
      <c r="A17" s="25"/>
      <c r="B17" s="17"/>
      <c r="C17" s="196" t="s">
        <v>528</v>
      </c>
      <c r="D17" s="143"/>
      <c r="E17" s="143"/>
      <c r="F17" s="143"/>
      <c r="G17" s="143"/>
      <c r="H17" s="143"/>
      <c r="I17" s="18"/>
      <c r="J17" s="30"/>
      <c r="K17"/>
      <c r="L17" s="526"/>
      <c r="M17" s="156" t="s">
        <v>106</v>
      </c>
      <c r="N17" s="123" t="s">
        <v>146</v>
      </c>
      <c r="O17" s="526"/>
      <c r="P17" s="526"/>
      <c r="Q17" s="522"/>
      <c r="R17" s="522"/>
      <c r="S17" s="522"/>
      <c r="T17" s="522"/>
      <c r="U17" s="526"/>
      <c r="V17" s="526"/>
      <c r="W17" s="526"/>
      <c r="AA17" s="526"/>
    </row>
    <row r="18" spans="1:27" ht="15" customHeight="1">
      <c r="A18" s="25"/>
      <c r="B18" s="17"/>
      <c r="C18" s="17"/>
      <c r="D18" s="17"/>
      <c r="E18" s="17"/>
      <c r="F18" s="17"/>
      <c r="G18" s="17"/>
      <c r="H18" s="17"/>
      <c r="I18" s="18"/>
      <c r="J18" s="30"/>
      <c r="K18"/>
      <c r="L18" s="526"/>
      <c r="M18" s="156" t="s">
        <v>107</v>
      </c>
      <c r="N18" s="123" t="s">
        <v>147</v>
      </c>
      <c r="O18" s="526"/>
      <c r="P18" s="526"/>
      <c r="Q18" s="522"/>
      <c r="R18" s="522"/>
      <c r="S18" s="522"/>
      <c r="T18" s="522"/>
      <c r="U18" s="526"/>
      <c r="V18" s="526"/>
      <c r="W18" s="526"/>
      <c r="AA18" s="526"/>
    </row>
    <row r="19" spans="1:27" ht="15" customHeight="1">
      <c r="A19" s="25"/>
      <c r="B19" s="17"/>
      <c r="C19" s="17"/>
      <c r="D19" s="17"/>
      <c r="E19" s="17"/>
      <c r="F19" s="17"/>
      <c r="G19" s="17"/>
      <c r="H19" s="17"/>
      <c r="I19" s="18"/>
      <c r="J19" s="30"/>
      <c r="K19" s="41"/>
      <c r="L19" s="526"/>
      <c r="M19" s="156" t="s">
        <v>108</v>
      </c>
      <c r="N19" s="123" t="str">
        <f>"= sqrt[ (2) / " &amp; E15 &amp; " ]"</f>
        <v>= sqrt[ (2) / 12900 ]</v>
      </c>
      <c r="O19" s="526"/>
      <c r="P19" s="178" t="s">
        <v>543</v>
      </c>
      <c r="Q19" s="522"/>
      <c r="R19" s="522"/>
      <c r="S19" s="522"/>
      <c r="T19" s="522"/>
      <c r="U19" s="526"/>
      <c r="V19" s="526"/>
      <c r="W19" s="526"/>
      <c r="AA19" s="526"/>
    </row>
    <row r="20" spans="1:27" ht="15" customHeight="1">
      <c r="A20" s="25"/>
      <c r="B20" s="17"/>
      <c r="C20" s="17"/>
      <c r="D20" s="17"/>
      <c r="E20" s="17"/>
      <c r="F20" s="17"/>
      <c r="G20" s="17"/>
      <c r="H20" s="17"/>
      <c r="I20" s="18"/>
      <c r="J20" s="30"/>
      <c r="K20"/>
      <c r="L20" s="526"/>
      <c r="M20" s="156" t="s">
        <v>536</v>
      </c>
      <c r="N20" s="123" t="s">
        <v>332</v>
      </c>
      <c r="O20" s="526"/>
      <c r="P20" s="526"/>
      <c r="Q20" s="526"/>
      <c r="R20" s="526"/>
      <c r="S20" s="526"/>
      <c r="T20" s="526"/>
      <c r="U20" s="526"/>
      <c r="V20" s="526"/>
      <c r="W20" s="526"/>
      <c r="AA20" s="526"/>
    </row>
    <row r="21" spans="1:27" ht="15" customHeight="1">
      <c r="A21" s="25"/>
      <c r="B21" s="17"/>
      <c r="C21" s="17"/>
      <c r="D21" s="17"/>
      <c r="E21" s="17"/>
      <c r="F21" s="17"/>
      <c r="G21" s="17"/>
      <c r="H21" s="17"/>
      <c r="I21" s="18"/>
      <c r="J21" s="30"/>
      <c r="K21"/>
      <c r="L21" s="526"/>
      <c r="M21" s="618" t="s">
        <v>544</v>
      </c>
      <c r="N21" s="619" t="s">
        <v>545</v>
      </c>
      <c r="O21" s="526"/>
      <c r="P21" s="526"/>
      <c r="Q21" s="526"/>
      <c r="R21" s="526"/>
      <c r="S21" s="526"/>
      <c r="T21" s="526"/>
      <c r="U21" s="526"/>
      <c r="V21" s="526"/>
      <c r="W21" s="526"/>
      <c r="AA21" s="526"/>
    </row>
    <row r="22" spans="1:27" ht="15" customHeight="1">
      <c r="A22" s="25"/>
      <c r="B22" s="17"/>
      <c r="C22" s="17"/>
      <c r="D22" s="17"/>
      <c r="E22" s="17"/>
      <c r="F22" s="17"/>
      <c r="G22" s="17"/>
      <c r="H22" s="17"/>
      <c r="I22" s="18"/>
      <c r="J22" s="30"/>
      <c r="K22"/>
      <c r="L22" s="526"/>
      <c r="M22" s="620" t="s">
        <v>537</v>
      </c>
      <c r="N22" s="621" t="s">
        <v>546</v>
      </c>
      <c r="O22" s="256"/>
      <c r="P22" s="526"/>
      <c r="Q22" s="526"/>
      <c r="R22" s="526"/>
      <c r="S22" s="526"/>
      <c r="T22" s="526"/>
      <c r="U22" s="526"/>
      <c r="V22" s="526"/>
      <c r="W22" s="526"/>
      <c r="AA22" s="526"/>
    </row>
    <row r="23" spans="1:27" ht="15" customHeight="1">
      <c r="A23" s="25"/>
      <c r="B23" s="17"/>
      <c r="C23" s="17"/>
      <c r="D23" s="17"/>
      <c r="E23" s="17"/>
      <c r="F23" s="17"/>
      <c r="G23" s="17"/>
      <c r="H23" s="17"/>
      <c r="I23" s="18"/>
      <c r="J23" s="30"/>
      <c r="K23"/>
      <c r="L23" s="526"/>
      <c r="M23" s="622" t="s">
        <v>538</v>
      </c>
      <c r="N23" s="123" t="s">
        <v>547</v>
      </c>
      <c r="O23" s="522"/>
      <c r="P23" s="522"/>
      <c r="Q23" s="522"/>
      <c r="R23" s="623" t="s">
        <v>548</v>
      </c>
      <c r="S23" s="624" t="s">
        <v>549</v>
      </c>
      <c r="T23" s="522"/>
      <c r="U23" s="522"/>
      <c r="V23" s="526"/>
      <c r="W23" s="526"/>
      <c r="AA23" s="526"/>
    </row>
    <row r="24" spans="1:27" ht="15" customHeight="1">
      <c r="A24" s="25"/>
      <c r="B24" s="17"/>
      <c r="C24" s="17"/>
      <c r="D24" s="17"/>
      <c r="E24" s="17"/>
      <c r="F24" s="17"/>
      <c r="G24" s="17"/>
      <c r="H24" s="17"/>
      <c r="I24" s="18"/>
      <c r="J24" s="30"/>
      <c r="K24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526"/>
      <c r="W24" s="526"/>
      <c r="AA24" s="526"/>
    </row>
    <row r="25" spans="1:27" ht="15" customHeight="1">
      <c r="A25" s="25"/>
      <c r="B25" s="17"/>
      <c r="C25" s="17"/>
      <c r="D25" s="17"/>
      <c r="E25" s="17"/>
      <c r="F25" s="17"/>
      <c r="G25" s="17"/>
      <c r="H25" s="17"/>
      <c r="I25" s="18"/>
      <c r="J25" s="30"/>
      <c r="K25"/>
      <c r="L25" s="206" t="s">
        <v>120</v>
      </c>
      <c r="M25" s="526" t="s">
        <v>550</v>
      </c>
      <c r="N25" s="526"/>
      <c r="O25" s="526"/>
      <c r="P25" s="526"/>
      <c r="Q25" s="526"/>
      <c r="R25" s="526"/>
      <c r="S25" s="526"/>
      <c r="T25" s="526"/>
      <c r="U25" s="526"/>
      <c r="V25" s="526"/>
      <c r="W25" s="526"/>
      <c r="AA25" s="526"/>
    </row>
    <row r="26" spans="1:27" ht="15" customHeight="1">
      <c r="A26" s="25"/>
      <c r="B26" s="17"/>
      <c r="C26" s="17"/>
      <c r="D26" s="17"/>
      <c r="E26" s="17"/>
      <c r="F26" s="17"/>
      <c r="G26" s="17"/>
      <c r="H26" s="17"/>
      <c r="I26" s="18"/>
      <c r="J26" s="30"/>
      <c r="K26" s="41"/>
      <c r="L26" s="526"/>
      <c r="M26" s="274" t="s">
        <v>414</v>
      </c>
      <c r="N26" s="526" t="s">
        <v>551</v>
      </c>
      <c r="O26" s="526"/>
      <c r="P26" s="526"/>
      <c r="Q26" s="526"/>
      <c r="R26" s="526"/>
      <c r="S26" s="526"/>
      <c r="T26" s="526"/>
      <c r="U26" s="526"/>
      <c r="V26" s="526"/>
      <c r="W26" s="526"/>
      <c r="AA26" s="526"/>
    </row>
    <row r="27" spans="1:27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 s="526"/>
      <c r="M27" s="274" t="s">
        <v>414</v>
      </c>
      <c r="N27" s="526" t="s">
        <v>552</v>
      </c>
      <c r="O27" s="526"/>
      <c r="P27" s="526"/>
      <c r="Q27" s="526"/>
      <c r="R27" s="526"/>
      <c r="S27" s="526"/>
      <c r="T27" s="526"/>
      <c r="U27" s="526"/>
      <c r="V27" s="526"/>
      <c r="W27" s="526"/>
      <c r="AA27" s="526"/>
    </row>
    <row r="28" spans="1:27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 s="526"/>
      <c r="M28" s="522"/>
      <c r="N28" s="522"/>
      <c r="O28" s="522"/>
      <c r="P28" s="522"/>
      <c r="Q28" s="526"/>
      <c r="R28" s="526"/>
      <c r="S28" s="526"/>
      <c r="T28" s="526"/>
      <c r="U28" s="526"/>
      <c r="V28" s="526"/>
      <c r="W28" s="526"/>
      <c r="AA28" s="526"/>
    </row>
    <row r="29" spans="1:27" ht="15" customHeight="1">
      <c r="A29" s="25"/>
      <c r="B29" s="17"/>
      <c r="C29" s="17"/>
      <c r="D29" s="17"/>
      <c r="E29" s="17"/>
      <c r="F29" s="17"/>
      <c r="G29" s="17"/>
      <c r="H29" s="17"/>
      <c r="I29" s="18"/>
      <c r="K29"/>
      <c r="L29" s="526"/>
      <c r="M29" s="156" t="s">
        <v>103</v>
      </c>
      <c r="N29" s="156" t="s">
        <v>553</v>
      </c>
      <c r="O29" s="156" t="s">
        <v>554</v>
      </c>
      <c r="P29" s="156" t="s">
        <v>555</v>
      </c>
      <c r="Q29" s="526"/>
      <c r="R29" s="228" t="s">
        <v>556</v>
      </c>
      <c r="S29" s="625" t="s">
        <v>557</v>
      </c>
      <c r="T29" s="526"/>
      <c r="U29" s="526"/>
      <c r="V29" s="526"/>
      <c r="W29" s="526"/>
      <c r="AA29" s="526"/>
    </row>
    <row r="30" spans="1:27" ht="15" customHeight="1">
      <c r="A30" s="25"/>
      <c r="B30" s="17"/>
      <c r="C30" s="17"/>
      <c r="D30" s="17"/>
      <c r="E30" s="17"/>
      <c r="F30" s="17"/>
      <c r="G30" s="17"/>
      <c r="H30" s="17"/>
      <c r="I30" s="18"/>
      <c r="J30" s="124"/>
      <c r="K30"/>
      <c r="L30" s="526"/>
      <c r="M30" s="171" t="s">
        <v>136</v>
      </c>
      <c r="N30" s="626" t="s">
        <v>539</v>
      </c>
      <c r="O30" s="130"/>
      <c r="P30" s="627" t="s">
        <v>558</v>
      </c>
      <c r="Q30" s="526"/>
      <c r="R30" s="628" t="s">
        <v>558</v>
      </c>
      <c r="S30" s="526"/>
      <c r="T30" s="526"/>
      <c r="U30" s="526"/>
      <c r="V30" s="526"/>
      <c r="W30" s="526"/>
      <c r="AA30" s="526"/>
    </row>
    <row r="31" spans="1:27" ht="15" customHeight="1">
      <c r="A31" s="25"/>
      <c r="B31" s="17"/>
      <c r="C31" s="17"/>
      <c r="D31" s="17"/>
      <c r="E31" s="17"/>
      <c r="F31" s="17"/>
      <c r="G31" s="17"/>
      <c r="H31" s="17"/>
      <c r="I31" s="18"/>
      <c r="J31" s="124"/>
      <c r="K31"/>
      <c r="L31" s="526"/>
      <c r="M31" s="108" t="s">
        <v>137</v>
      </c>
      <c r="N31" s="214" t="s">
        <v>540</v>
      </c>
      <c r="O31" s="133"/>
      <c r="P31" s="629" t="s">
        <v>559</v>
      </c>
      <c r="Q31" s="526"/>
      <c r="R31" s="630" t="s">
        <v>559</v>
      </c>
      <c r="S31" s="526"/>
      <c r="T31" s="526"/>
      <c r="U31" s="526"/>
      <c r="V31" s="526"/>
      <c r="W31" s="526"/>
      <c r="AA31" s="526"/>
    </row>
    <row r="32" spans="1:27" ht="15" customHeight="1">
      <c r="A32" s="22"/>
      <c r="B32" s="121"/>
      <c r="C32" s="143"/>
      <c r="D32" s="143"/>
      <c r="E32" s="143"/>
      <c r="F32" s="143"/>
      <c r="G32" s="143"/>
      <c r="H32" s="143"/>
      <c r="I32" s="18"/>
      <c r="J32" s="89"/>
      <c r="K32"/>
      <c r="L32" s="526"/>
      <c r="M32" s="113" t="s">
        <v>138</v>
      </c>
      <c r="N32" s="215" t="s">
        <v>560</v>
      </c>
      <c r="O32" s="535" t="s">
        <v>558</v>
      </c>
      <c r="P32" s="631" t="s">
        <v>561</v>
      </c>
      <c r="Q32" s="526"/>
      <c r="R32" s="632" t="s">
        <v>561</v>
      </c>
      <c r="S32" s="526"/>
      <c r="T32" s="526"/>
      <c r="U32" s="526"/>
      <c r="V32" s="526"/>
      <c r="W32" s="526"/>
      <c r="AA32" s="526"/>
    </row>
    <row r="33" spans="1:27" ht="15" customHeight="1">
      <c r="A33" s="22"/>
      <c r="B33" s="121"/>
      <c r="C33" s="143"/>
      <c r="D33" s="143"/>
      <c r="E33" s="143"/>
      <c r="F33" s="143"/>
      <c r="G33" s="143"/>
      <c r="H33" s="143"/>
      <c r="I33" s="18"/>
      <c r="J33" s="89"/>
      <c r="K33" s="41"/>
      <c r="L33" s="526"/>
      <c r="M33" s="108" t="s">
        <v>132</v>
      </c>
      <c r="N33" s="633">
        <f>U12/U15</f>
        <v>0.82948869207230935</v>
      </c>
      <c r="O33" s="634">
        <f>N33/S12-1</f>
        <v>0.13628587955110882</v>
      </c>
      <c r="P33" s="635">
        <f>(1+O33)/(1+O36)-1</f>
        <v>0.19927017793605439</v>
      </c>
      <c r="Q33" s="526"/>
      <c r="R33" s="636">
        <f>N33/T12-1</f>
        <v>0.19927017793605439</v>
      </c>
      <c r="S33" s="178" t="s">
        <v>562</v>
      </c>
      <c r="T33" s="526"/>
      <c r="U33" s="526"/>
      <c r="V33" s="526"/>
      <c r="W33" s="526"/>
      <c r="AA33" s="526"/>
    </row>
    <row r="34" spans="1:27" ht="15" customHeight="1">
      <c r="A34" s="22"/>
      <c r="B34" s="121"/>
      <c r="C34" s="143"/>
      <c r="D34" s="143"/>
      <c r="E34" s="143"/>
      <c r="F34" s="143"/>
      <c r="G34" s="143"/>
      <c r="H34" s="143"/>
      <c r="I34" s="18"/>
      <c r="J34" s="89"/>
      <c r="K34"/>
      <c r="L34" s="526"/>
      <c r="M34" s="108" t="s">
        <v>133</v>
      </c>
      <c r="N34" s="633">
        <f>U13/U15</f>
        <v>0.90745822775684459</v>
      </c>
      <c r="O34" s="634">
        <f>N34/S13-1</f>
        <v>-9.2541772243155407E-2</v>
      </c>
      <c r="P34" s="635">
        <f>(1+O34)/(1+O36)-1</f>
        <v>-4.2241384974864737E-2</v>
      </c>
      <c r="Q34" s="526"/>
      <c r="R34" s="636">
        <f>N34/T13-1</f>
        <v>-4.2241384974864737E-2</v>
      </c>
      <c r="S34" s="178" t="s">
        <v>563</v>
      </c>
      <c r="T34" s="526"/>
      <c r="U34" s="526"/>
      <c r="V34" s="526"/>
      <c r="W34" s="526"/>
      <c r="AA34" s="526"/>
    </row>
    <row r="35" spans="1:27" ht="15" customHeight="1">
      <c r="A35" s="22"/>
      <c r="B35" s="121"/>
      <c r="C35" s="143"/>
      <c r="D35" s="143"/>
      <c r="E35" s="143"/>
      <c r="F35" s="143"/>
      <c r="G35" s="143"/>
      <c r="H35" s="143"/>
      <c r="I35" s="18"/>
      <c r="J35" s="89"/>
      <c r="K35" s="41"/>
      <c r="L35" s="526"/>
      <c r="M35" s="113" t="s">
        <v>134</v>
      </c>
      <c r="N35" s="637">
        <f>U14/U15</f>
        <v>1.2868876184238796</v>
      </c>
      <c r="O35" s="638">
        <f>N35/S14-1</f>
        <v>-6.7472740272551013E-2</v>
      </c>
      <c r="P35" s="639">
        <f>(1+O35)/(1+O36)-1</f>
        <v>-1.5782777178076524E-2</v>
      </c>
      <c r="Q35" s="526"/>
      <c r="R35" s="640">
        <f>N35/T14-1</f>
        <v>-1.5782777178076413E-2</v>
      </c>
      <c r="S35" s="178" t="s">
        <v>564</v>
      </c>
      <c r="T35" s="526"/>
      <c r="U35" s="526"/>
      <c r="V35" s="526"/>
      <c r="W35" s="526"/>
      <c r="AA35" s="526"/>
    </row>
    <row r="36" spans="1:27" ht="15" customHeight="1">
      <c r="A36" s="22"/>
      <c r="B36" s="121"/>
      <c r="C36" s="143"/>
      <c r="D36" s="143"/>
      <c r="E36" s="143"/>
      <c r="F36" s="143"/>
      <c r="G36" s="143"/>
      <c r="H36" s="143"/>
      <c r="I36" s="18"/>
      <c r="J36" s="89"/>
      <c r="K36"/>
      <c r="L36" s="526"/>
      <c r="M36" s="125" t="s">
        <v>90</v>
      </c>
      <c r="N36" s="637">
        <f>U15/U15</f>
        <v>1</v>
      </c>
      <c r="O36" s="638">
        <f>N36/S15-1</f>
        <v>-5.2518856504329747E-2</v>
      </c>
      <c r="P36" s="641">
        <f>(1+O36)/(1+O36)-1</f>
        <v>0</v>
      </c>
      <c r="Q36" s="526"/>
      <c r="R36" s="642">
        <f>N36/T15-1</f>
        <v>0</v>
      </c>
      <c r="S36" s="178"/>
      <c r="T36" s="526"/>
      <c r="U36" s="526"/>
      <c r="V36" s="526"/>
      <c r="W36" s="526"/>
      <c r="AA36" s="526"/>
    </row>
    <row r="37" spans="1:27" ht="15" customHeight="1">
      <c r="A37" s="22"/>
      <c r="B37" s="121"/>
      <c r="C37" s="121"/>
      <c r="D37" s="121"/>
      <c r="E37" s="143"/>
      <c r="F37" s="143"/>
      <c r="G37" s="143"/>
      <c r="H37" s="143"/>
      <c r="I37" s="18"/>
      <c r="J37" s="89"/>
      <c r="K37"/>
      <c r="L37" s="526"/>
      <c r="M37" s="526"/>
      <c r="N37" s="526"/>
      <c r="O37" s="526"/>
      <c r="P37" s="161" t="s">
        <v>145</v>
      </c>
      <c r="Q37" s="526"/>
      <c r="R37" s="526"/>
      <c r="S37" s="526"/>
      <c r="T37" s="526"/>
      <c r="U37" s="526"/>
      <c r="V37" s="526"/>
      <c r="W37" s="526"/>
      <c r="AA37" s="526"/>
    </row>
    <row r="38" spans="1:27" ht="15" customHeight="1">
      <c r="A38" s="22"/>
      <c r="B38" s="17"/>
      <c r="C38" s="17"/>
      <c r="D38" s="17"/>
      <c r="E38" s="17"/>
      <c r="F38" s="17"/>
      <c r="G38" s="17"/>
      <c r="H38" s="17"/>
      <c r="I38" s="18"/>
      <c r="J38" s="30"/>
      <c r="K38"/>
      <c r="L38" s="526"/>
      <c r="M38" s="156" t="s">
        <v>553</v>
      </c>
      <c r="N38" s="123" t="s">
        <v>565</v>
      </c>
      <c r="O38" s="526"/>
      <c r="P38" s="526"/>
      <c r="Q38" s="526"/>
      <c r="R38" s="526"/>
      <c r="S38" s="526"/>
      <c r="T38" s="526"/>
      <c r="U38" s="526"/>
      <c r="V38" s="526"/>
      <c r="W38" s="526"/>
      <c r="AA38" s="526"/>
    </row>
    <row r="39" spans="1:27" ht="15" customHeight="1">
      <c r="A39" s="22"/>
      <c r="B39" s="17"/>
      <c r="C39" s="17"/>
      <c r="D39" s="17"/>
      <c r="E39" s="17"/>
      <c r="F39" s="17"/>
      <c r="G39" s="17"/>
      <c r="H39" s="17"/>
      <c r="I39" s="18"/>
      <c r="J39" s="30"/>
      <c r="K39"/>
      <c r="L39" s="526"/>
      <c r="M39" s="156" t="s">
        <v>554</v>
      </c>
      <c r="N39" s="123" t="s">
        <v>566</v>
      </c>
      <c r="O39" s="526"/>
      <c r="P39" s="526"/>
      <c r="Q39" s="526"/>
      <c r="R39" s="526"/>
      <c r="S39" s="526"/>
      <c r="T39" s="526"/>
      <c r="U39" s="526"/>
      <c r="V39" s="526"/>
      <c r="W39" s="526"/>
      <c r="AA39" s="526"/>
    </row>
    <row r="40" spans="1:27" ht="15" customHeight="1">
      <c r="A40" s="22"/>
      <c r="B40" s="17"/>
      <c r="C40" s="17"/>
      <c r="D40" s="17"/>
      <c r="E40" s="17"/>
      <c r="F40" s="17"/>
      <c r="G40" s="17"/>
      <c r="H40" s="17"/>
      <c r="I40" s="18"/>
      <c r="J40" s="30"/>
      <c r="K40"/>
      <c r="L40" s="526"/>
      <c r="M40" s="581" t="s">
        <v>555</v>
      </c>
      <c r="N40" s="643" t="s">
        <v>567</v>
      </c>
      <c r="O40" s="526"/>
      <c r="P40" s="526"/>
      <c r="Q40" s="526"/>
      <c r="R40" s="526"/>
      <c r="S40" s="526"/>
      <c r="T40" s="526"/>
      <c r="U40" s="526"/>
      <c r="V40" s="526"/>
      <c r="W40" s="526"/>
      <c r="AA40" s="526"/>
    </row>
    <row r="41" spans="1:27" ht="15" customHeight="1">
      <c r="A41" s="22"/>
      <c r="B41" s="17"/>
      <c r="C41" s="17"/>
      <c r="D41" s="17"/>
      <c r="E41" s="17"/>
      <c r="F41" s="17"/>
      <c r="G41" s="17"/>
      <c r="H41" s="17"/>
      <c r="I41" s="18"/>
      <c r="J41" s="30"/>
      <c r="K41"/>
      <c r="L41" s="510"/>
      <c r="M41" s="510"/>
      <c r="N41" s="510"/>
      <c r="O41" s="510"/>
      <c r="P41" s="510"/>
      <c r="Q41" s="510"/>
      <c r="R41" s="510"/>
      <c r="S41" s="510"/>
      <c r="T41" s="510"/>
    </row>
    <row r="42" spans="1:27" ht="15" customHeight="1">
      <c r="A42" s="22"/>
      <c r="B42" s="17"/>
      <c r="C42" s="17"/>
      <c r="D42" s="17"/>
      <c r="E42" s="17"/>
      <c r="F42" s="17"/>
      <c r="G42" s="17"/>
      <c r="H42" s="17"/>
      <c r="I42" s="18"/>
      <c r="J42" s="30"/>
      <c r="K42"/>
      <c r="L42" s="510"/>
      <c r="M42" s="510"/>
      <c r="N42" s="510"/>
      <c r="O42" s="510"/>
      <c r="P42" s="510"/>
      <c r="Q42" s="510"/>
      <c r="R42" s="510"/>
      <c r="S42" s="510"/>
      <c r="T42" s="510"/>
      <c r="U42"/>
    </row>
    <row r="43" spans="1:27" ht="15" customHeight="1" thickBot="1">
      <c r="A43" s="24"/>
      <c r="B43" s="31"/>
      <c r="C43" s="31"/>
      <c r="D43" s="31"/>
      <c r="E43" s="31"/>
      <c r="F43" s="31"/>
      <c r="G43" s="31"/>
      <c r="H43" s="31"/>
      <c r="I43" s="32"/>
      <c r="J43" s="30"/>
      <c r="K43"/>
      <c r="L43"/>
      <c r="M43"/>
      <c r="N43"/>
      <c r="O43"/>
      <c r="P43"/>
      <c r="Q43"/>
      <c r="R43"/>
      <c r="S43"/>
      <c r="T43"/>
      <c r="U43"/>
    </row>
    <row r="44" spans="1:27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1:27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1:27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1:27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1:27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A86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0" width="11.140625" style="21" customWidth="1"/>
    <col min="11" max="16384" width="9.140625" style="21"/>
  </cols>
  <sheetData>
    <row r="1" spans="1:27">
      <c r="A1" s="7">
        <v>14</v>
      </c>
      <c r="B1" s="26" t="s">
        <v>12</v>
      </c>
      <c r="C1" s="20"/>
      <c r="D1" s="20"/>
      <c r="E1" s="20"/>
      <c r="F1" s="20"/>
      <c r="G1" s="20"/>
      <c r="H1" s="20"/>
      <c r="I1" s="1028" t="s">
        <v>24</v>
      </c>
      <c r="J1" s="1029"/>
      <c r="L1" s="1" t="s">
        <v>32</v>
      </c>
      <c r="M1" s="46" t="str">
        <f>VLOOKUP(A1,'Point Grid'!$L$8:$T$54,9,FALSE)</f>
        <v>Pricing - Chap 10: Multivariate Analysis</v>
      </c>
      <c r="N1"/>
      <c r="O1"/>
      <c r="P1"/>
      <c r="Q1"/>
      <c r="R1"/>
      <c r="S1"/>
      <c r="T1"/>
      <c r="U1"/>
      <c r="V1"/>
    </row>
    <row r="2" spans="1:27">
      <c r="A2" s="22"/>
      <c r="B2" s="19"/>
      <c r="C2" s="19"/>
      <c r="D2" s="19"/>
      <c r="E2" s="19"/>
      <c r="F2" s="19"/>
      <c r="G2" s="19"/>
      <c r="H2" s="19"/>
      <c r="I2" s="19"/>
      <c r="J2" s="23"/>
      <c r="L2" s="1"/>
      <c r="M2"/>
      <c r="N2"/>
      <c r="O2"/>
      <c r="P2"/>
      <c r="Q2"/>
      <c r="R2"/>
      <c r="S2"/>
      <c r="T2"/>
      <c r="U2"/>
      <c r="V2"/>
    </row>
    <row r="3" spans="1:27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 s="30"/>
      <c r="L3" s="41" t="s">
        <v>2</v>
      </c>
      <c r="M3" s="510" t="b">
        <v>1</v>
      </c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</row>
    <row r="4" spans="1:27">
      <c r="A4" s="9">
        <f>INDEX('Point Grid'!B:B,MATCH(A1,'Point Grid'!A:A,0))</f>
        <v>0.5</v>
      </c>
      <c r="B4" s="17"/>
      <c r="C4" s="17"/>
      <c r="D4" s="17"/>
      <c r="E4" s="17"/>
      <c r="F4" s="17"/>
      <c r="G4" s="17"/>
      <c r="H4" s="17"/>
      <c r="I4" s="17"/>
      <c r="J4" s="18"/>
      <c r="K4" s="30"/>
      <c r="L4" s="41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</row>
    <row r="5" spans="1:27">
      <c r="A5" s="16"/>
      <c r="B5" s="17"/>
      <c r="C5" s="17"/>
      <c r="D5" s="17"/>
      <c r="E5" s="17"/>
      <c r="F5" s="17"/>
      <c r="G5" s="17"/>
      <c r="H5" s="17"/>
      <c r="I5" s="17"/>
      <c r="J5" s="18"/>
      <c r="K5" s="30"/>
      <c r="L5" s="523" t="s">
        <v>3</v>
      </c>
      <c r="M5" s="510" t="s">
        <v>1098</v>
      </c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</row>
    <row r="6" spans="1:27">
      <c r="A6" s="25" t="s">
        <v>2</v>
      </c>
      <c r="B6" s="516" t="s">
        <v>1096</v>
      </c>
      <c r="C6" s="17" t="s">
        <v>1099</v>
      </c>
      <c r="D6" s="17"/>
      <c r="E6" s="17"/>
      <c r="F6" s="17"/>
      <c r="G6" s="17"/>
      <c r="H6" s="17"/>
      <c r="I6" s="17"/>
      <c r="J6" s="18"/>
      <c r="K6" s="30"/>
      <c r="L6" s="41"/>
      <c r="M6" s="510" t="s">
        <v>1100</v>
      </c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</row>
    <row r="7" spans="1:27" ht="15.75" thickBot="1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7"/>
      <c r="J7" s="18"/>
      <c r="K7" s="30"/>
      <c r="L7" s="41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</row>
    <row r="8" spans="1:27" ht="15.75" thickBot="1">
      <c r="A8" s="5"/>
      <c r="B8" s="17"/>
      <c r="C8" s="17"/>
      <c r="D8" s="17"/>
      <c r="E8" s="17"/>
      <c r="F8" s="17"/>
      <c r="G8" s="17"/>
      <c r="H8" s="17"/>
      <c r="I8" s="17"/>
      <c r="J8" s="18"/>
      <c r="K8" s="30"/>
      <c r="L8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</row>
    <row r="9" spans="1:27">
      <c r="A9" s="25"/>
      <c r="B9" s="17"/>
      <c r="C9" s="17"/>
      <c r="D9" s="17"/>
      <c r="E9" s="17"/>
      <c r="F9" s="17"/>
      <c r="G9" s="17"/>
      <c r="H9" s="17"/>
      <c r="I9" s="17"/>
      <c r="J9" s="18"/>
      <c r="K9" s="30"/>
      <c r="L9" s="41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</row>
    <row r="10" spans="1:27" ht="15" customHeight="1">
      <c r="A10" s="25" t="s">
        <v>3</v>
      </c>
      <c r="B10" s="17" t="s">
        <v>1097</v>
      </c>
      <c r="C10" s="17"/>
      <c r="D10" s="17"/>
      <c r="E10" s="17"/>
      <c r="F10" s="17"/>
      <c r="G10" s="17"/>
      <c r="H10" s="17"/>
      <c r="I10" s="17"/>
      <c r="J10" s="18"/>
      <c r="K10" s="30"/>
      <c r="L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</row>
    <row r="11" spans="1:27" ht="15" customHeight="1" thickBot="1">
      <c r="A11" s="9">
        <f>INDEX('Point Grid'!$C$8:$I$54,MATCH($A$1,'Point Grid'!$A$8:$A$54,0),MATCH(A10,'Point Grid'!$C$7:$I$7,0))</f>
        <v>0.25</v>
      </c>
      <c r="B11" s="17"/>
      <c r="C11" s="17"/>
      <c r="D11" s="17"/>
      <c r="E11" s="17"/>
      <c r="F11" s="17"/>
      <c r="G11" s="17"/>
      <c r="H11" s="17"/>
      <c r="I11" s="17"/>
      <c r="J11" s="18"/>
      <c r="K11" s="30"/>
      <c r="L11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</row>
    <row r="12" spans="1:27" ht="15" customHeight="1" thickBot="1">
      <c r="A12" s="5"/>
      <c r="B12" s="17"/>
      <c r="C12" s="17"/>
      <c r="D12" s="17"/>
      <c r="E12" s="17"/>
      <c r="F12" s="17"/>
      <c r="G12" s="17"/>
      <c r="H12" s="17"/>
      <c r="I12" s="17"/>
      <c r="J12" s="18"/>
      <c r="K12" s="30"/>
      <c r="L12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</row>
    <row r="13" spans="1:27">
      <c r="A13" s="25"/>
      <c r="B13" s="17"/>
      <c r="C13" s="17"/>
      <c r="D13" s="17"/>
      <c r="E13" s="17"/>
      <c r="F13" s="17"/>
      <c r="G13" s="17"/>
      <c r="H13" s="17"/>
      <c r="I13" s="17"/>
      <c r="J13" s="18"/>
      <c r="K13" s="30"/>
      <c r="L13" s="41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</row>
    <row r="14" spans="1:27">
      <c r="A14" s="25"/>
      <c r="B14" s="17"/>
      <c r="C14" s="17"/>
      <c r="D14" s="17"/>
      <c r="E14" s="17"/>
      <c r="F14" s="17"/>
      <c r="G14" s="17"/>
      <c r="H14" s="17"/>
      <c r="I14" s="17"/>
      <c r="J14" s="18"/>
      <c r="K14" s="30"/>
      <c r="L14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510"/>
      <c r="Z14" s="510"/>
      <c r="AA14" s="510"/>
    </row>
    <row r="15" spans="1:27" ht="15" customHeight="1" thickBot="1">
      <c r="A15" s="24"/>
      <c r="B15" s="31"/>
      <c r="C15" s="31"/>
      <c r="D15" s="31"/>
      <c r="E15" s="31"/>
      <c r="F15" s="31"/>
      <c r="G15" s="31"/>
      <c r="H15" s="31"/>
      <c r="I15" s="31"/>
      <c r="J15" s="32"/>
      <c r="K15" s="30"/>
      <c r="L15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</row>
    <row r="16" spans="1:27" ht="1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/>
      <c r="M16"/>
      <c r="N16"/>
      <c r="O16"/>
      <c r="P16"/>
      <c r="Q16"/>
      <c r="R16"/>
      <c r="S16"/>
      <c r="T16"/>
      <c r="U16"/>
      <c r="V16"/>
    </row>
    <row r="17" spans="2:22" ht="15" customHeight="1">
      <c r="K17" s="30"/>
      <c r="L17"/>
      <c r="M17"/>
      <c r="N17"/>
      <c r="O17"/>
      <c r="P17"/>
      <c r="Q17"/>
      <c r="R17"/>
      <c r="S17"/>
      <c r="T17"/>
      <c r="U17"/>
      <c r="V17"/>
    </row>
    <row r="18" spans="2:22" ht="15" customHeight="1">
      <c r="K18" s="30"/>
      <c r="L18" s="41"/>
      <c r="M18" s="1"/>
      <c r="N18"/>
      <c r="O18"/>
      <c r="P18"/>
      <c r="Q18"/>
      <c r="R18"/>
      <c r="S18"/>
      <c r="T18"/>
      <c r="U18"/>
      <c r="V18"/>
    </row>
    <row r="19" spans="2:22" ht="15" customHeight="1">
      <c r="K19" s="30"/>
      <c r="L19"/>
      <c r="M19"/>
      <c r="N19"/>
      <c r="O19"/>
      <c r="P19"/>
      <c r="Q19"/>
      <c r="R19"/>
      <c r="S19"/>
      <c r="T19"/>
      <c r="U19"/>
      <c r="V19"/>
    </row>
    <row r="20" spans="2:22" ht="15" customHeight="1">
      <c r="K20" s="30"/>
      <c r="L20" s="41"/>
      <c r="M20"/>
      <c r="N20"/>
      <c r="O20"/>
      <c r="P20"/>
      <c r="Q20"/>
      <c r="R20"/>
      <c r="S20"/>
      <c r="T20"/>
      <c r="U20"/>
      <c r="V20"/>
    </row>
    <row r="21" spans="2:22" ht="15" customHeight="1">
      <c r="K21" s="30"/>
      <c r="L21"/>
      <c r="M21"/>
      <c r="N21"/>
      <c r="O21"/>
      <c r="P21"/>
      <c r="Q21"/>
      <c r="R21"/>
      <c r="S21"/>
      <c r="T21"/>
      <c r="U21"/>
      <c r="V21"/>
    </row>
    <row r="22" spans="2:22" ht="15" customHeight="1">
      <c r="K22" s="30"/>
      <c r="L22"/>
      <c r="M22"/>
      <c r="N22"/>
      <c r="O22"/>
      <c r="P22"/>
      <c r="Q22"/>
      <c r="R22"/>
      <c r="S22"/>
      <c r="T22"/>
      <c r="U22"/>
      <c r="V22"/>
    </row>
    <row r="23" spans="2:22" ht="15" customHeight="1">
      <c r="K23" s="30"/>
      <c r="L23"/>
      <c r="M23"/>
      <c r="N23"/>
      <c r="O23"/>
      <c r="P23"/>
      <c r="Q23"/>
      <c r="R23"/>
      <c r="S23"/>
      <c r="T23"/>
      <c r="U23"/>
      <c r="V23"/>
    </row>
    <row r="24" spans="2:22" ht="15" customHeight="1">
      <c r="K24" s="30"/>
      <c r="L24"/>
      <c r="M24"/>
      <c r="N24"/>
      <c r="O24"/>
      <c r="P24"/>
      <c r="Q24"/>
      <c r="R24"/>
      <c r="S24"/>
      <c r="T24"/>
      <c r="U24"/>
      <c r="V24"/>
    </row>
    <row r="25" spans="2:22" ht="15" customHeight="1">
      <c r="K25" s="30"/>
      <c r="L25"/>
      <c r="M25"/>
      <c r="N25"/>
      <c r="O25"/>
      <c r="P25"/>
      <c r="Q25"/>
      <c r="R25"/>
      <c r="S25"/>
      <c r="T25"/>
      <c r="U25"/>
      <c r="V25"/>
    </row>
    <row r="26" spans="2:22" ht="15" customHeight="1">
      <c r="K26" s="30"/>
      <c r="L26"/>
      <c r="M26"/>
      <c r="N26"/>
      <c r="O26"/>
      <c r="P26"/>
      <c r="Q26"/>
      <c r="R26"/>
      <c r="S26"/>
      <c r="T26"/>
      <c r="U26"/>
      <c r="V26"/>
    </row>
    <row r="27" spans="2:22" ht="15" customHeight="1">
      <c r="K27" s="30"/>
      <c r="L27"/>
      <c r="M27"/>
      <c r="N27"/>
      <c r="O27"/>
      <c r="P27"/>
      <c r="Q27"/>
      <c r="R27"/>
      <c r="S27"/>
      <c r="T27"/>
      <c r="U27"/>
      <c r="V27"/>
    </row>
    <row r="28" spans="2:22" ht="15" customHeight="1">
      <c r="K28" s="30"/>
      <c r="L28"/>
      <c r="M28"/>
      <c r="N28"/>
      <c r="O28"/>
      <c r="P28"/>
      <c r="Q28"/>
      <c r="R28"/>
      <c r="S28"/>
      <c r="T28"/>
      <c r="U28"/>
      <c r="V28"/>
    </row>
    <row r="29" spans="2:22" ht="15" customHeight="1">
      <c r="K29" s="30"/>
      <c r="L29"/>
      <c r="M29"/>
      <c r="N29"/>
      <c r="O29"/>
      <c r="P29"/>
      <c r="Q29"/>
      <c r="R29"/>
      <c r="S29"/>
      <c r="T29"/>
      <c r="U29"/>
      <c r="V29"/>
    </row>
    <row r="30" spans="2:22" ht="15" customHeight="1">
      <c r="K30" s="30"/>
      <c r="L30"/>
      <c r="M30"/>
      <c r="N30"/>
      <c r="O30"/>
      <c r="P30"/>
      <c r="Q30"/>
      <c r="R30"/>
      <c r="S30"/>
      <c r="T30"/>
      <c r="U30"/>
      <c r="V30"/>
    </row>
    <row r="31" spans="2:22" ht="1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/>
      <c r="M31"/>
      <c r="N31"/>
      <c r="O31"/>
      <c r="P31"/>
      <c r="Q31"/>
      <c r="R31"/>
      <c r="S31"/>
      <c r="T31"/>
      <c r="U31"/>
      <c r="V31"/>
    </row>
    <row r="32" spans="2:22" ht="15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/>
      <c r="M32"/>
      <c r="N32"/>
      <c r="O32"/>
      <c r="P32"/>
      <c r="Q32"/>
      <c r="R32"/>
      <c r="S32"/>
      <c r="T32"/>
      <c r="U32"/>
      <c r="V32"/>
    </row>
    <row r="33" spans="2:22" ht="1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/>
      <c r="M33"/>
      <c r="N33"/>
      <c r="O33"/>
      <c r="P33"/>
      <c r="Q33"/>
      <c r="R33"/>
      <c r="S33"/>
      <c r="T33"/>
      <c r="U33"/>
      <c r="V33"/>
    </row>
    <row r="34" spans="2:22" ht="15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/>
      <c r="M34"/>
      <c r="N34"/>
      <c r="O34"/>
      <c r="P34"/>
      <c r="Q34"/>
      <c r="R34"/>
      <c r="S34"/>
      <c r="T34"/>
      <c r="U34"/>
      <c r="V34"/>
    </row>
    <row r="35" spans="2:22" ht="1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/>
      <c r="M35"/>
      <c r="N35"/>
      <c r="O35"/>
      <c r="P35"/>
      <c r="Q35"/>
      <c r="R35"/>
      <c r="S35"/>
      <c r="T35"/>
      <c r="U35"/>
      <c r="V35"/>
    </row>
    <row r="36" spans="2:22" ht="1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2:22" ht="1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2:22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2:22" ht="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2:22" ht="1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2:22" ht="1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2:22" ht="1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2:22" ht="1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2:22" ht="1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2:22" ht="1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2:22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2:22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2:22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2:11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2:11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2:11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2:11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2:11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</row>
    <row r="54" spans="2:11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2:11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</row>
    <row r="57" spans="2:11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</row>
    <row r="58" spans="2:11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</row>
    <row r="59" spans="2:11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</row>
    <row r="60" spans="2:11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</row>
    <row r="61" spans="2:11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</row>
    <row r="62" spans="2:11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</row>
    <row r="63" spans="2:11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</row>
    <row r="64" spans="2:11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2:11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</row>
    <row r="66" spans="2:11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</row>
    <row r="67" spans="2:11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</row>
    <row r="68" spans="2:11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2:11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2:11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</row>
    <row r="71" spans="2:11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</row>
    <row r="72" spans="2:11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</row>
    <row r="73" spans="2:11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</row>
    <row r="74" spans="2:11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</row>
    <row r="75" spans="2:11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</row>
    <row r="76" spans="2:11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</row>
    <row r="77" spans="2:11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</row>
    <row r="78" spans="2:11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</row>
    <row r="79" spans="2:11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</row>
    <row r="80" spans="2:11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</row>
    <row r="81" spans="2:11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2:11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</row>
    <row r="83" spans="2:11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2:11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2:11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</row>
    <row r="86" spans="2:11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</row>
  </sheetData>
  <mergeCells count="1">
    <mergeCell ref="I1:J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U86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ht="15" customHeight="1">
      <c r="A1" s="7">
        <v>15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Pricing - Chap 11: Special Classification</v>
      </c>
      <c r="M1"/>
      <c r="N1"/>
      <c r="O1"/>
      <c r="P1"/>
      <c r="Q1"/>
      <c r="R1"/>
      <c r="S1"/>
      <c r="T1"/>
      <c r="U1"/>
    </row>
    <row r="2" spans="1:21" ht="15" customHeight="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 s="510"/>
      <c r="N2" s="510"/>
      <c r="O2" s="510"/>
      <c r="P2" s="510"/>
      <c r="Q2" s="510"/>
      <c r="R2" s="510"/>
      <c r="S2" s="510"/>
      <c r="T2" s="510"/>
      <c r="U2" s="510"/>
    </row>
    <row r="3" spans="1:21" ht="15" customHeight="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2</v>
      </c>
      <c r="L3" s="1" t="s">
        <v>572</v>
      </c>
      <c r="M3" s="510"/>
      <c r="N3" s="510"/>
      <c r="O3" s="510"/>
      <c r="P3" s="510"/>
      <c r="Q3" s="510"/>
      <c r="R3" s="510"/>
      <c r="S3" s="510"/>
      <c r="T3" s="510"/>
      <c r="U3" s="510"/>
    </row>
    <row r="4" spans="1:21" ht="15" customHeight="1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8"/>
      <c r="J4" s="30"/>
      <c r="K4" s="41"/>
      <c r="L4" s="510" t="s">
        <v>569</v>
      </c>
      <c r="M4" s="510"/>
      <c r="N4" s="510"/>
      <c r="O4" s="510"/>
      <c r="P4" s="510"/>
      <c r="Q4" s="510"/>
      <c r="R4" s="510"/>
      <c r="S4" s="510"/>
      <c r="T4" s="510"/>
      <c r="U4" s="510"/>
    </row>
    <row r="5" spans="1:21" ht="15" customHeight="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 s="510" t="s">
        <v>570</v>
      </c>
      <c r="M5" s="510"/>
      <c r="N5" s="510"/>
      <c r="O5" s="510"/>
      <c r="P5" s="510"/>
      <c r="Q5" s="510"/>
      <c r="R5" s="510"/>
      <c r="S5" s="510"/>
      <c r="T5" s="510"/>
      <c r="U5" s="510"/>
    </row>
    <row r="6" spans="1:21" ht="15" customHeight="1">
      <c r="A6" s="25" t="s">
        <v>2</v>
      </c>
      <c r="B6" s="17" t="s">
        <v>568</v>
      </c>
      <c r="C6" s="17"/>
      <c r="D6" s="17"/>
      <c r="E6" s="17"/>
      <c r="F6" s="17"/>
      <c r="G6" s="17"/>
      <c r="H6" s="17"/>
      <c r="I6" s="18"/>
      <c r="J6" s="30"/>
      <c r="K6" s="41"/>
      <c r="L6" s="510"/>
      <c r="M6" s="510"/>
      <c r="N6" s="510"/>
      <c r="O6" s="510"/>
      <c r="P6" s="510"/>
      <c r="Q6" s="510"/>
      <c r="R6" s="510"/>
      <c r="S6" s="510"/>
      <c r="T6" s="510"/>
      <c r="U6" s="510"/>
    </row>
    <row r="7" spans="1:21" ht="15" customHeight="1" thickBot="1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 s="30"/>
      <c r="K7" s="523" t="s">
        <v>3</v>
      </c>
      <c r="L7" s="1" t="s">
        <v>573</v>
      </c>
      <c r="M7" s="510"/>
      <c r="N7" s="510"/>
      <c r="O7" s="510"/>
      <c r="P7" s="510"/>
      <c r="Q7" s="510"/>
      <c r="R7" s="510"/>
      <c r="S7" s="510"/>
      <c r="T7" s="510"/>
      <c r="U7" s="510"/>
    </row>
    <row r="8" spans="1:21" ht="15" customHeight="1" thickBot="1">
      <c r="A8" s="5"/>
      <c r="B8" s="17"/>
      <c r="C8" s="17"/>
      <c r="D8" s="17"/>
      <c r="E8" s="17"/>
      <c r="F8" s="17"/>
      <c r="G8" s="27"/>
      <c r="H8" s="27"/>
      <c r="I8" s="18"/>
      <c r="J8" s="30"/>
      <c r="K8"/>
      <c r="L8" s="510" t="s">
        <v>576</v>
      </c>
      <c r="M8" s="510"/>
      <c r="N8" s="510"/>
      <c r="O8" s="510"/>
      <c r="P8" s="510"/>
      <c r="Q8" s="510"/>
      <c r="R8" s="510"/>
      <c r="S8" s="510"/>
      <c r="T8" s="510"/>
      <c r="U8" s="510"/>
    </row>
    <row r="9" spans="1:21" ht="15" customHeight="1">
      <c r="A9" s="25"/>
      <c r="B9" s="17"/>
      <c r="C9" s="17"/>
      <c r="D9" s="17"/>
      <c r="E9" s="17"/>
      <c r="F9" s="17"/>
      <c r="G9" s="17"/>
      <c r="H9" s="17"/>
      <c r="I9" s="18"/>
      <c r="J9" s="30"/>
      <c r="K9" s="41"/>
      <c r="L9" s="510" t="s">
        <v>574</v>
      </c>
      <c r="M9" s="510"/>
      <c r="N9" s="510"/>
      <c r="O9" s="510"/>
      <c r="P9" s="510"/>
      <c r="Q9" s="510"/>
      <c r="R9" s="510"/>
      <c r="S9" s="510"/>
      <c r="T9" s="510"/>
      <c r="U9" s="510"/>
    </row>
    <row r="10" spans="1:21" ht="15" customHeight="1">
      <c r="A10" s="25" t="s">
        <v>3</v>
      </c>
      <c r="B10" s="17" t="s">
        <v>571</v>
      </c>
      <c r="C10" s="17"/>
      <c r="D10" s="17"/>
      <c r="E10" s="17"/>
      <c r="F10" s="17"/>
      <c r="G10" s="17"/>
      <c r="H10" s="17"/>
      <c r="I10" s="18"/>
      <c r="J10" s="30"/>
      <c r="K10"/>
      <c r="L10" s="510" t="s">
        <v>575</v>
      </c>
      <c r="M10" s="510"/>
      <c r="N10" s="510"/>
      <c r="O10" s="510"/>
      <c r="P10" s="510"/>
      <c r="Q10" s="510"/>
      <c r="R10" s="510"/>
      <c r="S10" s="510"/>
      <c r="T10" s="510"/>
      <c r="U10" s="510"/>
    </row>
    <row r="11" spans="1:21" ht="15" customHeight="1" thickBot="1">
      <c r="A11" s="9">
        <f>INDEX('Point Grid'!$C$8:$I$54,MATCH($A$1,'Point Grid'!$A$8:$A$54,0),MATCH(A10,'Point Grid'!$C$7:$I$7,0))</f>
        <v>0.5</v>
      </c>
      <c r="B11" s="17"/>
      <c r="C11" s="17"/>
      <c r="D11" s="17"/>
      <c r="E11" s="17"/>
      <c r="F11" s="17"/>
      <c r="G11" s="17"/>
      <c r="H11" s="17"/>
      <c r="I11" s="18"/>
      <c r="J11" s="30"/>
      <c r="K11"/>
      <c r="L11" s="510"/>
      <c r="M11" s="510"/>
      <c r="N11" s="510"/>
      <c r="O11" s="510"/>
      <c r="P11" s="510"/>
      <c r="Q11" s="510"/>
      <c r="R11" s="510"/>
      <c r="S11" s="510"/>
      <c r="T11" s="510"/>
      <c r="U11" s="510"/>
    </row>
    <row r="12" spans="1:21" ht="15" customHeight="1" thickBot="1">
      <c r="A12" s="5"/>
      <c r="B12" s="17"/>
      <c r="C12" s="17"/>
      <c r="D12" s="17"/>
      <c r="E12" s="17"/>
      <c r="F12" s="17"/>
      <c r="G12" s="17"/>
      <c r="H12" s="17"/>
      <c r="I12" s="18"/>
      <c r="J12" s="30"/>
      <c r="K12"/>
      <c r="L12" s="510"/>
      <c r="M12" s="510"/>
      <c r="N12" s="510"/>
      <c r="O12" s="510"/>
      <c r="P12" s="510"/>
      <c r="Q12" s="510"/>
      <c r="R12" s="510"/>
      <c r="S12" s="510"/>
      <c r="T12" s="510"/>
      <c r="U12" s="510"/>
    </row>
    <row r="13" spans="1:21" ht="15" customHeight="1">
      <c r="A13" s="25"/>
      <c r="B13" s="17"/>
      <c r="C13" s="17"/>
      <c r="D13" s="17"/>
      <c r="E13" s="17"/>
      <c r="F13" s="17"/>
      <c r="G13" s="17"/>
      <c r="H13" s="17"/>
      <c r="I13" s="18"/>
      <c r="J13" s="30"/>
      <c r="K13" s="41"/>
      <c r="L13" s="510"/>
      <c r="M13" s="510"/>
      <c r="N13" s="510"/>
      <c r="O13" s="510"/>
      <c r="P13" s="510"/>
      <c r="Q13" s="510"/>
      <c r="R13" s="510"/>
      <c r="S13" s="510"/>
      <c r="T13" s="510"/>
      <c r="U13" s="510"/>
    </row>
    <row r="14" spans="1:21" ht="15" customHeight="1">
      <c r="A14" s="25"/>
      <c r="B14" s="17"/>
      <c r="C14" s="17"/>
      <c r="D14" s="17"/>
      <c r="E14" s="17"/>
      <c r="F14" s="17"/>
      <c r="G14" s="17"/>
      <c r="H14" s="17"/>
      <c r="I14" s="18"/>
      <c r="J14" s="30"/>
      <c r="K14"/>
      <c r="L14" s="510"/>
      <c r="M14" s="510"/>
      <c r="N14" s="510"/>
      <c r="O14" s="510"/>
      <c r="P14" s="510"/>
      <c r="Q14" s="510"/>
      <c r="R14" s="510"/>
      <c r="S14" s="510"/>
      <c r="T14" s="510"/>
      <c r="U14" s="510"/>
    </row>
    <row r="15" spans="1:21" ht="15" customHeight="1" thickBot="1">
      <c r="A15" s="24"/>
      <c r="B15" s="31"/>
      <c r="C15" s="31"/>
      <c r="D15" s="31"/>
      <c r="E15" s="31"/>
      <c r="F15" s="31"/>
      <c r="G15" s="31"/>
      <c r="H15" s="31"/>
      <c r="I15" s="32"/>
      <c r="J15" s="30"/>
      <c r="K15"/>
      <c r="L15" s="510"/>
      <c r="M15" s="510"/>
      <c r="N15" s="510"/>
      <c r="O15" s="510"/>
      <c r="P15" s="510"/>
      <c r="Q15" s="510"/>
      <c r="R15" s="510"/>
      <c r="S15" s="510"/>
      <c r="T15" s="510"/>
      <c r="U15" s="510"/>
    </row>
    <row r="16" spans="1:21" ht="15" customHeight="1">
      <c r="B16" s="30"/>
      <c r="C16" s="30"/>
      <c r="D16" s="30"/>
      <c r="E16" s="30"/>
      <c r="F16" s="30"/>
      <c r="G16" s="30"/>
      <c r="H16" s="30"/>
      <c r="I16" s="30"/>
      <c r="J16" s="30"/>
      <c r="K16"/>
      <c r="L16" s="510"/>
      <c r="M16" s="510"/>
      <c r="N16" s="510"/>
      <c r="O16" s="510"/>
      <c r="P16" s="510"/>
      <c r="Q16" s="510"/>
      <c r="R16" s="510"/>
      <c r="S16" s="510"/>
      <c r="T16" s="510"/>
      <c r="U16" s="510"/>
    </row>
    <row r="17" spans="2:21" ht="15" customHeight="1">
      <c r="J17" s="30"/>
      <c r="K17"/>
      <c r="L17" s="510"/>
      <c r="M17" s="510"/>
      <c r="N17" s="510"/>
      <c r="O17" s="510"/>
      <c r="P17" s="510"/>
      <c r="Q17" s="510"/>
      <c r="R17" s="510"/>
      <c r="S17" s="510"/>
      <c r="T17" s="510"/>
      <c r="U17" s="510"/>
    </row>
    <row r="18" spans="2:21" ht="15" customHeight="1">
      <c r="J18" s="30"/>
      <c r="K18" s="41"/>
      <c r="L18" s="1"/>
      <c r="M18"/>
      <c r="N18"/>
      <c r="O18"/>
      <c r="P18"/>
      <c r="Q18"/>
      <c r="R18"/>
      <c r="S18"/>
      <c r="T18"/>
      <c r="U18"/>
    </row>
    <row r="19" spans="2:21" ht="15" customHeight="1">
      <c r="J19" s="30"/>
      <c r="K19"/>
      <c r="L19"/>
      <c r="M19"/>
      <c r="N19"/>
      <c r="O19"/>
      <c r="P19"/>
      <c r="Q19"/>
      <c r="R19"/>
      <c r="S19"/>
      <c r="T19"/>
      <c r="U19"/>
    </row>
    <row r="20" spans="2:21" ht="15" customHeight="1">
      <c r="J20" s="30"/>
      <c r="K20" s="41"/>
      <c r="L20"/>
      <c r="M20"/>
      <c r="N20"/>
      <c r="O20"/>
      <c r="P20"/>
      <c r="Q20"/>
      <c r="R20"/>
      <c r="S20"/>
      <c r="T20"/>
      <c r="U20"/>
    </row>
    <row r="21" spans="2:21" ht="15" customHeight="1">
      <c r="J21" s="30"/>
      <c r="K21"/>
      <c r="L21"/>
      <c r="M21"/>
      <c r="N21"/>
      <c r="O21"/>
      <c r="P21"/>
      <c r="Q21"/>
      <c r="R21"/>
      <c r="S21"/>
      <c r="T21"/>
      <c r="U21"/>
    </row>
    <row r="22" spans="2:21" ht="15" customHeight="1">
      <c r="J22" s="30"/>
      <c r="K22"/>
      <c r="L22"/>
      <c r="M22"/>
      <c r="N22"/>
      <c r="O22"/>
      <c r="P22"/>
      <c r="Q22"/>
      <c r="R22"/>
      <c r="S22"/>
      <c r="T22"/>
      <c r="U22"/>
    </row>
    <row r="23" spans="2:21" ht="15" customHeight="1">
      <c r="J23" s="30"/>
      <c r="K23"/>
      <c r="L23"/>
      <c r="M23"/>
      <c r="N23"/>
      <c r="O23"/>
      <c r="P23"/>
      <c r="Q23"/>
      <c r="R23"/>
      <c r="S23"/>
      <c r="T23"/>
      <c r="U23"/>
    </row>
    <row r="24" spans="2:21" ht="15" customHeight="1">
      <c r="J24" s="30"/>
      <c r="K24"/>
      <c r="L24"/>
      <c r="M24"/>
      <c r="N24"/>
      <c r="O24"/>
      <c r="P24"/>
      <c r="Q24"/>
      <c r="R24"/>
      <c r="S24"/>
      <c r="T24"/>
      <c r="U24"/>
    </row>
    <row r="25" spans="2:21" ht="15" customHeight="1">
      <c r="J25" s="30"/>
      <c r="K25"/>
      <c r="L25"/>
      <c r="M25"/>
      <c r="N25"/>
      <c r="O25"/>
      <c r="P25"/>
      <c r="Q25"/>
      <c r="R25"/>
      <c r="S25"/>
      <c r="T25"/>
      <c r="U25"/>
    </row>
    <row r="26" spans="2:21" ht="15" customHeight="1">
      <c r="J26" s="30"/>
      <c r="K26"/>
      <c r="L26"/>
      <c r="M26"/>
      <c r="N26"/>
      <c r="O26"/>
      <c r="P26"/>
      <c r="Q26"/>
      <c r="R26"/>
      <c r="S26"/>
      <c r="T26"/>
      <c r="U26"/>
    </row>
    <row r="27" spans="2:21" ht="15" customHeight="1">
      <c r="J27" s="30"/>
      <c r="K27"/>
      <c r="L27"/>
      <c r="M27"/>
      <c r="N27"/>
      <c r="O27"/>
      <c r="P27"/>
      <c r="Q27"/>
      <c r="R27"/>
      <c r="S27"/>
      <c r="T27"/>
      <c r="U27"/>
    </row>
    <row r="28" spans="2:21" ht="15" customHeight="1">
      <c r="J28" s="30"/>
      <c r="K28"/>
      <c r="L28"/>
      <c r="M28"/>
      <c r="N28"/>
      <c r="O28"/>
      <c r="P28"/>
      <c r="Q28"/>
      <c r="R28"/>
      <c r="S28"/>
      <c r="T28"/>
      <c r="U28"/>
    </row>
    <row r="29" spans="2:21" ht="15" customHeight="1">
      <c r="J29" s="30"/>
      <c r="K29"/>
      <c r="L29"/>
      <c r="M29"/>
      <c r="N29"/>
      <c r="O29"/>
      <c r="P29"/>
      <c r="Q29"/>
      <c r="R29"/>
      <c r="S29"/>
      <c r="T29"/>
      <c r="U29"/>
    </row>
    <row r="30" spans="2:21" ht="15" customHeight="1">
      <c r="J30" s="30"/>
      <c r="K30"/>
      <c r="L30"/>
      <c r="M30"/>
      <c r="N30"/>
      <c r="O30"/>
      <c r="P30"/>
      <c r="Q30"/>
      <c r="R30"/>
      <c r="S30"/>
      <c r="T30"/>
      <c r="U30"/>
    </row>
    <row r="31" spans="2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2:21" ht="15" customHeight="1">
      <c r="B32" s="30"/>
      <c r="C32" s="30"/>
      <c r="D32" s="30"/>
      <c r="E32" s="30"/>
      <c r="F32" s="30"/>
      <c r="G32" s="30"/>
      <c r="H32" s="30"/>
      <c r="I32" s="30"/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B33" s="30"/>
      <c r="C33" s="30"/>
      <c r="D33" s="30"/>
      <c r="E33" s="30"/>
      <c r="F33" s="30"/>
      <c r="G33" s="30"/>
      <c r="H33" s="30"/>
      <c r="I33" s="30"/>
      <c r="J33" s="30"/>
      <c r="K33"/>
      <c r="L33"/>
      <c r="M33"/>
      <c r="N33"/>
      <c r="O33"/>
      <c r="P33"/>
      <c r="Q33"/>
      <c r="R33"/>
      <c r="S33"/>
      <c r="T33"/>
      <c r="U33"/>
    </row>
    <row r="34" spans="2:21" ht="15" customHeight="1">
      <c r="B34" s="30"/>
      <c r="C34" s="30"/>
      <c r="D34" s="30"/>
      <c r="E34" s="30"/>
      <c r="F34" s="30"/>
      <c r="G34" s="30"/>
      <c r="H34" s="30"/>
      <c r="I34" s="30"/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B35" s="30"/>
      <c r="C35" s="30"/>
      <c r="D35" s="30"/>
      <c r="E35" s="30"/>
      <c r="F35" s="30"/>
      <c r="G35" s="30"/>
      <c r="H35" s="30"/>
      <c r="I35" s="30"/>
      <c r="J35" s="30"/>
      <c r="K35"/>
      <c r="L35"/>
      <c r="M35"/>
      <c r="N35"/>
      <c r="O35"/>
      <c r="P35"/>
      <c r="Q35"/>
      <c r="R35"/>
      <c r="S35"/>
      <c r="T35"/>
      <c r="U35"/>
    </row>
    <row r="36" spans="2:21" ht="15" customHeight="1">
      <c r="B36" s="30"/>
      <c r="C36" s="30"/>
      <c r="D36" s="30"/>
      <c r="E36" s="30"/>
      <c r="F36" s="30"/>
      <c r="G36" s="30"/>
      <c r="H36" s="30"/>
      <c r="I36" s="30"/>
      <c r="J36" s="30"/>
    </row>
    <row r="37" spans="2:21" ht="15" customHeight="1">
      <c r="B37" s="30"/>
      <c r="C37" s="30"/>
      <c r="D37" s="30"/>
      <c r="E37" s="30"/>
      <c r="F37" s="30"/>
      <c r="G37" s="30"/>
      <c r="H37" s="30"/>
      <c r="I37" s="30"/>
      <c r="J37" s="30"/>
    </row>
    <row r="38" spans="2:21" ht="15" customHeight="1">
      <c r="B38" s="30"/>
      <c r="C38" s="30"/>
      <c r="D38" s="30"/>
      <c r="E38" s="30"/>
      <c r="F38" s="30"/>
      <c r="G38" s="30"/>
      <c r="H38" s="30"/>
      <c r="I38" s="30"/>
      <c r="J38" s="30"/>
    </row>
    <row r="39" spans="2:21" ht="15" customHeight="1">
      <c r="B39" s="30"/>
      <c r="C39" s="30"/>
      <c r="D39" s="30"/>
      <c r="E39" s="30"/>
      <c r="F39" s="30"/>
      <c r="G39" s="30"/>
      <c r="H39" s="30"/>
      <c r="I39" s="30"/>
      <c r="J39" s="30"/>
    </row>
    <row r="40" spans="2:21" ht="15" customHeight="1">
      <c r="B40" s="30"/>
      <c r="C40" s="30"/>
      <c r="D40" s="30"/>
      <c r="E40" s="30"/>
      <c r="F40" s="30"/>
      <c r="G40" s="30"/>
      <c r="H40" s="30"/>
      <c r="I40" s="30"/>
      <c r="J40" s="30"/>
    </row>
    <row r="41" spans="2:21" ht="15" customHeight="1">
      <c r="B41" s="30"/>
      <c r="C41" s="30"/>
      <c r="D41" s="30"/>
      <c r="E41" s="30"/>
      <c r="F41" s="30"/>
      <c r="G41" s="30"/>
      <c r="H41" s="30"/>
      <c r="I41" s="30"/>
      <c r="J41" s="30"/>
    </row>
    <row r="42" spans="2:21" ht="15" customHeight="1">
      <c r="B42" s="30"/>
      <c r="C42" s="30"/>
      <c r="D42" s="30"/>
      <c r="E42" s="30"/>
      <c r="F42" s="30"/>
      <c r="G42" s="30"/>
      <c r="H42" s="30"/>
      <c r="I42" s="30"/>
      <c r="J42" s="30"/>
    </row>
    <row r="43" spans="2:21" ht="15" customHeight="1">
      <c r="B43" s="30"/>
      <c r="C43" s="30"/>
      <c r="D43" s="30"/>
      <c r="E43" s="30"/>
      <c r="F43" s="30"/>
      <c r="G43" s="30"/>
      <c r="H43" s="30"/>
      <c r="I43" s="30"/>
      <c r="J43" s="30"/>
    </row>
    <row r="44" spans="2:21" ht="15" customHeight="1">
      <c r="B44" s="30"/>
      <c r="C44" s="30"/>
      <c r="D44" s="30"/>
      <c r="E44" s="30"/>
      <c r="F44" s="30"/>
      <c r="G44" s="30"/>
      <c r="H44" s="30"/>
      <c r="I44" s="30"/>
      <c r="J44" s="30"/>
    </row>
    <row r="45" spans="2:21" ht="15" customHeight="1">
      <c r="B45" s="30"/>
      <c r="C45" s="30"/>
      <c r="D45" s="30"/>
      <c r="E45" s="30"/>
      <c r="F45" s="30"/>
      <c r="G45" s="30"/>
      <c r="H45" s="30"/>
      <c r="I45" s="30"/>
      <c r="J45" s="30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</row>
    <row r="49" spans="2:10" ht="15" customHeight="1">
      <c r="B49" s="30"/>
      <c r="C49" s="30"/>
      <c r="D49" s="30"/>
      <c r="E49" s="30"/>
      <c r="F49" s="30"/>
      <c r="G49" s="30"/>
      <c r="H49" s="30"/>
      <c r="I49" s="30"/>
      <c r="J49" s="30"/>
    </row>
    <row r="50" spans="2:10" ht="15" customHeight="1">
      <c r="B50" s="30"/>
      <c r="C50" s="30"/>
      <c r="D50" s="30"/>
      <c r="E50" s="30"/>
      <c r="F50" s="30"/>
      <c r="G50" s="30"/>
      <c r="H50" s="30"/>
      <c r="I50" s="30"/>
      <c r="J50" s="30"/>
    </row>
    <row r="51" spans="2:10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10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10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10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10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10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10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10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10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10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10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10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10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10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16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Pricing - Chap 11: Special Classification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2</v>
      </c>
      <c r="L3" s="74" t="s">
        <v>155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 s="30"/>
      <c r="K4" s="41"/>
      <c r="L4" t="s">
        <v>156</v>
      </c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154</v>
      </c>
      <c r="C6" s="17"/>
      <c r="D6" s="17"/>
      <c r="E6" s="17"/>
      <c r="F6" s="17"/>
      <c r="G6" s="17"/>
      <c r="H6" s="17"/>
      <c r="I6" s="18"/>
      <c r="J6" s="30"/>
      <c r="K6" s="41"/>
      <c r="L6" s="35" t="s">
        <v>157</v>
      </c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8"/>
      <c r="J7" s="30"/>
      <c r="K7" s="41"/>
      <c r="L7" s="41"/>
      <c r="M7" s="41"/>
      <c r="N7" s="41"/>
      <c r="O7" s="41"/>
      <c r="P7" s="41"/>
      <c r="Q7" s="41"/>
      <c r="R7" s="41"/>
      <c r="S7" s="41"/>
      <c r="T7" s="41"/>
      <c r="U7"/>
    </row>
    <row r="8" spans="1:21" ht="15.75" thickBot="1">
      <c r="A8" s="5"/>
      <c r="B8" s="17"/>
      <c r="C8" s="27"/>
      <c r="D8" s="27"/>
      <c r="E8" s="27"/>
      <c r="F8" s="27"/>
      <c r="G8" s="27"/>
      <c r="H8" s="27"/>
      <c r="I8" s="18"/>
      <c r="J8" s="30"/>
      <c r="K8" s="41" t="s">
        <v>3</v>
      </c>
      <c r="L8" s="42" t="s">
        <v>172</v>
      </c>
      <c r="M8" s="41"/>
      <c r="N8" s="41"/>
      <c r="O8" s="41"/>
      <c r="P8" s="41"/>
      <c r="Q8" s="41"/>
      <c r="R8" s="41"/>
      <c r="S8" s="41"/>
      <c r="T8" s="41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0"/>
      <c r="K9" s="41"/>
      <c r="L9" s="42" t="s">
        <v>173</v>
      </c>
      <c r="M9" s="41"/>
      <c r="N9" s="41"/>
      <c r="O9" s="41"/>
      <c r="P9" s="41"/>
      <c r="Q9" s="41"/>
      <c r="R9" s="41"/>
      <c r="S9" s="41"/>
      <c r="T9" s="41"/>
    </row>
    <row r="10" spans="1:21">
      <c r="A10" s="25" t="s">
        <v>3</v>
      </c>
      <c r="B10" s="17" t="s">
        <v>175</v>
      </c>
      <c r="C10" s="17"/>
      <c r="D10" s="17"/>
      <c r="E10" s="17"/>
      <c r="F10" s="17"/>
      <c r="G10" s="17"/>
      <c r="H10" s="17"/>
      <c r="I10" s="18"/>
      <c r="J10" s="30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/>
    </row>
    <row r="11" spans="1:21" ht="15.75" thickBot="1">
      <c r="A11" s="9">
        <f>INDEX('Point Grid'!$C$8:$I$54,MATCH($A$1,'Point Grid'!$A$8:$A$54,0),MATCH(A10,'Point Grid'!$C$7:$I$7,0))</f>
        <v>0.5</v>
      </c>
      <c r="B11" s="17"/>
      <c r="C11" s="17"/>
      <c r="D11" s="17"/>
      <c r="E11" s="17"/>
      <c r="F11" s="17"/>
      <c r="G11" s="17"/>
      <c r="H11" s="17"/>
      <c r="I11" s="18"/>
      <c r="J11" s="30"/>
      <c r="K11" s="41"/>
      <c r="L11" s="236" t="s">
        <v>174</v>
      </c>
      <c r="M11" s="41"/>
      <c r="N11" s="41"/>
      <c r="O11" s="41"/>
      <c r="P11" s="41"/>
      <c r="Q11" s="41"/>
      <c r="R11" s="41"/>
      <c r="S11" s="41"/>
      <c r="T11" s="41"/>
      <c r="U11"/>
    </row>
    <row r="12" spans="1:21" ht="15.75" thickBot="1">
      <c r="A12" s="5"/>
      <c r="B12" s="17"/>
      <c r="C12" s="27"/>
      <c r="D12" s="27"/>
      <c r="E12" s="27"/>
      <c r="F12" s="27"/>
      <c r="G12" s="27"/>
      <c r="H12" s="27"/>
      <c r="I12" s="18"/>
      <c r="J12" s="30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/>
    </row>
    <row r="13" spans="1:21">
      <c r="A13" s="25"/>
      <c r="B13" s="17"/>
      <c r="C13" s="27"/>
      <c r="D13" s="27"/>
      <c r="E13" s="27"/>
      <c r="F13" s="27"/>
      <c r="G13" s="27"/>
      <c r="H13" s="27"/>
      <c r="I13" s="18"/>
      <c r="J13" s="30"/>
      <c r="K13" s="41" t="s">
        <v>4</v>
      </c>
      <c r="L13" s="35" t="s">
        <v>176</v>
      </c>
      <c r="M13" s="35"/>
      <c r="N13" s="35"/>
      <c r="Q13"/>
      <c r="R13"/>
      <c r="S13" s="41"/>
      <c r="T13" s="41"/>
      <c r="U13"/>
    </row>
    <row r="14" spans="1:21">
      <c r="A14" s="25" t="s">
        <v>4</v>
      </c>
      <c r="B14" s="17" t="s">
        <v>158</v>
      </c>
      <c r="C14" s="17"/>
      <c r="D14" s="17"/>
      <c r="E14" s="17"/>
      <c r="F14" s="17"/>
      <c r="G14" s="17"/>
      <c r="H14" s="17"/>
      <c r="I14" s="18"/>
      <c r="J14" s="30"/>
      <c r="K14" s="41"/>
      <c r="L14" s="35"/>
      <c r="M14" s="35"/>
      <c r="N14" s="35"/>
      <c r="Q14"/>
      <c r="R14"/>
      <c r="S14" s="41"/>
      <c r="T14" s="41"/>
      <c r="U14"/>
    </row>
    <row r="15" spans="1:21" ht="15.75" thickBot="1">
      <c r="A15" s="9">
        <f>INDEX('Point Grid'!$C$8:$I$54,MATCH($A$1,'Point Grid'!$A$8:$A$54,0),MATCH(A14,'Point Grid'!$C$7:$I$7,0))</f>
        <v>0.75</v>
      </c>
      <c r="B15" s="17" t="s">
        <v>159</v>
      </c>
      <c r="C15" s="17"/>
      <c r="D15" s="17"/>
      <c r="E15" s="17"/>
      <c r="F15" s="17"/>
      <c r="G15" s="17"/>
      <c r="H15" s="17"/>
      <c r="I15" s="18"/>
      <c r="J15" s="30"/>
      <c r="K15"/>
      <c r="L15" s="234">
        <v>1</v>
      </c>
      <c r="M15" s="235" t="s">
        <v>170</v>
      </c>
      <c r="N15" s="35"/>
      <c r="Q15"/>
      <c r="R15"/>
      <c r="S15" s="41"/>
      <c r="T15" s="41"/>
      <c r="U15"/>
    </row>
    <row r="16" spans="1:21" ht="15.75" thickBot="1">
      <c r="A16" s="5"/>
      <c r="B16" s="17" t="s">
        <v>160</v>
      </c>
      <c r="C16" s="17"/>
      <c r="D16" s="17"/>
      <c r="E16" s="17"/>
      <c r="F16" s="17"/>
      <c r="G16" s="17"/>
      <c r="H16" s="17"/>
      <c r="I16" s="18"/>
      <c r="J16" s="30"/>
      <c r="K16"/>
      <c r="L16" s="227"/>
      <c r="M16" s="101" t="s">
        <v>161</v>
      </c>
      <c r="N16" s="35"/>
    </row>
    <row r="17" spans="1:21">
      <c r="A17" s="22"/>
      <c r="B17" s="17"/>
      <c r="C17" s="17"/>
      <c r="D17" s="17"/>
      <c r="E17" s="17"/>
      <c r="F17" s="17"/>
      <c r="G17" s="17"/>
      <c r="H17" s="17"/>
      <c r="I17" s="18"/>
      <c r="J17" s="30"/>
      <c r="K17"/>
      <c r="L17" s="234">
        <v>2</v>
      </c>
      <c r="M17" s="235" t="s">
        <v>162</v>
      </c>
      <c r="N17" s="35"/>
    </row>
    <row r="18" spans="1:21" ht="15" customHeight="1">
      <c r="A18" s="25" t="s">
        <v>5</v>
      </c>
      <c r="B18" s="143" t="s">
        <v>177</v>
      </c>
      <c r="C18" s="143"/>
      <c r="D18" s="143"/>
      <c r="E18" s="143"/>
      <c r="F18" s="143"/>
      <c r="G18" s="143"/>
      <c r="H18" s="143"/>
      <c r="I18" s="18"/>
      <c r="J18" s="30"/>
      <c r="K18" s="41"/>
      <c r="L18" s="227"/>
      <c r="M18" s="101" t="s">
        <v>163</v>
      </c>
      <c r="N18" s="35"/>
    </row>
    <row r="19" spans="1:21" ht="15" customHeight="1" thickBot="1">
      <c r="A19" s="9">
        <f>INDEX('Point Grid'!$C$8:$I$54,MATCH($A$1,'Point Grid'!$A$8:$A$54,0),MATCH(A18,'Point Grid'!$C$7:$I$7,0))</f>
        <v>1</v>
      </c>
      <c r="B19" s="143"/>
      <c r="C19" s="143"/>
      <c r="D19" s="143"/>
      <c r="E19" s="143"/>
      <c r="F19" s="143"/>
      <c r="G19" s="143"/>
      <c r="H19" s="143"/>
      <c r="I19" s="18"/>
      <c r="J19" s="30"/>
      <c r="K19"/>
      <c r="L19" s="234">
        <v>3</v>
      </c>
      <c r="M19" s="235" t="s">
        <v>164</v>
      </c>
      <c r="N19" s="35"/>
    </row>
    <row r="20" spans="1:21" ht="15" customHeight="1" thickBot="1">
      <c r="A20" s="5"/>
      <c r="B20" s="121"/>
      <c r="C20" s="140" t="s">
        <v>178</v>
      </c>
      <c r="D20" s="142"/>
      <c r="E20" s="142">
        <v>550000</v>
      </c>
      <c r="F20" s="143"/>
      <c r="G20" s="143"/>
      <c r="H20" s="143"/>
      <c r="I20" s="18"/>
      <c r="J20" s="30"/>
      <c r="K20"/>
      <c r="L20" s="227"/>
      <c r="M20" s="101" t="s">
        <v>171</v>
      </c>
      <c r="N20" s="35"/>
    </row>
    <row r="21" spans="1:21" ht="15" customHeight="1">
      <c r="A21" s="22"/>
      <c r="B21" s="121"/>
      <c r="C21" s="149" t="s">
        <v>179</v>
      </c>
      <c r="D21" s="151"/>
      <c r="E21" s="151">
        <v>467500</v>
      </c>
      <c r="F21" s="143"/>
      <c r="G21" s="143"/>
      <c r="H21" s="143"/>
      <c r="I21" s="18"/>
      <c r="J21" s="30"/>
      <c r="K21" s="41"/>
      <c r="L21" s="234">
        <v>4</v>
      </c>
      <c r="M21" s="235" t="s">
        <v>165</v>
      </c>
      <c r="N21" s="35"/>
    </row>
    <row r="22" spans="1:21" ht="15" customHeight="1">
      <c r="A22" s="22"/>
      <c r="B22" s="121"/>
      <c r="C22" s="149" t="s">
        <v>180</v>
      </c>
      <c r="D22" s="151"/>
      <c r="E22" s="198">
        <v>1.4999999999999999E-2</v>
      </c>
      <c r="F22" s="237"/>
      <c r="G22" s="143"/>
      <c r="H22" s="143"/>
      <c r="I22" s="18"/>
      <c r="J22" s="30"/>
      <c r="K22"/>
      <c r="L22" s="227"/>
      <c r="M22" s="101" t="s">
        <v>166</v>
      </c>
      <c r="N22" s="35"/>
    </row>
    <row r="23" spans="1:21" ht="15" customHeight="1">
      <c r="A23" s="22"/>
      <c r="B23" s="143"/>
      <c r="C23" s="143"/>
      <c r="D23" s="143"/>
      <c r="E23" s="143"/>
      <c r="F23" s="143"/>
      <c r="G23" s="143"/>
      <c r="H23" s="143"/>
      <c r="I23" s="18"/>
      <c r="J23" s="30"/>
      <c r="K23"/>
      <c r="L23" s="227"/>
      <c r="M23" s="101" t="s">
        <v>167</v>
      </c>
      <c r="N23" s="35"/>
    </row>
    <row r="24" spans="1:21" ht="15" customHeight="1">
      <c r="A24" s="22"/>
      <c r="B24" s="143" t="s">
        <v>181</v>
      </c>
      <c r="C24" s="143"/>
      <c r="D24" s="143"/>
      <c r="E24" s="143"/>
      <c r="F24" s="143"/>
      <c r="G24" s="143"/>
      <c r="H24" s="143"/>
      <c r="I24" s="18"/>
      <c r="J24" s="30"/>
      <c r="K24"/>
      <c r="L24" s="234">
        <v>5</v>
      </c>
      <c r="M24" s="235" t="s">
        <v>168</v>
      </c>
      <c r="N24" s="35"/>
    </row>
    <row r="25" spans="1:21" ht="15" customHeight="1">
      <c r="A25" s="22"/>
      <c r="B25" s="17"/>
      <c r="C25" s="17"/>
      <c r="D25" s="17"/>
      <c r="E25" s="17"/>
      <c r="F25" s="17"/>
      <c r="G25" s="17"/>
      <c r="H25" s="17"/>
      <c r="I25" s="18"/>
      <c r="J25" s="30"/>
      <c r="K25"/>
      <c r="L25" s="101"/>
      <c r="M25" s="101" t="s">
        <v>169</v>
      </c>
      <c r="N25" s="35"/>
    </row>
    <row r="26" spans="1:21" ht="15" customHeight="1">
      <c r="A26" s="22"/>
      <c r="B26" s="17"/>
      <c r="C26" s="17"/>
      <c r="D26" s="17"/>
      <c r="E26" s="17"/>
      <c r="F26" s="17"/>
      <c r="G26" s="17"/>
      <c r="H26" s="17"/>
      <c r="I26" s="18"/>
      <c r="J26" s="30"/>
    </row>
    <row r="27" spans="1:21" ht="15" customHeight="1">
      <c r="A27" s="22"/>
      <c r="B27" s="17"/>
      <c r="C27" s="17"/>
      <c r="D27" s="17"/>
      <c r="E27" s="17"/>
      <c r="F27" s="17"/>
      <c r="G27" s="17"/>
      <c r="H27" s="17"/>
      <c r="I27" s="18"/>
      <c r="J27" s="30"/>
      <c r="K27" s="238" t="s">
        <v>5</v>
      </c>
      <c r="L27" s="153" t="s">
        <v>119</v>
      </c>
      <c r="M27" s="35" t="s">
        <v>182</v>
      </c>
      <c r="N27" s="35"/>
      <c r="O27" s="35"/>
      <c r="P27" s="35"/>
      <c r="Q27" s="35"/>
      <c r="R27" s="35"/>
      <c r="S27" s="35"/>
      <c r="T27" s="35"/>
      <c r="U27" s="35"/>
    </row>
    <row r="28" spans="1:21" ht="15" customHeight="1">
      <c r="A28" s="22"/>
      <c r="B28" s="17"/>
      <c r="C28" s="17"/>
      <c r="D28" s="17"/>
      <c r="E28" s="17"/>
      <c r="F28" s="17"/>
      <c r="G28" s="17"/>
      <c r="H28" s="17"/>
      <c r="I28" s="18"/>
      <c r="J28" s="30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 s="124"/>
      <c r="M29" s="239"/>
      <c r="N29" s="163"/>
      <c r="O29" s="240" t="s">
        <v>117</v>
      </c>
      <c r="P29" s="240" t="s">
        <v>183</v>
      </c>
      <c r="Q29" s="241" t="s">
        <v>183</v>
      </c>
      <c r="R29" s="124"/>
      <c r="S29" s="124"/>
      <c r="T29" s="124"/>
      <c r="U29" s="124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 s="124"/>
      <c r="M30" s="242" t="s">
        <v>184</v>
      </c>
      <c r="N30" s="243"/>
      <c r="O30" s="114" t="s">
        <v>185</v>
      </c>
      <c r="P30" s="114" t="s">
        <v>117</v>
      </c>
      <c r="Q30" s="116" t="s">
        <v>186</v>
      </c>
      <c r="R30" s="124"/>
      <c r="S30" s="124"/>
      <c r="T30" s="124"/>
      <c r="U30" s="124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 s="124"/>
      <c r="M31" s="132">
        <f>0</f>
        <v>0</v>
      </c>
      <c r="N31" s="134">
        <f>E21</f>
        <v>467500</v>
      </c>
      <c r="O31" s="244">
        <f>E21/E20</f>
        <v>0.85</v>
      </c>
      <c r="P31" s="109">
        <f>AVERAGE(M31,N31)</f>
        <v>233750</v>
      </c>
      <c r="Q31" s="111">
        <f>MIN(P31,E21)</f>
        <v>233750</v>
      </c>
      <c r="R31" s="124"/>
      <c r="S31" s="124"/>
      <c r="T31" s="124"/>
      <c r="U31" s="124"/>
    </row>
    <row r="32" spans="1:21" ht="15" customHeight="1">
      <c r="J32" s="30"/>
      <c r="K32"/>
      <c r="L32" s="124"/>
      <c r="M32" s="137">
        <f>E21</f>
        <v>467500</v>
      </c>
      <c r="N32" s="139">
        <f>E20</f>
        <v>550000</v>
      </c>
      <c r="O32" s="245">
        <f>1-O31</f>
        <v>0.15000000000000002</v>
      </c>
      <c r="P32" s="114">
        <f>AVERAGE(M32,N32)</f>
        <v>508750</v>
      </c>
      <c r="Q32" s="116">
        <f>MIN(P32,E21)</f>
        <v>467500</v>
      </c>
      <c r="R32" s="124"/>
      <c r="S32" s="124"/>
      <c r="T32" s="124"/>
      <c r="U32" s="124"/>
    </row>
    <row r="33" spans="2:21" ht="15" customHeight="1">
      <c r="J33" s="30"/>
      <c r="K33" s="41"/>
      <c r="L33" s="124"/>
      <c r="M33" s="124"/>
      <c r="N33" s="124"/>
      <c r="O33" s="155"/>
      <c r="P33" s="155"/>
      <c r="Q33" s="246">
        <f>SUMPRODUCT(O31:O32,Q31:Q32)</f>
        <v>268812.5</v>
      </c>
      <c r="R33" s="178" t="s">
        <v>187</v>
      </c>
      <c r="S33" s="124"/>
      <c r="T33" s="124"/>
      <c r="U33" s="124"/>
    </row>
    <row r="34" spans="2:21" ht="15" customHeight="1">
      <c r="J34" s="30"/>
      <c r="K34"/>
      <c r="L34" s="124"/>
      <c r="M34" s="124"/>
      <c r="N34" s="124"/>
      <c r="O34" s="124"/>
      <c r="P34" s="124"/>
      <c r="Q34" s="124"/>
      <c r="R34" s="124"/>
      <c r="S34" s="124"/>
      <c r="T34" s="124"/>
      <c r="U34" s="124"/>
    </row>
    <row r="35" spans="2:21" ht="15" customHeight="1">
      <c r="J35" s="30"/>
      <c r="K35" s="41"/>
      <c r="L35" s="124"/>
      <c r="M35" s="124"/>
      <c r="N35" s="124"/>
      <c r="O35" s="124"/>
      <c r="P35" s="124"/>
      <c r="Q35" s="124"/>
      <c r="R35" s="124"/>
      <c r="S35" s="124"/>
      <c r="T35" s="124"/>
      <c r="U35" s="124"/>
    </row>
    <row r="36" spans="2:21" ht="15" customHeight="1">
      <c r="J36" s="30"/>
      <c r="K36"/>
      <c r="L36" s="206" t="s">
        <v>120</v>
      </c>
      <c r="M36" s="124" t="s">
        <v>188</v>
      </c>
      <c r="N36" s="124"/>
      <c r="O36" s="124"/>
      <c r="P36" s="124"/>
      <c r="Q36" s="124"/>
      <c r="R36" s="124"/>
      <c r="S36" s="124"/>
      <c r="T36" s="124"/>
      <c r="U36" s="124"/>
    </row>
    <row r="37" spans="2:21" ht="15" customHeight="1">
      <c r="J37" s="30"/>
      <c r="K37"/>
      <c r="L37" s="124"/>
      <c r="M37" s="124"/>
      <c r="N37" s="124"/>
      <c r="O37" s="124"/>
      <c r="P37" s="124"/>
      <c r="Q37" s="124"/>
      <c r="R37" s="124"/>
      <c r="S37" s="124"/>
      <c r="T37" s="124"/>
      <c r="U37" s="124"/>
    </row>
    <row r="38" spans="2:21" ht="15" customHeight="1">
      <c r="J38" s="30"/>
      <c r="K38"/>
      <c r="L38" s="124"/>
      <c r="M38" s="167" t="s">
        <v>189</v>
      </c>
      <c r="N38" s="155" t="s">
        <v>33</v>
      </c>
      <c r="O38" s="155" t="s">
        <v>190</v>
      </c>
      <c r="P38" s="155" t="s">
        <v>150</v>
      </c>
      <c r="Q38" s="155" t="s">
        <v>191</v>
      </c>
      <c r="R38" s="124"/>
      <c r="S38" s="124"/>
      <c r="T38" s="124"/>
      <c r="U38" s="124"/>
    </row>
    <row r="39" spans="2:21" ht="15" customHeight="1">
      <c r="J39" s="30"/>
      <c r="K39"/>
      <c r="L39" s="124"/>
      <c r="M39" s="124"/>
      <c r="N39" s="155" t="s">
        <v>33</v>
      </c>
      <c r="O39" s="644">
        <f>E22</f>
        <v>1.4999999999999999E-2</v>
      </c>
      <c r="P39" s="155" t="s">
        <v>150</v>
      </c>
      <c r="Q39" s="247">
        <f>Q33</f>
        <v>268812.5</v>
      </c>
      <c r="R39" s="124"/>
      <c r="S39" s="124"/>
      <c r="T39" s="124"/>
      <c r="U39" s="124"/>
    </row>
    <row r="40" spans="2:21" ht="15" customHeight="1">
      <c r="J40" s="30"/>
      <c r="K40"/>
      <c r="L40" s="124"/>
      <c r="M40" s="124"/>
      <c r="N40" s="155" t="s">
        <v>33</v>
      </c>
      <c r="O40" s="154">
        <f>O39*Q39</f>
        <v>4032.1875</v>
      </c>
      <c r="P40" s="124"/>
      <c r="Q40" s="124"/>
      <c r="R40" s="124"/>
      <c r="S40" s="124"/>
      <c r="T40" s="124"/>
      <c r="U40" s="124"/>
    </row>
    <row r="41" spans="2:21" ht="15" customHeight="1">
      <c r="J41" s="30"/>
      <c r="K41"/>
      <c r="L41" s="124"/>
      <c r="M41" s="124"/>
      <c r="N41" s="124"/>
      <c r="O41" s="124"/>
      <c r="P41" s="124"/>
      <c r="Q41" s="124"/>
      <c r="R41" s="124"/>
      <c r="S41" s="124"/>
      <c r="T41" s="124"/>
      <c r="U41" s="124"/>
    </row>
    <row r="42" spans="2:21" ht="15" customHeight="1">
      <c r="J42" s="30"/>
      <c r="K42"/>
      <c r="L42" s="124"/>
      <c r="M42" s="167" t="s">
        <v>192</v>
      </c>
      <c r="N42" s="155" t="s">
        <v>33</v>
      </c>
      <c r="O42" s="248" t="s">
        <v>193</v>
      </c>
      <c r="P42" s="228" t="s">
        <v>194</v>
      </c>
      <c r="Q42" s="124" t="s">
        <v>179</v>
      </c>
      <c r="R42" s="156" t="s">
        <v>35</v>
      </c>
      <c r="S42" s="124">
        <v>1000</v>
      </c>
      <c r="T42" s="124" t="s">
        <v>195</v>
      </c>
      <c r="U42" s="124"/>
    </row>
    <row r="43" spans="2:21" ht="15" customHeight="1">
      <c r="J43" s="30"/>
      <c r="K43"/>
      <c r="L43" s="124"/>
      <c r="M43" s="124"/>
      <c r="N43" s="155" t="s">
        <v>33</v>
      </c>
      <c r="O43" s="154">
        <f>O40</f>
        <v>4032.1875</v>
      </c>
      <c r="P43" s="228" t="s">
        <v>194</v>
      </c>
      <c r="Q43" s="154">
        <f>E21</f>
        <v>467500</v>
      </c>
      <c r="R43" s="156" t="s">
        <v>35</v>
      </c>
      <c r="S43" s="124">
        <f>S42</f>
        <v>1000</v>
      </c>
      <c r="T43" s="124" t="s">
        <v>195</v>
      </c>
      <c r="U43" s="124"/>
    </row>
    <row r="44" spans="2:21" ht="15" customHeight="1">
      <c r="J44" s="30"/>
      <c r="K44"/>
      <c r="L44" s="124"/>
      <c r="M44" s="124"/>
      <c r="N44" s="155" t="s">
        <v>33</v>
      </c>
      <c r="O44" s="249">
        <f>O43/(Q43/S43)</f>
        <v>8.625</v>
      </c>
      <c r="P44" s="124"/>
      <c r="Q44" s="124"/>
      <c r="R44" s="124"/>
      <c r="S44" s="124"/>
      <c r="T44" s="124"/>
      <c r="U44" s="124"/>
    </row>
    <row r="45" spans="2:21" ht="15" customHeight="1">
      <c r="J45" s="30"/>
      <c r="K45"/>
      <c r="L45" s="124"/>
      <c r="M45" s="124"/>
      <c r="N45" s="124"/>
      <c r="O45" s="161" t="s">
        <v>122</v>
      </c>
      <c r="P45" s="124"/>
      <c r="Q45" s="124"/>
      <c r="R45" s="124"/>
      <c r="S45" s="124"/>
      <c r="T45" s="124"/>
      <c r="U45" s="124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 s="124"/>
      <c r="M46" s="124"/>
      <c r="N46" s="124"/>
      <c r="O46" s="124"/>
      <c r="P46" s="124"/>
      <c r="Q46" s="124"/>
      <c r="R46" s="124"/>
      <c r="S46" s="124"/>
      <c r="T46" s="124"/>
      <c r="U46" s="124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 s="250" t="s">
        <v>196</v>
      </c>
      <c r="M47" s="124" t="s">
        <v>197</v>
      </c>
      <c r="N47" s="124"/>
      <c r="O47" s="124"/>
      <c r="P47" s="124"/>
      <c r="Q47" s="124"/>
      <c r="R47" s="124"/>
      <c r="S47" s="124"/>
      <c r="T47" s="124"/>
      <c r="U47" s="251">
        <f>E20/2*E22/(E20/1000)</f>
        <v>7.5</v>
      </c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41"/>
      <c r="L61" s="35"/>
      <c r="M61" s="35"/>
      <c r="N61" s="35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41"/>
      <c r="L62" s="35"/>
      <c r="M62" s="35"/>
      <c r="N62" s="35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  <c r="K63"/>
      <c r="L63" s="234"/>
      <c r="M63" s="235"/>
      <c r="N63" s="35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  <c r="K64"/>
      <c r="L64" s="227"/>
      <c r="M64" s="101"/>
      <c r="N64" s="35"/>
    </row>
    <row r="65" spans="2:14" ht="15" customHeight="1">
      <c r="B65" s="30"/>
      <c r="C65" s="30"/>
      <c r="D65" s="30"/>
      <c r="E65" s="30"/>
      <c r="F65" s="30"/>
      <c r="G65" s="30"/>
      <c r="H65" s="30"/>
      <c r="I65" s="30"/>
      <c r="J65" s="30"/>
      <c r="K65"/>
      <c r="L65" s="234"/>
      <c r="M65" s="235"/>
      <c r="N65" s="35"/>
    </row>
    <row r="66" spans="2:14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41"/>
      <c r="L66" s="227"/>
      <c r="M66" s="101"/>
      <c r="N66" s="35"/>
    </row>
    <row r="67" spans="2:14" ht="15" customHeight="1">
      <c r="B67" s="30"/>
      <c r="C67" s="30"/>
      <c r="D67" s="30"/>
      <c r="E67" s="30"/>
      <c r="F67" s="30"/>
      <c r="G67" s="30"/>
      <c r="H67" s="30"/>
      <c r="I67" s="30"/>
      <c r="J67" s="30"/>
      <c r="K67"/>
      <c r="L67" s="234"/>
      <c r="M67" s="235"/>
      <c r="N67" s="35"/>
    </row>
    <row r="68" spans="2:14" ht="15" customHeight="1">
      <c r="B68" s="30"/>
      <c r="C68" s="30"/>
      <c r="D68" s="30"/>
      <c r="E68" s="30"/>
      <c r="F68" s="30"/>
      <c r="G68" s="30"/>
      <c r="H68" s="30"/>
      <c r="I68" s="30"/>
      <c r="J68" s="30"/>
      <c r="K68"/>
      <c r="L68" s="227"/>
      <c r="M68" s="101"/>
      <c r="N68" s="35"/>
    </row>
    <row r="69" spans="2:1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41"/>
      <c r="L69" s="234"/>
      <c r="M69" s="235"/>
      <c r="N69" s="35"/>
    </row>
    <row r="70" spans="2:14" ht="15" customHeight="1">
      <c r="B70" s="30"/>
      <c r="C70" s="30"/>
      <c r="D70" s="30"/>
      <c r="E70" s="30"/>
      <c r="F70" s="30"/>
      <c r="G70" s="30"/>
      <c r="H70" s="30"/>
      <c r="I70" s="30"/>
      <c r="J70" s="30"/>
      <c r="K70"/>
      <c r="L70" s="227"/>
      <c r="M70" s="101"/>
      <c r="N70" s="35"/>
    </row>
    <row r="71" spans="2:14" ht="15" customHeight="1">
      <c r="B71" s="30"/>
      <c r="C71" s="30"/>
      <c r="D71" s="30"/>
      <c r="E71" s="30"/>
      <c r="F71" s="30"/>
      <c r="G71" s="30"/>
      <c r="H71" s="30"/>
      <c r="I71" s="30"/>
      <c r="J71" s="30"/>
      <c r="K71"/>
      <c r="L71" s="227"/>
      <c r="M71" s="101"/>
      <c r="N71" s="35"/>
    </row>
    <row r="72" spans="2:14" ht="15" customHeight="1">
      <c r="B72" s="30"/>
      <c r="C72" s="30"/>
      <c r="D72" s="30"/>
      <c r="E72" s="30"/>
      <c r="F72" s="30"/>
      <c r="G72" s="30"/>
      <c r="H72" s="30"/>
      <c r="I72" s="30"/>
      <c r="J72" s="30"/>
      <c r="K72"/>
      <c r="L72" s="234"/>
      <c r="M72" s="235"/>
      <c r="N72" s="35"/>
    </row>
    <row r="73" spans="2:14" ht="15" customHeight="1">
      <c r="B73" s="30"/>
      <c r="C73" s="30"/>
      <c r="D73" s="30"/>
      <c r="E73" s="30"/>
      <c r="F73" s="30"/>
      <c r="G73" s="30"/>
      <c r="H73" s="30"/>
      <c r="I73" s="30"/>
      <c r="J73" s="30"/>
      <c r="K73"/>
      <c r="L73" s="101"/>
      <c r="M73" s="101"/>
      <c r="N73" s="35"/>
    </row>
    <row r="74" spans="2:14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4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4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4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4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4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4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X114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0" width="11.140625" style="21" customWidth="1"/>
    <col min="11" max="16384" width="9.140625" style="21"/>
  </cols>
  <sheetData>
    <row r="1" spans="1:24">
      <c r="A1" s="7">
        <v>17</v>
      </c>
      <c r="B1" s="26" t="s">
        <v>12</v>
      </c>
      <c r="C1" s="20"/>
      <c r="D1" s="20"/>
      <c r="E1" s="20"/>
      <c r="F1" s="20"/>
      <c r="G1" s="20"/>
      <c r="H1" s="20"/>
      <c r="I1" s="1028" t="s">
        <v>24</v>
      </c>
      <c r="J1" s="1029"/>
      <c r="L1" s="1" t="s">
        <v>32</v>
      </c>
      <c r="M1" s="46" t="str">
        <f>VLOOKUP(A1,'Point Grid'!$L$8:$T$54,9,FALSE)</f>
        <v>Pricing - Chap 14: Implementation</v>
      </c>
      <c r="N1"/>
      <c r="O1"/>
      <c r="P1"/>
      <c r="Q1"/>
      <c r="R1"/>
      <c r="S1"/>
      <c r="T1"/>
      <c r="U1"/>
      <c r="V1"/>
    </row>
    <row r="2" spans="1:24">
      <c r="A2" s="22"/>
      <c r="B2" s="19"/>
      <c r="C2" s="19"/>
      <c r="D2" s="19"/>
      <c r="E2" s="19"/>
      <c r="F2" s="19"/>
      <c r="G2" s="19"/>
      <c r="H2" s="19"/>
      <c r="I2" s="19"/>
      <c r="J2" s="23"/>
      <c r="L2" s="1"/>
      <c r="M2"/>
      <c r="N2"/>
      <c r="O2"/>
      <c r="P2"/>
      <c r="Q2"/>
      <c r="R2"/>
      <c r="S2"/>
      <c r="T2"/>
      <c r="U2"/>
      <c r="V2"/>
    </row>
    <row r="3" spans="1:24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 s="30"/>
      <c r="L3" s="41" t="s">
        <v>2</v>
      </c>
      <c r="M3" s="510" t="s">
        <v>201</v>
      </c>
      <c r="N3" s="510"/>
      <c r="O3" s="510"/>
      <c r="P3"/>
      <c r="Q3"/>
      <c r="R3"/>
      <c r="S3"/>
      <c r="T3"/>
      <c r="U3"/>
      <c r="V3"/>
    </row>
    <row r="4" spans="1:24">
      <c r="A4" s="9">
        <f>INDEX('Point Grid'!B:B,MATCH(A1,'Point Grid'!A:A,0))</f>
        <v>3.5</v>
      </c>
      <c r="B4" s="17"/>
      <c r="C4" s="17"/>
      <c r="D4" s="17"/>
      <c r="E4" s="17"/>
      <c r="F4" s="17"/>
      <c r="G4" s="17"/>
      <c r="H4" s="17"/>
      <c r="I4" s="17"/>
      <c r="J4" s="18"/>
      <c r="K4" s="30"/>
      <c r="L4" s="41"/>
      <c r="M4" s="1"/>
      <c r="N4" s="510"/>
      <c r="O4" s="510"/>
      <c r="P4"/>
      <c r="Q4"/>
      <c r="R4"/>
      <c r="S4"/>
      <c r="T4"/>
      <c r="U4"/>
      <c r="V4"/>
    </row>
    <row r="5" spans="1:24">
      <c r="A5" s="16"/>
      <c r="B5" s="17"/>
      <c r="C5" s="17"/>
      <c r="D5" s="17"/>
      <c r="E5" s="17"/>
      <c r="F5" s="17"/>
      <c r="G5" s="17"/>
      <c r="H5" s="17"/>
      <c r="I5" s="17"/>
      <c r="J5" s="18"/>
      <c r="K5" s="30"/>
      <c r="L5" s="41"/>
      <c r="M5" s="234">
        <v>1</v>
      </c>
      <c r="N5" s="1" t="s">
        <v>202</v>
      </c>
      <c r="O5" s="510"/>
      <c r="P5"/>
      <c r="Q5"/>
      <c r="R5"/>
      <c r="S5"/>
      <c r="T5"/>
      <c r="U5"/>
      <c r="V5"/>
    </row>
    <row r="6" spans="1:24">
      <c r="A6" s="25" t="s">
        <v>2</v>
      </c>
      <c r="B6" s="17" t="s">
        <v>199</v>
      </c>
      <c r="C6" s="17"/>
      <c r="D6" s="17"/>
      <c r="E6" s="17"/>
      <c r="F6" s="17"/>
      <c r="G6" s="17"/>
      <c r="H6" s="17"/>
      <c r="I6" s="17"/>
      <c r="J6" s="18"/>
      <c r="K6" s="30"/>
      <c r="L6" s="41"/>
      <c r="M6" s="227"/>
      <c r="N6" s="101" t="s">
        <v>203</v>
      </c>
      <c r="O6" s="510"/>
      <c r="P6"/>
      <c r="Q6"/>
      <c r="R6"/>
      <c r="S6"/>
      <c r="T6"/>
      <c r="U6"/>
      <c r="V6"/>
    </row>
    <row r="7" spans="1:24" ht="15.75" thickBot="1">
      <c r="A7" s="9">
        <f>INDEX('Point Grid'!$C$8:$I$54,MATCH($A$1,'Point Grid'!$A$8:$A$54,0),MATCH(A6,'Point Grid'!$C$7:$I$7,0))</f>
        <v>1.5</v>
      </c>
      <c r="B7" s="17" t="s">
        <v>200</v>
      </c>
      <c r="C7" s="17"/>
      <c r="D7" s="17"/>
      <c r="E7" s="17"/>
      <c r="F7" s="17"/>
      <c r="G7" s="17"/>
      <c r="H7" s="17"/>
      <c r="I7" s="17"/>
      <c r="J7" s="18"/>
      <c r="K7" s="30"/>
      <c r="L7" s="41"/>
      <c r="M7" s="227"/>
      <c r="N7" s="101" t="s">
        <v>208</v>
      </c>
      <c r="O7" s="510"/>
      <c r="P7"/>
      <c r="Q7"/>
      <c r="R7"/>
      <c r="S7"/>
      <c r="T7"/>
      <c r="U7"/>
      <c r="V7"/>
    </row>
    <row r="8" spans="1:24" ht="15.75" thickBot="1">
      <c r="A8" s="5"/>
      <c r="B8" s="17"/>
      <c r="C8" s="27"/>
      <c r="D8" s="27"/>
      <c r="E8" s="27"/>
      <c r="F8" s="27"/>
      <c r="G8" s="27"/>
      <c r="H8" s="27"/>
      <c r="I8" s="27"/>
      <c r="J8" s="18"/>
      <c r="K8" s="30"/>
      <c r="L8"/>
      <c r="M8" s="227"/>
      <c r="N8" s="101" t="s">
        <v>209</v>
      </c>
      <c r="O8" s="510"/>
      <c r="P8"/>
      <c r="Q8"/>
      <c r="R8"/>
      <c r="S8"/>
      <c r="T8"/>
      <c r="U8"/>
      <c r="V8"/>
    </row>
    <row r="9" spans="1:24">
      <c r="A9" s="25"/>
      <c r="B9" s="17"/>
      <c r="C9" s="17"/>
      <c r="D9" s="17"/>
      <c r="E9" s="17"/>
      <c r="F9" s="17"/>
      <c r="G9" s="17"/>
      <c r="H9" s="17"/>
      <c r="I9" s="17"/>
      <c r="J9" s="18"/>
      <c r="K9" s="30"/>
      <c r="L9" s="41"/>
      <c r="M9" s="234">
        <v>2</v>
      </c>
      <c r="N9" s="252" t="s">
        <v>204</v>
      </c>
      <c r="O9" s="510"/>
      <c r="P9"/>
      <c r="Q9"/>
      <c r="R9"/>
      <c r="S9"/>
      <c r="T9"/>
    </row>
    <row r="10" spans="1:24">
      <c r="A10" s="25" t="s">
        <v>3</v>
      </c>
      <c r="B10" s="143" t="s">
        <v>577</v>
      </c>
      <c r="C10" s="143"/>
      <c r="D10" s="143"/>
      <c r="E10" s="143"/>
      <c r="F10" s="143"/>
      <c r="G10" s="143"/>
      <c r="H10" s="143"/>
      <c r="I10" s="668">
        <v>0.05</v>
      </c>
      <c r="J10" s="18"/>
      <c r="K10" s="30"/>
      <c r="L10"/>
      <c r="M10" s="227"/>
      <c r="N10" s="101" t="s">
        <v>205</v>
      </c>
      <c r="O10" s="510"/>
      <c r="P10"/>
      <c r="Q10"/>
      <c r="R10"/>
      <c r="S10"/>
      <c r="T10"/>
      <c r="U10"/>
      <c r="V10"/>
    </row>
    <row r="11" spans="1:24" ht="15.75" thickBot="1">
      <c r="A11" s="9">
        <f>INDEX('Point Grid'!$C$8:$I$54,MATCH($A$1,'Point Grid'!$A$8:$A$54,0),MATCH(A10,'Point Grid'!$C$7:$I$7,0))</f>
        <v>2</v>
      </c>
      <c r="B11" s="143"/>
      <c r="C11" s="143"/>
      <c r="D11" s="143"/>
      <c r="E11" s="143"/>
      <c r="F11" s="143"/>
      <c r="G11" s="143"/>
      <c r="H11" s="143"/>
      <c r="I11" s="143"/>
      <c r="J11" s="18"/>
      <c r="K11" s="30"/>
      <c r="L11"/>
      <c r="M11" s="234">
        <v>3</v>
      </c>
      <c r="N11" s="252" t="s">
        <v>206</v>
      </c>
      <c r="O11" s="510"/>
      <c r="P11"/>
      <c r="Q11"/>
      <c r="R11"/>
      <c r="S11"/>
      <c r="T11"/>
      <c r="U11"/>
      <c r="V11"/>
    </row>
    <row r="12" spans="1:24" ht="15.75" thickBot="1">
      <c r="A12" s="5"/>
      <c r="B12" s="121"/>
      <c r="C12" s="192" t="s">
        <v>578</v>
      </c>
      <c r="D12" s="200"/>
      <c r="E12" s="667"/>
      <c r="F12" s="666">
        <v>913.23333333333335</v>
      </c>
      <c r="G12" s="143"/>
      <c r="H12" s="143"/>
      <c r="I12" s="143"/>
      <c r="J12" s="18"/>
      <c r="K12" s="30"/>
      <c r="L12"/>
      <c r="M12" s="101"/>
      <c r="N12" s="101" t="s">
        <v>207</v>
      </c>
      <c r="O12" s="510"/>
      <c r="P12"/>
      <c r="Q12"/>
      <c r="R12"/>
      <c r="S12"/>
      <c r="T12"/>
      <c r="U12"/>
      <c r="V12"/>
    </row>
    <row r="13" spans="1:24">
      <c r="A13" s="25"/>
      <c r="B13" s="121"/>
      <c r="C13" s="143"/>
      <c r="D13" s="143"/>
      <c r="E13" s="143"/>
      <c r="F13" s="143"/>
      <c r="G13" s="143"/>
      <c r="H13" s="143"/>
      <c r="I13" s="143"/>
      <c r="J13" s="18"/>
      <c r="K13" s="30"/>
      <c r="L13" s="41"/>
      <c r="M13" s="234"/>
      <c r="N13" s="252"/>
      <c r="O13"/>
      <c r="P13"/>
      <c r="Q13"/>
      <c r="R13"/>
      <c r="S13"/>
      <c r="T13"/>
      <c r="U13"/>
      <c r="V13"/>
    </row>
    <row r="14" spans="1:24">
      <c r="A14" s="22"/>
      <c r="B14" s="121"/>
      <c r="C14" s="195" t="s">
        <v>579</v>
      </c>
      <c r="D14" s="180"/>
      <c r="E14" s="180"/>
      <c r="F14" s="180"/>
      <c r="G14" s="180"/>
      <c r="H14" s="143"/>
      <c r="I14" s="143"/>
      <c r="J14" s="18"/>
      <c r="K14" s="30"/>
      <c r="L14" s="523" t="s">
        <v>4</v>
      </c>
      <c r="M14" s="506" t="s">
        <v>588</v>
      </c>
      <c r="N14" s="506"/>
      <c r="O14" s="522" t="s">
        <v>589</v>
      </c>
      <c r="P14" s="522"/>
      <c r="Q14" s="522"/>
      <c r="R14" s="522"/>
      <c r="S14" s="522"/>
      <c r="T14" s="522"/>
      <c r="U14" s="522"/>
      <c r="V14" s="522"/>
      <c r="W14" s="522"/>
      <c r="X14" s="522"/>
    </row>
    <row r="15" spans="1:24">
      <c r="A15" s="22"/>
      <c r="B15" s="121"/>
      <c r="C15" s="180"/>
      <c r="D15" s="180"/>
      <c r="E15" s="180"/>
      <c r="F15" s="180"/>
      <c r="G15" s="180"/>
      <c r="H15" s="143"/>
      <c r="I15" s="143"/>
      <c r="J15" s="18"/>
      <c r="K15" s="30"/>
      <c r="L15"/>
      <c r="M15" s="522"/>
      <c r="N15" s="522"/>
      <c r="O15" s="522"/>
      <c r="P15" s="522"/>
      <c r="Q15" s="522"/>
      <c r="R15" s="522"/>
      <c r="S15" s="522"/>
      <c r="T15" s="522"/>
      <c r="U15" s="522"/>
      <c r="V15" s="522"/>
      <c r="W15" s="522"/>
      <c r="X15" s="522"/>
    </row>
    <row r="16" spans="1:24">
      <c r="A16" s="22"/>
      <c r="B16" s="121"/>
      <c r="C16" s="192" t="s">
        <v>580</v>
      </c>
      <c r="D16" s="200"/>
      <c r="E16" s="193"/>
      <c r="F16" s="574" t="s">
        <v>523</v>
      </c>
      <c r="G16" s="575" t="s">
        <v>142</v>
      </c>
      <c r="H16" s="659" t="s">
        <v>581</v>
      </c>
      <c r="I16" s="180"/>
      <c r="J16" s="18"/>
      <c r="K16" s="30"/>
      <c r="L16" s="41"/>
      <c r="M16" s="522"/>
      <c r="N16" s="176" t="s">
        <v>580</v>
      </c>
      <c r="O16" s="207"/>
      <c r="P16" s="177"/>
      <c r="Q16" s="126" t="s">
        <v>523</v>
      </c>
      <c r="R16" s="127" t="s">
        <v>142</v>
      </c>
      <c r="S16" s="526"/>
      <c r="T16" s="176" t="s">
        <v>584</v>
      </c>
      <c r="U16" s="207"/>
      <c r="V16" s="177"/>
      <c r="W16" s="126" t="s">
        <v>523</v>
      </c>
      <c r="X16" s="127" t="s">
        <v>142</v>
      </c>
    </row>
    <row r="17" spans="1:24">
      <c r="A17" s="22"/>
      <c r="B17" s="121"/>
      <c r="C17" s="144" t="s">
        <v>582</v>
      </c>
      <c r="D17" s="145"/>
      <c r="E17" s="146"/>
      <c r="F17" s="660">
        <v>0.8</v>
      </c>
      <c r="G17" s="661">
        <v>0.85000000000000009</v>
      </c>
      <c r="H17" s="669">
        <v>5800</v>
      </c>
      <c r="I17" s="180"/>
      <c r="J17" s="18"/>
      <c r="K17" s="30"/>
      <c r="L17"/>
      <c r="M17" s="522"/>
      <c r="N17" s="132" t="s">
        <v>582</v>
      </c>
      <c r="O17" s="133"/>
      <c r="P17" s="530"/>
      <c r="Q17" s="645">
        <f>F17</f>
        <v>0.8</v>
      </c>
      <c r="R17" s="646">
        <f>G17/G18</f>
        <v>0.94444444444444453</v>
      </c>
      <c r="S17" s="526"/>
      <c r="T17" s="132" t="s">
        <v>585</v>
      </c>
      <c r="U17" s="133"/>
      <c r="V17" s="530"/>
      <c r="W17" s="645">
        <f>F21</f>
        <v>0.8</v>
      </c>
      <c r="X17" s="646">
        <f>G21/G22</f>
        <v>0.59090909090909083</v>
      </c>
    </row>
    <row r="18" spans="1:24" ht="15" customHeight="1">
      <c r="A18" s="22"/>
      <c r="B18" s="121"/>
      <c r="C18" s="149" t="s">
        <v>583</v>
      </c>
      <c r="D18" s="150"/>
      <c r="E18" s="151"/>
      <c r="F18" s="662">
        <v>1</v>
      </c>
      <c r="G18" s="663">
        <v>0.9</v>
      </c>
      <c r="H18" s="670">
        <v>6200</v>
      </c>
      <c r="I18" s="180"/>
      <c r="J18" s="18"/>
      <c r="K18" s="30"/>
      <c r="L18"/>
      <c r="M18" s="522"/>
      <c r="N18" s="137" t="s">
        <v>583</v>
      </c>
      <c r="O18" s="531"/>
      <c r="P18" s="139"/>
      <c r="Q18" s="647">
        <f>F18</f>
        <v>1</v>
      </c>
      <c r="R18" s="648">
        <f>G18/G18</f>
        <v>1</v>
      </c>
      <c r="S18" s="526"/>
      <c r="T18" s="137" t="s">
        <v>586</v>
      </c>
      <c r="U18" s="531"/>
      <c r="V18" s="139"/>
      <c r="W18" s="647">
        <f>F22</f>
        <v>1</v>
      </c>
      <c r="X18" s="648">
        <f>G22/G22</f>
        <v>1</v>
      </c>
    </row>
    <row r="19" spans="1:24" ht="15" customHeight="1">
      <c r="A19" s="22"/>
      <c r="B19" s="121"/>
      <c r="C19" s="181"/>
      <c r="D19" s="181"/>
      <c r="E19" s="181"/>
      <c r="F19" s="181"/>
      <c r="G19" s="181"/>
      <c r="H19" s="374"/>
      <c r="I19" s="181"/>
      <c r="J19" s="18"/>
      <c r="K19" s="30"/>
      <c r="L19"/>
      <c r="M19" s="526"/>
      <c r="N19" s="526"/>
      <c r="O19" s="526"/>
      <c r="P19" s="526"/>
      <c r="Q19" s="526"/>
      <c r="R19" s="161" t="s">
        <v>590</v>
      </c>
      <c r="S19" s="526"/>
      <c r="T19" s="526"/>
      <c r="U19" s="526"/>
      <c r="V19" s="526"/>
      <c r="W19" s="526"/>
      <c r="X19" s="161" t="s">
        <v>590</v>
      </c>
    </row>
    <row r="20" spans="1:24" ht="15" customHeight="1">
      <c r="A20" s="22"/>
      <c r="B20" s="121"/>
      <c r="C20" s="192" t="s">
        <v>584</v>
      </c>
      <c r="D20" s="200"/>
      <c r="E20" s="193"/>
      <c r="F20" s="574" t="s">
        <v>523</v>
      </c>
      <c r="G20" s="575" t="s">
        <v>142</v>
      </c>
      <c r="H20" s="671" t="s">
        <v>581</v>
      </c>
      <c r="I20" s="180"/>
      <c r="J20" s="18"/>
      <c r="K20" s="30"/>
      <c r="L20"/>
      <c r="M20" s="526"/>
      <c r="N20" s="526"/>
      <c r="O20" s="526"/>
      <c r="P20" s="526"/>
      <c r="Q20" s="526"/>
      <c r="R20" s="522"/>
      <c r="S20" s="526"/>
      <c r="T20" s="526"/>
      <c r="U20" s="526"/>
      <c r="V20" s="526"/>
      <c r="W20" s="526"/>
      <c r="X20" s="522"/>
    </row>
    <row r="21" spans="1:24" ht="15" customHeight="1">
      <c r="A21" s="22"/>
      <c r="B21" s="121"/>
      <c r="C21" s="144" t="s">
        <v>585</v>
      </c>
      <c r="D21" s="145"/>
      <c r="E21" s="146"/>
      <c r="F21" s="660">
        <v>0.8</v>
      </c>
      <c r="G21" s="661">
        <v>0.65</v>
      </c>
      <c r="H21" s="669">
        <v>3800</v>
      </c>
      <c r="I21" s="180"/>
      <c r="J21" s="18"/>
      <c r="K21" s="30"/>
      <c r="L21"/>
      <c r="M21" s="522"/>
      <c r="N21" s="522"/>
      <c r="O21" s="522"/>
      <c r="P21" s="522"/>
      <c r="Q21" s="522"/>
      <c r="R21" s="522"/>
      <c r="S21" s="522"/>
      <c r="T21" s="522"/>
      <c r="U21" s="522"/>
      <c r="V21" s="522"/>
      <c r="W21" s="522"/>
      <c r="X21" s="522"/>
    </row>
    <row r="22" spans="1:24" ht="15" customHeight="1">
      <c r="A22" s="22"/>
      <c r="B22" s="121"/>
      <c r="C22" s="149" t="s">
        <v>586</v>
      </c>
      <c r="D22" s="150"/>
      <c r="E22" s="151"/>
      <c r="F22" s="662">
        <v>1</v>
      </c>
      <c r="G22" s="663">
        <v>1.1000000000000001</v>
      </c>
      <c r="H22" s="670">
        <v>8200</v>
      </c>
      <c r="I22" s="180"/>
      <c r="J22" s="18"/>
      <c r="K22" s="30"/>
      <c r="L22"/>
      <c r="M22" s="153" t="s">
        <v>119</v>
      </c>
      <c r="N22" s="522" t="s">
        <v>591</v>
      </c>
      <c r="O22" s="522"/>
      <c r="P22" s="522"/>
      <c r="Q22" s="522"/>
      <c r="R22" s="522"/>
      <c r="S22" s="522"/>
      <c r="T22" s="522"/>
      <c r="U22" s="522"/>
      <c r="V22" s="522"/>
      <c r="W22" s="44" t="s">
        <v>592</v>
      </c>
      <c r="X22" s="522"/>
    </row>
    <row r="23" spans="1:24" ht="15" customHeight="1">
      <c r="A23" s="22"/>
      <c r="B23" s="121"/>
      <c r="C23" s="180"/>
      <c r="D23" s="180"/>
      <c r="E23" s="180"/>
      <c r="F23" s="180"/>
      <c r="G23" s="180"/>
      <c r="H23" s="143"/>
      <c r="I23" s="180"/>
      <c r="J23" s="18"/>
      <c r="K23" s="30"/>
      <c r="L23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</row>
    <row r="24" spans="1:24" ht="15" customHeight="1">
      <c r="A24" s="22"/>
      <c r="B24" s="121"/>
      <c r="C24" s="179" t="s">
        <v>587</v>
      </c>
      <c r="D24" s="143"/>
      <c r="E24" s="143"/>
      <c r="F24" s="143"/>
      <c r="G24" s="181"/>
      <c r="H24" s="143"/>
      <c r="I24" s="143"/>
      <c r="J24" s="18"/>
      <c r="K24" s="30"/>
      <c r="L24"/>
      <c r="M24" s="522"/>
      <c r="N24" s="522" t="s">
        <v>593</v>
      </c>
      <c r="O24" s="522"/>
      <c r="P24" s="522"/>
      <c r="Q24" s="44" t="s">
        <v>33</v>
      </c>
      <c r="R24" s="649">
        <f>SUMPRODUCT(R17:R18,H17:H18)/SUM(H17:H18)</f>
        <v>0.9731481481481481</v>
      </c>
      <c r="S24" s="522"/>
      <c r="T24" s="522"/>
      <c r="U24" s="522"/>
      <c r="V24" s="522"/>
      <c r="W24" s="522"/>
      <c r="X24" s="522"/>
    </row>
    <row r="25" spans="1:24" ht="15" customHeight="1">
      <c r="A25" s="22"/>
      <c r="B25" s="121"/>
      <c r="C25" s="143"/>
      <c r="D25" s="143"/>
      <c r="E25" s="143"/>
      <c r="F25" s="143"/>
      <c r="G25" s="181"/>
      <c r="H25" s="143"/>
      <c r="I25" s="143"/>
      <c r="J25" s="18"/>
      <c r="K25" s="30"/>
      <c r="L25"/>
      <c r="M25" s="522"/>
      <c r="N25" s="522" t="s">
        <v>594</v>
      </c>
      <c r="O25" s="522"/>
      <c r="P25" s="522"/>
      <c r="Q25" s="44" t="s">
        <v>33</v>
      </c>
      <c r="R25" s="649">
        <f>SUMPRODUCT(X17:X18,H21:H22)/SUM(H21:H22)</f>
        <v>0.87045454545454537</v>
      </c>
      <c r="S25" s="522"/>
      <c r="T25" s="522"/>
      <c r="U25" s="522"/>
      <c r="V25" s="522"/>
      <c r="W25" s="522"/>
      <c r="X25" s="522"/>
    </row>
    <row r="26" spans="1:24" ht="15" customHeight="1">
      <c r="A26" s="22"/>
      <c r="B26" s="121"/>
      <c r="C26" s="192"/>
      <c r="D26" s="200"/>
      <c r="E26" s="193"/>
      <c r="F26" s="574" t="s">
        <v>523</v>
      </c>
      <c r="G26" s="575" t="s">
        <v>142</v>
      </c>
      <c r="H26" s="143"/>
      <c r="I26" s="143"/>
      <c r="J26" s="18"/>
      <c r="K26" s="30"/>
      <c r="L26"/>
      <c r="M26" s="522"/>
      <c r="N26" s="522"/>
      <c r="O26" s="522"/>
      <c r="P26" s="522"/>
      <c r="Q26" s="522"/>
      <c r="R26" s="650">
        <f>PRODUCT(R24:R25)</f>
        <v>0.84708122895622884</v>
      </c>
      <c r="S26" s="201" t="s">
        <v>595</v>
      </c>
      <c r="T26" s="46"/>
      <c r="U26" s="651" t="s">
        <v>596</v>
      </c>
      <c r="V26" s="522"/>
      <c r="W26" s="522"/>
      <c r="X26" s="522"/>
    </row>
    <row r="27" spans="1:24" ht="15" customHeight="1">
      <c r="A27" s="22"/>
      <c r="B27" s="121"/>
      <c r="C27" s="149" t="s">
        <v>587</v>
      </c>
      <c r="D27" s="150"/>
      <c r="E27" s="151"/>
      <c r="F27" s="664">
        <v>20</v>
      </c>
      <c r="G27" s="665">
        <v>25</v>
      </c>
      <c r="H27" s="143"/>
      <c r="I27" s="143"/>
      <c r="J27" s="18"/>
      <c r="K27" s="30"/>
      <c r="L27"/>
      <c r="M27" s="522"/>
      <c r="N27" s="522"/>
      <c r="O27" s="522"/>
      <c r="P27" s="522"/>
      <c r="Q27" s="522"/>
      <c r="R27" s="522"/>
      <c r="S27" s="522"/>
      <c r="T27" s="522"/>
      <c r="U27" s="522"/>
      <c r="V27" s="522"/>
      <c r="W27" s="522"/>
      <c r="X27" s="522"/>
    </row>
    <row r="28" spans="1:24" ht="15" customHeight="1">
      <c r="A28" s="22"/>
      <c r="B28" s="121"/>
      <c r="C28" s="121"/>
      <c r="D28" s="121"/>
      <c r="E28" s="121"/>
      <c r="F28" s="121"/>
      <c r="G28" s="121"/>
      <c r="H28" s="121"/>
      <c r="I28" s="121"/>
      <c r="J28" s="18"/>
      <c r="K28" s="30"/>
      <c r="L28"/>
      <c r="M28" s="652" t="s">
        <v>120</v>
      </c>
      <c r="N28" s="522" t="s">
        <v>597</v>
      </c>
      <c r="O28" s="522"/>
      <c r="P28" s="522"/>
      <c r="Q28" s="522"/>
      <c r="R28" s="229" t="s">
        <v>598</v>
      </c>
      <c r="S28" s="522"/>
      <c r="T28" s="522"/>
      <c r="U28" s="522"/>
      <c r="V28" s="522"/>
      <c r="W28" s="522"/>
      <c r="X28" s="522"/>
    </row>
    <row r="29" spans="1:24" ht="15" customHeight="1">
      <c r="A29" s="22"/>
      <c r="B29" s="17"/>
      <c r="C29" s="121"/>
      <c r="D29" s="121"/>
      <c r="E29" s="121"/>
      <c r="F29" s="121"/>
      <c r="G29" s="121"/>
      <c r="H29" s="121"/>
      <c r="I29" s="17"/>
      <c r="J29" s="18"/>
      <c r="K29" s="30"/>
      <c r="L29"/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</row>
    <row r="30" spans="1:24" ht="15" customHeight="1" thickBot="1">
      <c r="A30" s="24"/>
      <c r="B30" s="31"/>
      <c r="C30" s="31"/>
      <c r="D30" s="31"/>
      <c r="E30" s="31"/>
      <c r="F30" s="31"/>
      <c r="G30" s="31"/>
      <c r="H30" s="31"/>
      <c r="I30" s="31"/>
      <c r="J30" s="32"/>
      <c r="K30" s="30"/>
      <c r="L30"/>
      <c r="M30" s="522"/>
      <c r="N30" s="229" t="s">
        <v>598</v>
      </c>
      <c r="O30" s="44" t="s">
        <v>33</v>
      </c>
      <c r="P30" s="653" t="s">
        <v>599</v>
      </c>
      <c r="Q30" s="229"/>
      <c r="R30" s="44"/>
      <c r="S30" s="525" t="s">
        <v>150</v>
      </c>
      <c r="T30" s="654" t="s">
        <v>600</v>
      </c>
      <c r="U30" s="654"/>
      <c r="V30" s="44"/>
      <c r="W30" s="522"/>
      <c r="X30" s="522"/>
    </row>
    <row r="31" spans="1:24" ht="15" customHeight="1">
      <c r="K31" s="30"/>
      <c r="L31"/>
      <c r="M31" s="522"/>
      <c r="N31" s="522"/>
      <c r="O31" s="44" t="s">
        <v>33</v>
      </c>
      <c r="P31" s="655">
        <f>F12</f>
        <v>913.23333333333335</v>
      </c>
      <c r="Q31" s="522"/>
      <c r="R31" s="522"/>
      <c r="S31" s="525" t="s">
        <v>150</v>
      </c>
      <c r="T31" s="656">
        <f>1+I10</f>
        <v>1.05</v>
      </c>
      <c r="U31" s="522"/>
      <c r="V31" s="522"/>
      <c r="W31" s="522"/>
      <c r="X31" s="522"/>
    </row>
    <row r="32" spans="1:24" ht="15" customHeight="1">
      <c r="K32" s="30"/>
      <c r="L32"/>
      <c r="M32" s="522"/>
      <c r="N32" s="522"/>
      <c r="O32" s="44" t="s">
        <v>33</v>
      </c>
      <c r="P32" s="657">
        <f>P31*T31</f>
        <v>958.8950000000001</v>
      </c>
      <c r="Q32" s="522"/>
      <c r="R32" s="522"/>
      <c r="S32" s="522"/>
      <c r="T32" s="522"/>
      <c r="U32" s="522"/>
      <c r="V32" s="522"/>
      <c r="W32" s="522"/>
      <c r="X32" s="522"/>
    </row>
    <row r="33" spans="2:24" ht="15" customHeight="1">
      <c r="K33" s="30"/>
      <c r="L33" s="41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</row>
    <row r="34" spans="2:24" ht="15" customHeight="1">
      <c r="K34" s="30"/>
      <c r="L34"/>
      <c r="M34" s="157" t="s">
        <v>152</v>
      </c>
      <c r="N34" s="522" t="s">
        <v>601</v>
      </c>
      <c r="O34" s="522"/>
      <c r="P34" s="522"/>
      <c r="Q34" s="522"/>
      <c r="R34" s="89"/>
      <c r="S34" s="522"/>
      <c r="T34" s="522"/>
      <c r="U34" s="522"/>
      <c r="V34" s="522"/>
      <c r="W34" s="522"/>
      <c r="X34" s="526"/>
    </row>
    <row r="35" spans="2:24" ht="15" customHeight="1">
      <c r="K35" s="30"/>
      <c r="L35" s="510"/>
      <c r="M35" s="522"/>
      <c r="N35" s="522"/>
      <c r="O35" s="522"/>
      <c r="P35" s="522"/>
      <c r="Q35" s="522"/>
      <c r="R35" s="522"/>
      <c r="S35" s="522"/>
      <c r="T35" s="522"/>
      <c r="U35" s="522"/>
      <c r="V35" s="522"/>
      <c r="W35" s="526"/>
      <c r="X35" s="526"/>
    </row>
    <row r="36" spans="2:24" ht="15" customHeight="1">
      <c r="K36" s="30"/>
      <c r="L36" s="510"/>
      <c r="M36" s="522"/>
      <c r="N36" s="229" t="s">
        <v>602</v>
      </c>
      <c r="O36" s="44" t="s">
        <v>33</v>
      </c>
      <c r="P36" s="269" t="s">
        <v>213</v>
      </c>
      <c r="Q36" s="229" t="s">
        <v>598</v>
      </c>
      <c r="R36" s="44" t="s">
        <v>123</v>
      </c>
      <c r="S36" s="525" t="s">
        <v>603</v>
      </c>
      <c r="T36" s="622" t="s">
        <v>195</v>
      </c>
      <c r="U36" s="622" t="s">
        <v>35</v>
      </c>
      <c r="V36" s="651" t="s">
        <v>596</v>
      </c>
      <c r="W36" s="526"/>
      <c r="X36" s="526"/>
    </row>
    <row r="37" spans="2:24" ht="15" customHeight="1">
      <c r="K37" s="30"/>
      <c r="L37" s="510"/>
      <c r="M37" s="522"/>
      <c r="N37" s="522"/>
      <c r="O37" s="44" t="s">
        <v>33</v>
      </c>
      <c r="P37" s="269" t="s">
        <v>213</v>
      </c>
      <c r="Q37" s="158">
        <f>P32</f>
        <v>958.8950000000001</v>
      </c>
      <c r="R37" s="44" t="s">
        <v>123</v>
      </c>
      <c r="S37" s="525">
        <f>G27</f>
        <v>25</v>
      </c>
      <c r="T37" s="622" t="s">
        <v>195</v>
      </c>
      <c r="U37" s="622" t="s">
        <v>35</v>
      </c>
      <c r="V37" s="658">
        <f>R26</f>
        <v>0.84708122895622884</v>
      </c>
      <c r="W37" s="526"/>
      <c r="X37" s="526"/>
    </row>
    <row r="38" spans="2:24" ht="15" customHeight="1">
      <c r="K38" s="30"/>
      <c r="L38" s="510"/>
      <c r="M38" s="526"/>
      <c r="N38" s="526"/>
      <c r="O38" s="44" t="s">
        <v>33</v>
      </c>
      <c r="P38" s="208">
        <f>(Q37-S37)/V37</f>
        <v>1102.4857688686395</v>
      </c>
      <c r="Q38" s="216" t="s">
        <v>212</v>
      </c>
      <c r="R38" s="526"/>
      <c r="S38" s="526"/>
      <c r="T38" s="526"/>
      <c r="U38" s="526"/>
      <c r="V38" s="526"/>
      <c r="W38" s="526"/>
      <c r="X38" s="526"/>
    </row>
    <row r="39" spans="2:24" ht="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510"/>
      <c r="M39" s="510"/>
    </row>
    <row r="40" spans="2:24" ht="1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510"/>
      <c r="M40" s="510"/>
    </row>
    <row r="41" spans="2:24" ht="1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510"/>
      <c r="M41" s="510"/>
    </row>
    <row r="42" spans="2:24" ht="1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510"/>
      <c r="M42" s="510"/>
    </row>
    <row r="43" spans="2:24" ht="15" customHeight="1">
      <c r="K43" s="30"/>
      <c r="L43" s="510"/>
      <c r="M43" s="510"/>
    </row>
    <row r="44" spans="2:24" ht="15" customHeight="1">
      <c r="K44" s="30"/>
      <c r="L44" s="510"/>
      <c r="M44" s="510"/>
    </row>
    <row r="45" spans="2:24" ht="15" customHeight="1">
      <c r="K45" s="30"/>
      <c r="L45" s="510"/>
      <c r="M45" s="510"/>
    </row>
    <row r="46" spans="2:24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510"/>
      <c r="M46" s="510"/>
    </row>
    <row r="47" spans="2:24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510"/>
      <c r="M47" s="510"/>
    </row>
    <row r="48" spans="2:24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41"/>
      <c r="M48" s="510"/>
    </row>
    <row r="49" spans="2:2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/>
      <c r="M49" s="510"/>
      <c r="N49" s="510"/>
      <c r="O49" s="510"/>
      <c r="P49" s="510"/>
      <c r="Q49" s="510"/>
      <c r="R49" s="510"/>
      <c r="S49" s="510"/>
      <c r="T49" s="510"/>
      <c r="U49" s="510"/>
      <c r="V49"/>
    </row>
    <row r="50" spans="2:22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/>
      <c r="M50" s="510"/>
      <c r="N50" s="510"/>
      <c r="O50" s="510"/>
      <c r="P50" s="510"/>
      <c r="Q50" s="510"/>
      <c r="R50" s="510"/>
      <c r="S50" s="510"/>
      <c r="T50" s="510"/>
      <c r="U50" s="510"/>
      <c r="V50"/>
    </row>
    <row r="51" spans="2:22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/>
      <c r="M51" s="510"/>
      <c r="N51" s="510"/>
      <c r="O51" s="510"/>
      <c r="P51" s="510"/>
      <c r="Q51" s="510"/>
      <c r="R51" s="510"/>
      <c r="S51" s="510"/>
      <c r="T51" s="510"/>
      <c r="U51" s="510"/>
      <c r="V51"/>
    </row>
    <row r="52" spans="2:22" ht="15" customHeight="1">
      <c r="K52" s="30"/>
      <c r="L52"/>
      <c r="M52" s="510"/>
      <c r="N52" s="510"/>
      <c r="O52" s="510"/>
      <c r="P52" s="510"/>
      <c r="Q52" s="510"/>
      <c r="R52" s="510"/>
      <c r="S52" s="510"/>
      <c r="T52" s="510"/>
      <c r="U52" s="510"/>
      <c r="V52"/>
    </row>
    <row r="53" spans="2:22" ht="15" customHeight="1">
      <c r="K53" s="30"/>
      <c r="L53"/>
      <c r="M53" s="510"/>
      <c r="N53" s="510"/>
      <c r="O53" s="510"/>
      <c r="P53" s="510"/>
      <c r="Q53" s="510"/>
      <c r="R53" s="510"/>
      <c r="S53" s="510"/>
      <c r="T53" s="510"/>
      <c r="U53" s="510"/>
      <c r="V53"/>
    </row>
    <row r="54" spans="2:22" ht="15" customHeight="1">
      <c r="K54" s="30"/>
      <c r="L54"/>
      <c r="M54" s="510"/>
      <c r="N54" s="510"/>
      <c r="O54" s="510"/>
      <c r="P54" s="510"/>
      <c r="Q54" s="510"/>
      <c r="R54" s="510"/>
      <c r="S54" s="510"/>
      <c r="T54" s="510"/>
      <c r="U54" s="510"/>
      <c r="V54"/>
    </row>
    <row r="55" spans="2:22" ht="15" customHeight="1">
      <c r="K55" s="30"/>
      <c r="L55"/>
      <c r="M55" s="510"/>
      <c r="N55" s="510"/>
      <c r="O55" s="510"/>
      <c r="P55" s="510"/>
      <c r="Q55" s="510"/>
      <c r="R55" s="510"/>
      <c r="S55" s="510"/>
      <c r="T55" s="510"/>
      <c r="U55" s="510"/>
      <c r="V55"/>
    </row>
    <row r="56" spans="2:22" ht="15" customHeight="1">
      <c r="K56" s="30"/>
      <c r="L56"/>
      <c r="M56" s="510"/>
      <c r="N56" s="510"/>
      <c r="O56" s="510"/>
      <c r="P56" s="510"/>
      <c r="Q56" s="510"/>
      <c r="R56" s="510"/>
      <c r="S56" s="510"/>
      <c r="T56" s="510"/>
      <c r="U56" s="510"/>
      <c r="V56"/>
    </row>
    <row r="57" spans="2:22" ht="15" customHeight="1">
      <c r="K57" s="30"/>
      <c r="L57"/>
      <c r="M57" s="510"/>
      <c r="N57" s="510"/>
      <c r="O57" s="510"/>
      <c r="P57" s="510"/>
      <c r="Q57" s="510"/>
      <c r="R57" s="510"/>
      <c r="S57" s="510"/>
      <c r="T57" s="510"/>
      <c r="U57" s="510"/>
      <c r="V57"/>
    </row>
    <row r="58" spans="2:22" ht="15" customHeight="1">
      <c r="K58" s="30"/>
      <c r="L58"/>
      <c r="M58" s="510"/>
      <c r="N58" s="510"/>
      <c r="O58" s="510"/>
      <c r="P58" s="510"/>
      <c r="Q58" s="510"/>
      <c r="R58" s="510"/>
      <c r="S58" s="510"/>
      <c r="T58" s="510"/>
      <c r="U58" s="510"/>
      <c r="V58"/>
    </row>
    <row r="59" spans="2:22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/>
      <c r="M59" s="510"/>
      <c r="N59" s="510"/>
      <c r="O59" s="510"/>
      <c r="P59" s="510"/>
      <c r="Q59" s="510"/>
      <c r="R59" s="510"/>
      <c r="S59" s="510"/>
      <c r="T59" s="510"/>
      <c r="U59" s="510"/>
      <c r="V59"/>
    </row>
    <row r="60" spans="2:22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/>
      <c r="M60" s="510"/>
      <c r="N60" s="510"/>
      <c r="O60" s="510"/>
      <c r="P60" s="510"/>
      <c r="Q60" s="510"/>
      <c r="R60" s="510"/>
      <c r="S60" s="510"/>
      <c r="T60" s="510"/>
      <c r="U60" s="510"/>
      <c r="V60"/>
    </row>
    <row r="61" spans="2:22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/>
      <c r="M61" s="510"/>
      <c r="N61" s="510"/>
      <c r="O61" s="510"/>
      <c r="P61" s="510"/>
      <c r="Q61" s="510"/>
      <c r="R61" s="510"/>
      <c r="S61" s="510"/>
      <c r="T61" s="510"/>
      <c r="U61" s="510"/>
      <c r="V61"/>
    </row>
    <row r="62" spans="2:22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/>
      <c r="M62"/>
      <c r="N62"/>
      <c r="O62"/>
      <c r="P62"/>
      <c r="Q62"/>
      <c r="R62"/>
      <c r="S62"/>
      <c r="T62"/>
      <c r="U62"/>
      <c r="V62"/>
    </row>
    <row r="63" spans="2:22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/>
      <c r="M63"/>
      <c r="N63"/>
      <c r="O63"/>
      <c r="P63"/>
      <c r="Q63"/>
      <c r="R63"/>
      <c r="S63"/>
      <c r="T63"/>
      <c r="U63"/>
      <c r="V63"/>
    </row>
    <row r="64" spans="2:22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2:11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</row>
    <row r="66" spans="2:11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</row>
    <row r="67" spans="2:11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</row>
    <row r="68" spans="2:11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2:11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2:11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</row>
    <row r="71" spans="2:11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</row>
    <row r="72" spans="2:11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</row>
    <row r="73" spans="2:11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</row>
    <row r="74" spans="2:11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</row>
    <row r="75" spans="2:11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</row>
    <row r="76" spans="2:11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</row>
    <row r="77" spans="2:11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</row>
    <row r="78" spans="2:11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</row>
    <row r="79" spans="2:11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</row>
    <row r="80" spans="2:11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</row>
    <row r="81" spans="2:11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2:11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</row>
    <row r="83" spans="2:11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2:11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2:11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</row>
    <row r="86" spans="2:11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</row>
    <row r="87" spans="2:11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</row>
    <row r="88" spans="2:11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</row>
    <row r="89" spans="2:11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</row>
    <row r="90" spans="2:11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</row>
    <row r="91" spans="2:11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2:11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2:11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2:11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</row>
    <row r="95" spans="2:11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</row>
    <row r="96" spans="2:11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</row>
    <row r="97" spans="2:11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</row>
    <row r="98" spans="2:11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</row>
    <row r="99" spans="2:11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</row>
    <row r="100" spans="2:11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2:11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  <row r="102" spans="2:11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</row>
    <row r="103" spans="2:11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</row>
    <row r="104" spans="2:11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</row>
    <row r="105" spans="2:11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</row>
    <row r="106" spans="2:11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</row>
    <row r="107" spans="2:11" ht="1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30"/>
    </row>
    <row r="108" spans="2:11" ht="1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2:11" ht="1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</row>
    <row r="110" spans="2:11" ht="1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</row>
    <row r="111" spans="2:11" ht="1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</row>
    <row r="112" spans="2:11" ht="1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</row>
    <row r="113" spans="2:11" ht="1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30"/>
    </row>
    <row r="114" spans="2:11" ht="1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30"/>
    </row>
  </sheetData>
  <mergeCells count="1">
    <mergeCell ref="I1:J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X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4">
      <c r="A1" s="7">
        <v>18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Pricing - Chap 15: Commercial Ratemaking</v>
      </c>
      <c r="M1"/>
      <c r="N1"/>
      <c r="O1"/>
      <c r="P1"/>
      <c r="Q1"/>
      <c r="R1"/>
      <c r="S1"/>
      <c r="T1"/>
      <c r="U1"/>
    </row>
    <row r="2" spans="1:24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</row>
    <row r="3" spans="1:24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2</v>
      </c>
      <c r="L3" s="153" t="s">
        <v>301</v>
      </c>
      <c r="M3" s="522" t="s">
        <v>617</v>
      </c>
      <c r="N3" s="522"/>
      <c r="O3" s="522"/>
      <c r="P3" s="522"/>
      <c r="Q3" s="522"/>
      <c r="R3" s="522"/>
      <c r="S3" s="522"/>
      <c r="T3" s="522"/>
      <c r="U3" s="522"/>
      <c r="V3" s="522"/>
      <c r="W3" s="510"/>
      <c r="X3" s="510"/>
    </row>
    <row r="4" spans="1:24">
      <c r="A4" s="9">
        <f>INDEX('Point Grid'!B:B,MATCH(A1,'Point Grid'!A:A,0))</f>
        <v>1.5</v>
      </c>
      <c r="B4" s="17"/>
      <c r="C4" s="17"/>
      <c r="D4" s="17"/>
      <c r="E4" s="17"/>
      <c r="F4" s="17"/>
      <c r="G4" s="17"/>
      <c r="H4" s="17"/>
      <c r="I4" s="18"/>
      <c r="J4" s="30"/>
      <c r="K4" s="41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</row>
    <row r="5" spans="1:24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 s="526"/>
      <c r="M5" s="525" t="s">
        <v>603</v>
      </c>
      <c r="N5" s="525" t="s">
        <v>33</v>
      </c>
      <c r="O5" s="548">
        <f>D14</f>
        <v>1465</v>
      </c>
      <c r="P5" s="528" t="s">
        <v>618</v>
      </c>
      <c r="Q5" s="526"/>
      <c r="R5" s="526"/>
      <c r="S5" s="526"/>
      <c r="T5" s="522"/>
      <c r="U5" s="522"/>
      <c r="V5" s="522"/>
    </row>
    <row r="6" spans="1:24">
      <c r="A6" s="25" t="s">
        <v>2</v>
      </c>
      <c r="B6" s="143" t="s">
        <v>604</v>
      </c>
      <c r="C6" s="143"/>
      <c r="D6" s="143"/>
      <c r="E6" s="143"/>
      <c r="F6" s="143"/>
      <c r="G6" s="143"/>
      <c r="H6" s="17"/>
      <c r="I6" s="18"/>
      <c r="J6" s="30"/>
      <c r="K6" s="41"/>
      <c r="L6" s="526"/>
      <c r="M6" s="525" t="s">
        <v>619</v>
      </c>
      <c r="N6" s="525" t="s">
        <v>33</v>
      </c>
      <c r="O6" s="548">
        <f>E14</f>
        <v>13010</v>
      </c>
      <c r="P6" s="528" t="s">
        <v>618</v>
      </c>
      <c r="Q6" s="526"/>
      <c r="R6" s="526"/>
      <c r="S6" s="526"/>
      <c r="T6" s="522"/>
      <c r="U6" s="522"/>
      <c r="V6" s="522"/>
    </row>
    <row r="7" spans="1:24" ht="15.75" thickBot="1">
      <c r="A7" s="9">
        <f>INDEX('Point Grid'!$C$8:$I$54,MATCH($A$1,'Point Grid'!$A$8:$A$54,0),MATCH(A6,'Point Grid'!$C$7:$I$7,0))</f>
        <v>1.5</v>
      </c>
      <c r="B7" s="143"/>
      <c r="C7" s="143"/>
      <c r="D7" s="143"/>
      <c r="E7" s="143"/>
      <c r="F7" s="143"/>
      <c r="G7" s="143"/>
      <c r="H7" s="17"/>
      <c r="I7" s="18"/>
      <c r="J7" s="30"/>
      <c r="K7" s="41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</row>
    <row r="8" spans="1:24" ht="15.75" thickBot="1">
      <c r="A8" s="5"/>
      <c r="B8" s="121"/>
      <c r="C8" s="182"/>
      <c r="D8" s="183" t="s">
        <v>605</v>
      </c>
      <c r="E8" s="183" t="s">
        <v>605</v>
      </c>
      <c r="F8" s="184"/>
      <c r="G8" s="143"/>
      <c r="H8" s="143"/>
      <c r="I8" s="18"/>
      <c r="J8" s="30"/>
      <c r="K8"/>
      <c r="L8" s="526"/>
      <c r="M8" s="525" t="s">
        <v>620</v>
      </c>
      <c r="N8" s="525" t="s">
        <v>33</v>
      </c>
      <c r="O8" s="526">
        <f>F14</f>
        <v>307852.5</v>
      </c>
      <c r="P8" s="525" t="s">
        <v>150</v>
      </c>
      <c r="Q8" s="680">
        <f>G16</f>
        <v>3</v>
      </c>
      <c r="R8" s="156" t="s">
        <v>35</v>
      </c>
      <c r="S8" s="525">
        <v>100</v>
      </c>
      <c r="T8" s="525" t="s">
        <v>33</v>
      </c>
      <c r="U8" s="681">
        <f>O8*Q8/S8</f>
        <v>9235.5750000000007</v>
      </c>
      <c r="V8" s="216" t="s">
        <v>621</v>
      </c>
    </row>
    <row r="9" spans="1:24">
      <c r="A9" s="25"/>
      <c r="B9" s="121"/>
      <c r="C9" s="189"/>
      <c r="D9" s="672" t="s">
        <v>606</v>
      </c>
      <c r="E9" s="672" t="s">
        <v>607</v>
      </c>
      <c r="F9" s="673"/>
      <c r="G9" s="143"/>
      <c r="H9" s="143"/>
      <c r="I9" s="18"/>
      <c r="J9" s="30"/>
      <c r="K9" s="41"/>
      <c r="L9" s="526"/>
      <c r="M9" s="525" t="s">
        <v>622</v>
      </c>
      <c r="N9" s="525" t="s">
        <v>33</v>
      </c>
      <c r="O9" s="681">
        <f>U8</f>
        <v>9235.5750000000007</v>
      </c>
      <c r="P9" s="525" t="s">
        <v>150</v>
      </c>
      <c r="Q9" s="525" t="s">
        <v>623</v>
      </c>
      <c r="R9" s="156" t="s">
        <v>123</v>
      </c>
      <c r="S9" s="373" t="str">
        <f>G17&amp;" )"</f>
        <v>0.15 )</v>
      </c>
      <c r="T9" s="525" t="s">
        <v>33</v>
      </c>
      <c r="U9" s="526">
        <f>O9*(1-G17)</f>
        <v>7850.2387500000004</v>
      </c>
      <c r="V9" s="216" t="s">
        <v>624</v>
      </c>
    </row>
    <row r="10" spans="1:24">
      <c r="A10" s="25"/>
      <c r="B10" s="121"/>
      <c r="C10" s="185" t="s">
        <v>608</v>
      </c>
      <c r="D10" s="186" t="s">
        <v>609</v>
      </c>
      <c r="E10" s="186" t="s">
        <v>609</v>
      </c>
      <c r="F10" s="187" t="s">
        <v>610</v>
      </c>
      <c r="G10" s="143"/>
      <c r="H10" s="143"/>
      <c r="I10" s="18"/>
      <c r="J10" s="30"/>
      <c r="K10"/>
      <c r="L10" s="526"/>
      <c r="M10" s="526"/>
      <c r="N10" s="526"/>
      <c r="O10" s="526"/>
      <c r="P10" s="526"/>
      <c r="Q10" s="526"/>
      <c r="R10" s="526"/>
      <c r="S10" s="526"/>
      <c r="T10" s="526"/>
      <c r="U10" s="526"/>
      <c r="V10" s="526"/>
    </row>
    <row r="11" spans="1:24">
      <c r="A11" s="25"/>
      <c r="B11" s="121"/>
      <c r="C11" s="189">
        <v>2020</v>
      </c>
      <c r="D11" s="145">
        <v>500</v>
      </c>
      <c r="E11" s="145">
        <v>6240</v>
      </c>
      <c r="F11" s="146">
        <v>102000</v>
      </c>
      <c r="G11" s="143"/>
      <c r="H11" s="180"/>
      <c r="I11" s="18"/>
      <c r="J11" s="30"/>
      <c r="K11"/>
      <c r="L11" s="153" t="s">
        <v>303</v>
      </c>
      <c r="M11" s="526" t="s">
        <v>625</v>
      </c>
      <c r="N11" s="526"/>
      <c r="O11" s="526"/>
      <c r="P11" s="526"/>
      <c r="Q11" s="526"/>
      <c r="R11" s="526"/>
      <c r="S11" s="526"/>
      <c r="T11" s="526"/>
      <c r="U11" s="526"/>
      <c r="V11" s="526"/>
    </row>
    <row r="12" spans="1:24">
      <c r="A12" s="25"/>
      <c r="B12" s="121"/>
      <c r="C12" s="189">
        <v>2021</v>
      </c>
      <c r="D12" s="145">
        <v>505</v>
      </c>
      <c r="E12" s="145">
        <v>3680</v>
      </c>
      <c r="F12" s="146">
        <v>94500</v>
      </c>
      <c r="G12" s="143"/>
      <c r="H12" s="180"/>
      <c r="I12" s="18"/>
      <c r="J12" s="30"/>
      <c r="K12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</row>
    <row r="13" spans="1:24">
      <c r="A13" s="25"/>
      <c r="B13" s="121"/>
      <c r="C13" s="191">
        <v>2022</v>
      </c>
      <c r="D13" s="150">
        <v>460</v>
      </c>
      <c r="E13" s="150">
        <v>3090</v>
      </c>
      <c r="F13" s="151">
        <v>111352.5</v>
      </c>
      <c r="G13" s="143"/>
      <c r="H13" s="180"/>
      <c r="I13" s="18"/>
      <c r="J13" s="30"/>
      <c r="K13" s="510"/>
      <c r="L13" s="526"/>
      <c r="M13" s="525" t="s">
        <v>626</v>
      </c>
      <c r="N13" s="525" t="s">
        <v>33</v>
      </c>
      <c r="O13" s="525" t="s">
        <v>627</v>
      </c>
      <c r="P13" s="156" t="s">
        <v>35</v>
      </c>
      <c r="Q13" s="525" t="s">
        <v>628</v>
      </c>
      <c r="R13" s="526"/>
      <c r="S13" s="526"/>
      <c r="T13" s="526"/>
      <c r="U13" s="526"/>
      <c r="V13" s="526"/>
    </row>
    <row r="14" spans="1:24">
      <c r="A14" s="25"/>
      <c r="B14" s="121"/>
      <c r="C14" s="226" t="s">
        <v>90</v>
      </c>
      <c r="D14" s="674">
        <v>1465</v>
      </c>
      <c r="E14" s="674">
        <v>13010</v>
      </c>
      <c r="F14" s="193">
        <v>307852.5</v>
      </c>
      <c r="G14" s="143"/>
      <c r="H14" s="180"/>
      <c r="I14" s="18"/>
      <c r="J14" s="30"/>
      <c r="K14"/>
      <c r="L14" s="526"/>
      <c r="M14" s="526"/>
      <c r="N14" s="525" t="s">
        <v>33</v>
      </c>
      <c r="O14" s="526" t="s">
        <v>629</v>
      </c>
      <c r="P14" s="526"/>
      <c r="Q14" s="526"/>
      <c r="R14" s="526"/>
      <c r="S14" s="526"/>
      <c r="T14" s="526"/>
      <c r="U14" s="526"/>
      <c r="V14" s="526"/>
    </row>
    <row r="15" spans="1:24">
      <c r="A15" s="25"/>
      <c r="B15" s="121"/>
      <c r="C15" s="180"/>
      <c r="D15" s="180"/>
      <c r="E15" s="180"/>
      <c r="F15" s="180"/>
      <c r="G15" s="180"/>
      <c r="H15" s="180"/>
      <c r="I15" s="18"/>
      <c r="J15" s="30"/>
      <c r="K15"/>
      <c r="L15" s="526"/>
      <c r="M15" s="526"/>
      <c r="N15" s="525" t="s">
        <v>33</v>
      </c>
      <c r="O15" s="159">
        <f>G19</f>
        <v>0.28999999999999998</v>
      </c>
      <c r="P15" s="216" t="s">
        <v>630</v>
      </c>
      <c r="Q15" s="526"/>
      <c r="R15" s="526"/>
      <c r="S15" s="526"/>
      <c r="T15" s="526"/>
      <c r="U15" s="526"/>
      <c r="V15" s="526"/>
    </row>
    <row r="16" spans="1:24">
      <c r="A16" s="25"/>
      <c r="B16" s="121"/>
      <c r="C16" s="678" t="s">
        <v>611</v>
      </c>
      <c r="D16" s="141"/>
      <c r="E16" s="141"/>
      <c r="F16" s="142"/>
      <c r="G16" s="675">
        <v>3</v>
      </c>
      <c r="H16" s="180"/>
      <c r="I16" s="18"/>
      <c r="J16" s="30"/>
      <c r="K16" s="41"/>
      <c r="L16" s="526"/>
      <c r="M16" s="526"/>
      <c r="N16" s="526"/>
      <c r="O16" s="526"/>
      <c r="P16" s="526"/>
      <c r="Q16" s="526"/>
      <c r="R16" s="526"/>
      <c r="S16" s="526"/>
      <c r="T16" s="526"/>
      <c r="U16" s="526"/>
      <c r="V16" s="526"/>
    </row>
    <row r="17" spans="1:22">
      <c r="A17" s="25"/>
      <c r="B17" s="121"/>
      <c r="C17" s="679" t="s">
        <v>612</v>
      </c>
      <c r="D17" s="145"/>
      <c r="E17" s="145"/>
      <c r="F17" s="146"/>
      <c r="G17" s="676">
        <v>0.15</v>
      </c>
      <c r="H17" s="180"/>
      <c r="I17" s="18"/>
      <c r="J17" s="30"/>
      <c r="K17"/>
      <c r="L17" s="206" t="s">
        <v>120</v>
      </c>
      <c r="M17" s="526" t="s">
        <v>631</v>
      </c>
      <c r="N17" s="526"/>
      <c r="O17" s="526"/>
      <c r="P17" s="526"/>
      <c r="Q17" s="526"/>
      <c r="R17" s="526"/>
      <c r="S17" s="526"/>
      <c r="T17" s="526"/>
      <c r="U17" s="526"/>
      <c r="V17" s="526"/>
    </row>
    <row r="18" spans="1:22" ht="15" customHeight="1">
      <c r="A18" s="25"/>
      <c r="B18" s="121"/>
      <c r="C18" s="144" t="s">
        <v>613</v>
      </c>
      <c r="D18" s="145"/>
      <c r="E18" s="145"/>
      <c r="F18" s="146"/>
      <c r="G18" s="146">
        <v>2160</v>
      </c>
      <c r="H18" s="180" t="s">
        <v>614</v>
      </c>
      <c r="I18" s="18"/>
      <c r="J18" s="30"/>
      <c r="K18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</row>
    <row r="19" spans="1:22" ht="15" customHeight="1">
      <c r="A19" s="25"/>
      <c r="B19" s="121"/>
      <c r="C19" s="149" t="s">
        <v>615</v>
      </c>
      <c r="D19" s="150"/>
      <c r="E19" s="150"/>
      <c r="F19" s="151"/>
      <c r="G19" s="677">
        <v>0.28999999999999998</v>
      </c>
      <c r="H19" s="143" t="s">
        <v>616</v>
      </c>
      <c r="I19" s="18"/>
      <c r="J19" s="30"/>
      <c r="K19"/>
      <c r="L19" s="526"/>
      <c r="M19" s="525" t="s">
        <v>632</v>
      </c>
      <c r="N19" s="525" t="s">
        <v>33</v>
      </c>
      <c r="O19" s="260" t="s">
        <v>633</v>
      </c>
      <c r="P19" s="526"/>
      <c r="Q19" s="526"/>
      <c r="R19" s="526"/>
      <c r="S19" s="526"/>
      <c r="T19" s="526"/>
      <c r="U19" s="526"/>
      <c r="V19" s="526"/>
    </row>
    <row r="20" spans="1:22" ht="15" customHeight="1">
      <c r="A20" s="25"/>
      <c r="B20" s="17"/>
      <c r="C20" s="27"/>
      <c r="D20" s="27"/>
      <c r="E20" s="27"/>
      <c r="F20" s="27"/>
      <c r="G20" s="27"/>
      <c r="H20" s="27"/>
      <c r="I20" s="18"/>
      <c r="J20" s="30"/>
      <c r="K20"/>
      <c r="L20" s="522"/>
      <c r="M20" s="522"/>
      <c r="N20" s="525" t="s">
        <v>33</v>
      </c>
      <c r="O20" s="682">
        <f>(O5+O15*O6+(1-O15)*U9+G18)/(U8+G18)</f>
        <v>1.1382988144521007</v>
      </c>
      <c r="P20" s="161" t="s">
        <v>634</v>
      </c>
      <c r="Q20" s="522"/>
      <c r="R20" s="522"/>
      <c r="S20" s="522"/>
      <c r="T20" s="522"/>
      <c r="U20" s="522"/>
      <c r="V20" s="522"/>
    </row>
    <row r="21" spans="1:22" ht="15" customHeight="1">
      <c r="A21" s="25"/>
      <c r="B21" s="17"/>
      <c r="C21" s="27"/>
      <c r="D21" s="27"/>
      <c r="E21" s="27"/>
      <c r="F21" s="27"/>
      <c r="G21" s="27"/>
      <c r="H21" s="27"/>
      <c r="I21" s="18"/>
      <c r="J21" s="30"/>
      <c r="K21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</row>
    <row r="22" spans="1:22" ht="15" customHeight="1">
      <c r="A22" s="25"/>
      <c r="B22" s="17"/>
      <c r="C22" s="27"/>
      <c r="D22" s="27"/>
      <c r="E22" s="27"/>
      <c r="F22" s="27"/>
      <c r="G22" s="27"/>
      <c r="H22" s="27"/>
      <c r="I22" s="18"/>
      <c r="J22" s="30"/>
      <c r="K22"/>
      <c r="L22" s="526"/>
      <c r="M22" s="522"/>
      <c r="N22" s="522"/>
      <c r="O22" s="526"/>
      <c r="P22" s="526"/>
      <c r="Q22" s="526"/>
      <c r="R22" s="526"/>
      <c r="S22" s="526"/>
      <c r="T22" s="526"/>
      <c r="U22" s="526"/>
      <c r="V22" s="526"/>
    </row>
    <row r="23" spans="1:22" ht="15" customHeight="1">
      <c r="A23" s="25"/>
      <c r="B23" s="17"/>
      <c r="C23" s="27"/>
      <c r="D23" s="27"/>
      <c r="E23" s="27"/>
      <c r="F23" s="27"/>
      <c r="G23" s="27"/>
      <c r="H23" s="27"/>
      <c r="I23" s="18"/>
      <c r="J23" s="30"/>
      <c r="K23"/>
      <c r="L23" s="522"/>
      <c r="M23" s="527" t="s">
        <v>635</v>
      </c>
      <c r="N23" s="178" t="s">
        <v>636</v>
      </c>
      <c r="O23" s="522"/>
      <c r="P23" s="522"/>
      <c r="Q23" s="522"/>
      <c r="R23" s="522"/>
      <c r="S23" s="522"/>
      <c r="T23" s="522"/>
      <c r="U23" s="522"/>
      <c r="V23" s="522"/>
    </row>
    <row r="24" spans="1:22" ht="15" customHeight="1">
      <c r="A24" s="25"/>
      <c r="B24" s="17"/>
      <c r="C24" s="27"/>
      <c r="D24" s="27"/>
      <c r="E24" s="27"/>
      <c r="F24" s="27"/>
      <c r="G24" s="27"/>
      <c r="H24" s="27"/>
      <c r="I24" s="18"/>
      <c r="J24" s="30"/>
      <c r="K24"/>
      <c r="L24" s="526"/>
      <c r="M24" s="522"/>
      <c r="N24" s="178" t="s">
        <v>637</v>
      </c>
      <c r="O24" s="526"/>
      <c r="P24" s="526"/>
      <c r="Q24" s="526"/>
      <c r="R24" s="526"/>
      <c r="S24" s="526"/>
      <c r="T24" s="526"/>
      <c r="U24" s="526"/>
      <c r="V24" s="526"/>
    </row>
    <row r="25" spans="1:22" ht="15" customHeight="1">
      <c r="A25" s="25"/>
      <c r="B25" s="17"/>
      <c r="C25" s="27"/>
      <c r="D25" s="27"/>
      <c r="E25" s="27"/>
      <c r="F25" s="27"/>
      <c r="G25" s="27"/>
      <c r="H25" s="27"/>
      <c r="I25" s="18"/>
      <c r="J25" s="30"/>
      <c r="K25"/>
      <c r="L25"/>
      <c r="M25"/>
      <c r="N25"/>
    </row>
    <row r="26" spans="1:22" ht="15" customHeight="1">
      <c r="A26" s="25"/>
      <c r="B26" s="17"/>
      <c r="C26" s="27"/>
      <c r="D26" s="27"/>
      <c r="E26" s="27"/>
      <c r="F26" s="27"/>
      <c r="G26" s="27"/>
      <c r="H26" s="2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2" ht="15" customHeight="1">
      <c r="A27" s="25"/>
      <c r="B27" s="17"/>
      <c r="C27" s="27"/>
      <c r="D27" s="27"/>
      <c r="E27" s="27"/>
      <c r="F27" s="27"/>
      <c r="G27" s="27"/>
      <c r="H27" s="2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2" ht="15" customHeight="1">
      <c r="A28" s="25"/>
      <c r="B28" s="17"/>
      <c r="C28" s="27"/>
      <c r="D28" s="27"/>
      <c r="E28" s="27"/>
      <c r="F28" s="27"/>
      <c r="G28" s="27"/>
      <c r="H28" s="2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2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2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2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2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1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1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19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Reserving - Chap 1: Overview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 s="510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2</v>
      </c>
      <c r="L3" s="1" t="s">
        <v>641</v>
      </c>
      <c r="M3" s="510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0.5</v>
      </c>
      <c r="B4" s="17"/>
      <c r="C4" s="17"/>
      <c r="D4" s="17"/>
      <c r="E4" s="17"/>
      <c r="F4" s="17"/>
      <c r="G4" s="17"/>
      <c r="H4" s="17"/>
      <c r="I4" s="18"/>
      <c r="J4" s="30"/>
      <c r="K4" s="41"/>
      <c r="L4" s="74" t="s">
        <v>640</v>
      </c>
      <c r="M4" s="510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 s="510"/>
      <c r="M5" s="510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638</v>
      </c>
      <c r="C6" s="17"/>
      <c r="D6" s="17"/>
      <c r="E6" s="17"/>
      <c r="F6" s="17"/>
      <c r="G6" s="17"/>
      <c r="H6" s="17"/>
      <c r="I6" s="18"/>
      <c r="J6" s="30"/>
      <c r="K6" s="41"/>
      <c r="L6" s="510"/>
      <c r="M6" s="510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0.5</v>
      </c>
      <c r="B7" s="17" t="s">
        <v>639</v>
      </c>
      <c r="C7" s="17"/>
      <c r="D7" s="17"/>
      <c r="E7" s="17"/>
      <c r="F7" s="17"/>
      <c r="G7" s="17"/>
      <c r="H7" s="17"/>
      <c r="I7" s="18"/>
      <c r="J7" s="30"/>
      <c r="K7" s="41"/>
      <c r="L7" s="510"/>
      <c r="M7" s="510"/>
      <c r="N7"/>
      <c r="O7"/>
      <c r="P7"/>
      <c r="Q7"/>
      <c r="R7"/>
      <c r="S7"/>
      <c r="T7"/>
      <c r="U7"/>
    </row>
    <row r="8" spans="1:21" ht="15.75" thickBot="1">
      <c r="A8" s="5"/>
      <c r="B8" s="17"/>
      <c r="C8" s="17"/>
      <c r="D8" s="27"/>
      <c r="E8" s="27"/>
      <c r="F8" s="27"/>
      <c r="G8" s="27"/>
      <c r="H8" s="27"/>
      <c r="I8" s="18"/>
      <c r="J8" s="30"/>
      <c r="K8"/>
      <c r="L8" s="510"/>
      <c r="M8" s="510"/>
      <c r="N8"/>
      <c r="O8"/>
      <c r="P8"/>
      <c r="Q8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0"/>
      <c r="K9" s="41"/>
      <c r="L9" s="510"/>
      <c r="M9" s="510"/>
      <c r="N9"/>
      <c r="O9"/>
      <c r="P9"/>
      <c r="Q9"/>
      <c r="R9"/>
      <c r="S9"/>
    </row>
    <row r="10" spans="1:21">
      <c r="A10" s="25"/>
      <c r="B10" s="17"/>
      <c r="C10" s="17"/>
      <c r="D10" s="17"/>
      <c r="E10" s="17"/>
      <c r="F10" s="17"/>
      <c r="G10" s="17"/>
      <c r="H10" s="17"/>
      <c r="I10" s="18"/>
      <c r="J10" s="30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17"/>
      <c r="C11" s="17"/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17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17"/>
      <c r="C13" s="17"/>
      <c r="D13" s="17"/>
      <c r="E13" s="17"/>
      <c r="F13" s="17"/>
      <c r="G13" s="17"/>
      <c r="H13" s="17"/>
      <c r="I13" s="18"/>
      <c r="J13" s="30"/>
      <c r="K13" s="41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17"/>
      <c r="C14" s="17"/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17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17"/>
      <c r="C16" s="17"/>
      <c r="D16" s="17"/>
      <c r="E16" s="17"/>
      <c r="F16" s="17"/>
      <c r="G16" s="17"/>
      <c r="H16" s="17"/>
      <c r="I16" s="18"/>
      <c r="J16" s="30"/>
      <c r="K16" s="41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17"/>
      <c r="C17" s="17"/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17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17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17"/>
      <c r="C20" s="17"/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17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17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17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17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17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17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0"/>
      <c r="K33" s="41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0"/>
      <c r="K35" s="41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spans="2:21" ht="1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spans="2:21" ht="1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spans="2:21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1" ht="1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2:21" ht="1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spans="2:21" ht="1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spans="2:21" ht="1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spans="2:21" ht="1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spans="2:21" ht="1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spans="2:21" ht="1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spans="2:21" ht="1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spans="2:21" ht="1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spans="2:21" ht="1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spans="2:10" ht="1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spans="2:10" ht="1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spans="2:10" ht="1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1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spans="2:10" ht="1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spans="2:10" ht="1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spans="2:10" ht="1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spans="2:10" ht="1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spans="2:10" ht="1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spans="2:10" ht="1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spans="2:10" ht="1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spans="2:10" ht="1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spans="2:10" ht="1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spans="2:10" ht="1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spans="2:10" ht="1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spans="2:10" ht="1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spans="2:10" ht="1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spans="2:10" ht="1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spans="2:10" ht="1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spans="2:10" ht="15" customHeight="1">
      <c r="B87" s="30"/>
      <c r="C87" s="30"/>
      <c r="D87" s="30"/>
      <c r="E87" s="30"/>
      <c r="F87" s="30"/>
      <c r="G87" s="30"/>
      <c r="H87" s="30"/>
      <c r="I87" s="30"/>
      <c r="J87" s="30"/>
    </row>
    <row r="88" spans="2:10" ht="15" customHeight="1">
      <c r="B88" s="30"/>
      <c r="C88" s="30"/>
      <c r="D88" s="30"/>
      <c r="E88" s="30"/>
      <c r="F88" s="30"/>
      <c r="G88" s="30"/>
      <c r="H88" s="30"/>
      <c r="I88" s="30"/>
      <c r="J88" s="30"/>
    </row>
    <row r="89" spans="2:10" ht="15" customHeight="1">
      <c r="B89" s="30"/>
      <c r="C89" s="30"/>
      <c r="D89" s="30"/>
      <c r="E89" s="30"/>
      <c r="F89" s="30"/>
      <c r="G89" s="30"/>
      <c r="H89" s="30"/>
      <c r="I89" s="30"/>
      <c r="J89" s="30"/>
    </row>
    <row r="90" spans="2:10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10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10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10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10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10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10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Y153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2" width="11.140625" style="21" customWidth="1"/>
    <col min="13" max="16384" width="9.140625" style="21"/>
  </cols>
  <sheetData>
    <row r="1" spans="1:51">
      <c r="A1" s="7">
        <v>20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1028" t="s">
        <v>24</v>
      </c>
      <c r="L1" s="1029"/>
      <c r="N1" s="1" t="s">
        <v>32</v>
      </c>
      <c r="O1" s="46" t="str">
        <f>VLOOKUP(A1,'Point Grid'!$L$8:$T$54,9,FALSE)</f>
        <v>Reserving - Chap 5: Triangles</v>
      </c>
      <c r="P1"/>
      <c r="Q1"/>
      <c r="R1"/>
      <c r="S1"/>
      <c r="T1"/>
      <c r="U1"/>
      <c r="V1"/>
      <c r="W1"/>
      <c r="X1"/>
    </row>
    <row r="2" spans="1:51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N2" s="1"/>
      <c r="O2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  <c r="AF2" s="510"/>
    </row>
    <row r="3" spans="1:51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30"/>
      <c r="N3" s="267" t="s">
        <v>2</v>
      </c>
      <c r="O3" s="153" t="s">
        <v>119</v>
      </c>
      <c r="P3" s="510" t="s">
        <v>647</v>
      </c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>
      <c r="A4" s="9">
        <f>INDEX('Point Grid'!B:B,MATCH(A1,'Point Grid'!A:A,0))</f>
        <v>2</v>
      </c>
      <c r="B4" s="17" t="s">
        <v>215</v>
      </c>
      <c r="C4" s="17"/>
      <c r="D4" s="17"/>
      <c r="E4" s="17"/>
      <c r="F4" s="17"/>
      <c r="G4" s="17"/>
      <c r="H4" s="17"/>
      <c r="I4" s="17"/>
      <c r="J4" s="17"/>
      <c r="K4" s="17"/>
      <c r="L4" s="18"/>
      <c r="M4" s="30"/>
      <c r="O4" s="510"/>
      <c r="P4" s="1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30"/>
      <c r="O5" s="510"/>
      <c r="P5" s="1" t="s">
        <v>648</v>
      </c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>
      <c r="A6" s="25" t="s">
        <v>2</v>
      </c>
      <c r="B6" s="57" t="s">
        <v>642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3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5.75" thickBot="1">
      <c r="A7" s="9">
        <f>INDEX('Point Grid'!$C$8:$I$54,MATCH($A$1,'Point Grid'!$A$8:$A$54,0),MATCH(A6,'Point Grid'!$C$7:$I$7,0))</f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30"/>
      <c r="O7" s="510"/>
      <c r="P7" s="510"/>
      <c r="Q7" s="466"/>
      <c r="R7" s="683">
        <f>E9</f>
        <v>2018</v>
      </c>
      <c r="S7" s="684"/>
      <c r="T7" s="683">
        <f>G9</f>
        <v>2019</v>
      </c>
      <c r="U7" s="684"/>
      <c r="V7" s="683">
        <f>I9</f>
        <v>2020</v>
      </c>
      <c r="W7" s="424"/>
      <c r="X7" s="510"/>
      <c r="Y7" s="510"/>
      <c r="Z7" s="510"/>
      <c r="AA7" s="510"/>
      <c r="AB7" s="510"/>
      <c r="AC7" s="510"/>
      <c r="AD7" s="510"/>
      <c r="AE7" s="510"/>
      <c r="AF7" s="510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5.75" thickBot="1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30"/>
      <c r="O8" s="510"/>
      <c r="P8" s="510"/>
      <c r="Q8" s="466"/>
      <c r="R8" s="510"/>
      <c r="S8" s="437" t="s">
        <v>396</v>
      </c>
      <c r="T8" s="510"/>
      <c r="U8" s="437" t="s">
        <v>396</v>
      </c>
      <c r="V8" s="510"/>
      <c r="W8" s="523" t="s">
        <v>396</v>
      </c>
      <c r="X8" s="510"/>
      <c r="Y8" s="510"/>
      <c r="Z8" s="510"/>
      <c r="AA8" s="510"/>
      <c r="AB8" s="510"/>
      <c r="AC8" s="510"/>
      <c r="AD8" s="510"/>
      <c r="AE8" s="510"/>
      <c r="AF8" s="510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>
      <c r="A9" s="25"/>
      <c r="B9" s="57"/>
      <c r="C9" s="57"/>
      <c r="D9" s="560"/>
      <c r="E9" s="695">
        <v>2018</v>
      </c>
      <c r="F9" s="696"/>
      <c r="G9" s="695">
        <v>2019</v>
      </c>
      <c r="H9" s="696"/>
      <c r="I9" s="695">
        <v>2020</v>
      </c>
      <c r="J9" s="468"/>
      <c r="K9" s="17"/>
      <c r="L9" s="18"/>
      <c r="M9" s="30"/>
      <c r="O9" s="510"/>
      <c r="P9" s="510"/>
      <c r="Q9" s="466"/>
      <c r="R9" s="523" t="s">
        <v>643</v>
      </c>
      <c r="S9" s="437" t="s">
        <v>644</v>
      </c>
      <c r="T9" s="523" t="s">
        <v>643</v>
      </c>
      <c r="U9" s="437" t="s">
        <v>644</v>
      </c>
      <c r="V9" s="523" t="s">
        <v>643</v>
      </c>
      <c r="W9" s="523" t="s">
        <v>644</v>
      </c>
      <c r="X9" s="510"/>
      <c r="Y9" s="510"/>
      <c r="Z9" s="510"/>
      <c r="AA9" s="510"/>
      <c r="AB9" s="510"/>
      <c r="AC9" s="510"/>
      <c r="AD9" s="510"/>
      <c r="AE9" s="510"/>
      <c r="AF9" s="510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>
      <c r="A10" s="25"/>
      <c r="B10" s="57"/>
      <c r="C10" s="57"/>
      <c r="D10" s="560"/>
      <c r="E10" s="57"/>
      <c r="F10" s="471" t="s">
        <v>396</v>
      </c>
      <c r="G10" s="57"/>
      <c r="H10" s="471" t="s">
        <v>396</v>
      </c>
      <c r="I10" s="57"/>
      <c r="J10" s="469" t="s">
        <v>396</v>
      </c>
      <c r="K10" s="17"/>
      <c r="L10" s="18"/>
      <c r="M10" s="30"/>
      <c r="O10" s="510"/>
      <c r="P10" s="58" t="s">
        <v>83</v>
      </c>
      <c r="Q10" s="335" t="s">
        <v>646</v>
      </c>
      <c r="R10" s="58" t="s">
        <v>219</v>
      </c>
      <c r="S10" s="335" t="s">
        <v>219</v>
      </c>
      <c r="T10" s="58" t="s">
        <v>219</v>
      </c>
      <c r="U10" s="335" t="s">
        <v>219</v>
      </c>
      <c r="V10" s="58" t="s">
        <v>219</v>
      </c>
      <c r="W10" s="58" t="s">
        <v>219</v>
      </c>
      <c r="X10" s="510"/>
      <c r="Y10" s="510"/>
      <c r="Z10" s="510"/>
      <c r="AA10" s="510"/>
      <c r="AB10" s="510"/>
      <c r="AC10" s="510"/>
      <c r="AD10" s="510"/>
      <c r="AE10" s="510"/>
      <c r="AF10" s="5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>
      <c r="A11" s="25"/>
      <c r="B11" s="57"/>
      <c r="C11" s="57"/>
      <c r="D11" s="560"/>
      <c r="E11" s="469" t="s">
        <v>643</v>
      </c>
      <c r="F11" s="471" t="s">
        <v>644</v>
      </c>
      <c r="G11" s="469" t="s">
        <v>643</v>
      </c>
      <c r="H11" s="471" t="s">
        <v>644</v>
      </c>
      <c r="I11" s="469" t="s">
        <v>643</v>
      </c>
      <c r="J11" s="469" t="s">
        <v>644</v>
      </c>
      <c r="K11" s="17"/>
      <c r="L11" s="18"/>
      <c r="M11" s="30"/>
      <c r="O11" s="510"/>
      <c r="P11" s="523" t="s">
        <v>419</v>
      </c>
      <c r="Q11" s="437">
        <f>C13</f>
        <v>2018</v>
      </c>
      <c r="R11" s="216">
        <f>SUMIF(D13:D36,Q11,E13:E36)</f>
        <v>1600</v>
      </c>
      <c r="S11" s="685">
        <f>SUMIF(D13:D36,Q11,F13:F36)</f>
        <v>1800</v>
      </c>
      <c r="T11" s="528">
        <f>SUMIF(D13:D36,Q11,G13:G36)</f>
        <v>1800</v>
      </c>
      <c r="U11" s="686">
        <f>SUMIF(D13:D36,Q11,H13:H36)</f>
        <v>800</v>
      </c>
      <c r="V11" s="499">
        <f>SUMIF(D13:D36,Q11,I13:I36)</f>
        <v>1300</v>
      </c>
      <c r="W11" s="687">
        <f>SUMIF(D13:D36,Q11,J13:J36)</f>
        <v>300</v>
      </c>
      <c r="X11" s="510"/>
      <c r="Y11" s="510"/>
      <c r="Z11" s="510"/>
      <c r="AA11" s="510"/>
      <c r="AB11" s="510"/>
      <c r="AC11" s="510"/>
      <c r="AD11" s="510"/>
      <c r="AE11" s="510"/>
      <c r="AF11" s="510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>
      <c r="A12" s="25"/>
      <c r="B12" s="263" t="s">
        <v>645</v>
      </c>
      <c r="C12" s="263" t="s">
        <v>83</v>
      </c>
      <c r="D12" s="470" t="s">
        <v>646</v>
      </c>
      <c r="E12" s="263" t="s">
        <v>219</v>
      </c>
      <c r="F12" s="470" t="s">
        <v>219</v>
      </c>
      <c r="G12" s="263" t="s">
        <v>219</v>
      </c>
      <c r="H12" s="470" t="s">
        <v>219</v>
      </c>
      <c r="I12" s="263" t="s">
        <v>219</v>
      </c>
      <c r="J12" s="263" t="s">
        <v>219</v>
      </c>
      <c r="K12" s="17"/>
      <c r="L12" s="18"/>
      <c r="M12" s="30"/>
      <c r="O12" s="510"/>
      <c r="P12" s="523" t="s">
        <v>419</v>
      </c>
      <c r="Q12" s="437">
        <f>Q11+1</f>
        <v>2019</v>
      </c>
      <c r="R12" s="89">
        <f>SUMIF(D13:D36,Q12,E13:E36)</f>
        <v>0</v>
      </c>
      <c r="S12" s="688">
        <f>SUMIF(D13:D36,Q12,F13:F36)</f>
        <v>0</v>
      </c>
      <c r="T12" s="528">
        <f>SUMIF(D13:D36,Q12,G13:G36)</f>
        <v>1500</v>
      </c>
      <c r="U12" s="686">
        <f>SUMIF(D13:D36,Q12,H13:H36)</f>
        <v>600</v>
      </c>
      <c r="V12" s="499">
        <f>SUMIF(D13:D36,Q12,I13:I36)</f>
        <v>1000</v>
      </c>
      <c r="W12" s="687">
        <f>SUMIF(D13:D36,Q12,J13:J36)</f>
        <v>200</v>
      </c>
      <c r="X12" s="510"/>
      <c r="Y12" s="510"/>
      <c r="Z12" s="510"/>
      <c r="AA12" s="510"/>
      <c r="AB12" s="510"/>
      <c r="AC12" s="510"/>
      <c r="AD12" s="510"/>
      <c r="AE12" s="510"/>
      <c r="AF12" s="510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>
      <c r="A13" s="25"/>
      <c r="B13" s="469">
        <v>1</v>
      </c>
      <c r="C13" s="469">
        <v>2018</v>
      </c>
      <c r="D13" s="471">
        <v>2018</v>
      </c>
      <c r="E13" s="697">
        <v>400</v>
      </c>
      <c r="F13" s="147">
        <v>800</v>
      </c>
      <c r="G13" s="697">
        <v>600</v>
      </c>
      <c r="H13" s="147">
        <v>0</v>
      </c>
      <c r="I13" s="697">
        <v>0</v>
      </c>
      <c r="J13" s="697">
        <v>0</v>
      </c>
      <c r="K13" s="17"/>
      <c r="L13" s="18"/>
      <c r="M13" s="30"/>
      <c r="O13" s="510"/>
      <c r="P13" s="523" t="s">
        <v>419</v>
      </c>
      <c r="Q13" s="437">
        <f>Q12+1</f>
        <v>2020</v>
      </c>
      <c r="R13" s="89">
        <f>SUMIF(D13:D36,Q13,E13:E36)</f>
        <v>0</v>
      </c>
      <c r="S13" s="688">
        <f>SUMIF(D13:D36,Q13,F13:F36)</f>
        <v>0</v>
      </c>
      <c r="T13" s="89">
        <f>SUMIF(D13:D36,Q13,G13:G36)</f>
        <v>0</v>
      </c>
      <c r="U13" s="688">
        <f>SUMIF(D13:D36,Q13,H13:H36)</f>
        <v>0</v>
      </c>
      <c r="V13" s="499">
        <f>SUMIF(D13:D36,Q13,I13:I36)</f>
        <v>1400</v>
      </c>
      <c r="W13" s="687">
        <f>SUMIF(D13:D36,Q13,J13:J36)</f>
        <v>200</v>
      </c>
      <c r="X13" s="510"/>
      <c r="Y13" s="510"/>
      <c r="Z13" s="510"/>
      <c r="AA13" s="510"/>
      <c r="AB13" s="510"/>
      <c r="AC13" s="510"/>
      <c r="AD13" s="510"/>
      <c r="AE13" s="510"/>
      <c r="AF13" s="51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>
      <c r="A14" s="25"/>
      <c r="B14" s="469">
        <v>2</v>
      </c>
      <c r="C14" s="469">
        <v>2018</v>
      </c>
      <c r="D14" s="471">
        <v>2018</v>
      </c>
      <c r="E14" s="697">
        <v>800</v>
      </c>
      <c r="F14" s="147">
        <v>500</v>
      </c>
      <c r="G14" s="697">
        <v>700</v>
      </c>
      <c r="H14" s="147">
        <v>400</v>
      </c>
      <c r="I14" s="697">
        <v>900</v>
      </c>
      <c r="J14" s="697">
        <v>100</v>
      </c>
      <c r="K14" s="17"/>
      <c r="L14" s="18"/>
      <c r="M14" s="30"/>
      <c r="O14" s="510"/>
      <c r="P14" s="523" t="s">
        <v>419</v>
      </c>
      <c r="Q14" s="437">
        <f>Q13+1</f>
        <v>2021</v>
      </c>
      <c r="R14" s="89">
        <f>SUMIF(D13:D36,Q14,E13:E36)</f>
        <v>0</v>
      </c>
      <c r="S14" s="688">
        <f>SUMIF(D13:D36,Q14,F13:F36)</f>
        <v>0</v>
      </c>
      <c r="T14" s="89">
        <f>SUMIF(D13:D36,Q14,G13:G36)</f>
        <v>0</v>
      </c>
      <c r="U14" s="688">
        <f>SUMIF(D13:D36,Q14,H13:H36)</f>
        <v>0</v>
      </c>
      <c r="V14" s="260">
        <f>SUMIF(D13:D36,Q14,I13:I36)</f>
        <v>0</v>
      </c>
      <c r="W14" s="89">
        <f>SUMIF(D13:D36,Q14,J13:J36)</f>
        <v>0</v>
      </c>
      <c r="X14" s="510"/>
      <c r="Y14" s="510"/>
      <c r="Z14" s="510"/>
      <c r="AA14" s="510"/>
      <c r="AB14" s="510"/>
      <c r="AC14" s="510"/>
      <c r="AD14" s="510"/>
      <c r="AE14" s="510"/>
      <c r="AF14" s="510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>
      <c r="A15" s="25"/>
      <c r="B15" s="469">
        <v>3</v>
      </c>
      <c r="C15" s="469">
        <v>2018</v>
      </c>
      <c r="D15" s="471">
        <v>2018</v>
      </c>
      <c r="E15" s="697">
        <v>400</v>
      </c>
      <c r="F15" s="147">
        <v>500</v>
      </c>
      <c r="G15" s="697">
        <v>500</v>
      </c>
      <c r="H15" s="147">
        <v>400</v>
      </c>
      <c r="I15" s="697">
        <v>400</v>
      </c>
      <c r="J15" s="697">
        <v>200</v>
      </c>
      <c r="K15" s="17"/>
      <c r="L15" s="18"/>
      <c r="M15" s="3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>
      <c r="A16" s="25"/>
      <c r="B16" s="469">
        <v>4</v>
      </c>
      <c r="C16" s="469">
        <v>2018</v>
      </c>
      <c r="D16" s="471">
        <v>2019</v>
      </c>
      <c r="E16" s="697" t="s">
        <v>123</v>
      </c>
      <c r="F16" s="147" t="s">
        <v>123</v>
      </c>
      <c r="G16" s="697">
        <v>800</v>
      </c>
      <c r="H16" s="147">
        <v>400</v>
      </c>
      <c r="I16" s="697">
        <v>300</v>
      </c>
      <c r="J16" s="697">
        <v>100</v>
      </c>
      <c r="K16" s="17"/>
      <c r="L16" s="18"/>
      <c r="M16" s="3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  <c r="AF16" s="510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>
      <c r="A17" s="25"/>
      <c r="B17" s="469">
        <v>5</v>
      </c>
      <c r="C17" s="469">
        <v>2019</v>
      </c>
      <c r="D17" s="471">
        <v>2019</v>
      </c>
      <c r="E17" s="697" t="s">
        <v>123</v>
      </c>
      <c r="F17" s="147" t="s">
        <v>123</v>
      </c>
      <c r="G17" s="697">
        <v>700</v>
      </c>
      <c r="H17" s="147">
        <v>200</v>
      </c>
      <c r="I17" s="697">
        <v>700</v>
      </c>
      <c r="J17" s="697">
        <v>100</v>
      </c>
      <c r="K17" s="17"/>
      <c r="L17" s="18"/>
      <c r="M17" s="30"/>
      <c r="O17" s="153" t="s">
        <v>120</v>
      </c>
      <c r="P17" s="510" t="s">
        <v>649</v>
      </c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ht="15" customHeight="1">
      <c r="A18" s="25"/>
      <c r="B18" s="469">
        <v>6</v>
      </c>
      <c r="C18" s="469">
        <v>2019</v>
      </c>
      <c r="D18" s="471">
        <v>2020</v>
      </c>
      <c r="E18" s="697" t="s">
        <v>123</v>
      </c>
      <c r="F18" s="147" t="s">
        <v>123</v>
      </c>
      <c r="G18" s="697" t="s">
        <v>123</v>
      </c>
      <c r="H18" s="147" t="s">
        <v>123</v>
      </c>
      <c r="I18" s="697">
        <v>600</v>
      </c>
      <c r="J18" s="697">
        <v>100</v>
      </c>
      <c r="K18" s="17"/>
      <c r="L18" s="18"/>
      <c r="M18" s="3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510"/>
      <c r="AB18" s="510"/>
      <c r="AC18" s="510"/>
      <c r="AD18" s="510"/>
      <c r="AE18" s="510"/>
      <c r="AF18" s="510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15" customHeight="1">
      <c r="A19" s="25"/>
      <c r="B19" s="469">
        <v>7</v>
      </c>
      <c r="C19" s="469">
        <v>2019</v>
      </c>
      <c r="D19" s="471">
        <v>2021</v>
      </c>
      <c r="E19" s="697" t="s">
        <v>123</v>
      </c>
      <c r="F19" s="147" t="s">
        <v>123</v>
      </c>
      <c r="G19" s="697" t="s">
        <v>123</v>
      </c>
      <c r="H19" s="147" t="s">
        <v>123</v>
      </c>
      <c r="I19" s="697" t="s">
        <v>123</v>
      </c>
      <c r="J19" s="697" t="s">
        <v>123</v>
      </c>
      <c r="K19" s="17"/>
      <c r="L19" s="18"/>
      <c r="M19" s="30"/>
      <c r="O19" s="510"/>
      <c r="P19" s="689" t="s">
        <v>650</v>
      </c>
      <c r="Q19" s="689"/>
      <c r="R19" s="689"/>
      <c r="S19" s="689"/>
      <c r="T19" s="510"/>
      <c r="U19" s="689" t="s">
        <v>644</v>
      </c>
      <c r="V19" s="689"/>
      <c r="W19" s="689"/>
      <c r="X19" s="689"/>
      <c r="Y19" s="510"/>
      <c r="Z19" s="510"/>
      <c r="AA19" s="523"/>
      <c r="AB19" s="510"/>
      <c r="AC19" s="510"/>
      <c r="AD19" s="510"/>
      <c r="AE19" s="510"/>
      <c r="AF19" s="510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ht="15" customHeight="1">
      <c r="A20" s="25"/>
      <c r="B20" s="469">
        <v>8</v>
      </c>
      <c r="C20" s="469">
        <v>2019</v>
      </c>
      <c r="D20" s="471">
        <v>2021</v>
      </c>
      <c r="E20" s="697" t="s">
        <v>123</v>
      </c>
      <c r="F20" s="147" t="s">
        <v>123</v>
      </c>
      <c r="G20" s="697" t="s">
        <v>123</v>
      </c>
      <c r="H20" s="147" t="s">
        <v>123</v>
      </c>
      <c r="I20" s="697" t="s">
        <v>123</v>
      </c>
      <c r="J20" s="697" t="s">
        <v>123</v>
      </c>
      <c r="K20" s="17"/>
      <c r="L20" s="18"/>
      <c r="M20" s="30"/>
      <c r="O20" s="510"/>
      <c r="P20" s="335" t="s">
        <v>646</v>
      </c>
      <c r="Q20" s="690">
        <v>12</v>
      </c>
      <c r="R20" s="690">
        <f>Q20+12</f>
        <v>24</v>
      </c>
      <c r="S20" s="690">
        <f>R20+12</f>
        <v>36</v>
      </c>
      <c r="T20" s="523"/>
      <c r="U20" s="335" t="s">
        <v>646</v>
      </c>
      <c r="V20" s="690">
        <v>12</v>
      </c>
      <c r="W20" s="690">
        <f>V20+12</f>
        <v>24</v>
      </c>
      <c r="X20" s="690">
        <f>W20+12</f>
        <v>36</v>
      </c>
      <c r="Y20" s="510"/>
      <c r="Z20" s="510"/>
      <c r="AA20" s="510"/>
      <c r="AB20" s="510"/>
      <c r="AC20" s="510"/>
      <c r="AD20" s="510"/>
      <c r="AE20" s="510"/>
      <c r="AF20" s="51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15" customHeight="1">
      <c r="A21" s="25"/>
      <c r="B21" s="469">
        <v>9</v>
      </c>
      <c r="C21" s="469">
        <v>2020</v>
      </c>
      <c r="D21" s="471">
        <v>2020</v>
      </c>
      <c r="E21" s="697" t="s">
        <v>123</v>
      </c>
      <c r="F21" s="147" t="s">
        <v>123</v>
      </c>
      <c r="G21" s="697" t="s">
        <v>123</v>
      </c>
      <c r="H21" s="147" t="s">
        <v>123</v>
      </c>
      <c r="I21" s="697">
        <v>800</v>
      </c>
      <c r="J21" s="697">
        <v>100</v>
      </c>
      <c r="K21" s="17"/>
      <c r="L21" s="18"/>
      <c r="M21" s="30"/>
      <c r="O21" s="510"/>
      <c r="P21" s="691">
        <f>Q11</f>
        <v>2018</v>
      </c>
      <c r="Q21" s="216">
        <f>R11</f>
        <v>1600</v>
      </c>
      <c r="R21" s="528">
        <f>T11</f>
        <v>1800</v>
      </c>
      <c r="S21" s="499">
        <f>V11</f>
        <v>1300</v>
      </c>
      <c r="T21" s="510"/>
      <c r="U21" s="691">
        <f>P21</f>
        <v>2018</v>
      </c>
      <c r="V21" s="692">
        <f>S11</f>
        <v>1800</v>
      </c>
      <c r="W21" s="256">
        <f>U11</f>
        <v>800</v>
      </c>
      <c r="X21" s="687">
        <f>W11</f>
        <v>300</v>
      </c>
      <c r="Y21" s="510"/>
      <c r="Z21" s="510"/>
      <c r="AA21" s="510"/>
      <c r="AB21" s="510"/>
      <c r="AC21" s="510"/>
      <c r="AD21" s="510"/>
      <c r="AE21" s="510"/>
      <c r="AF21" s="510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ht="15" customHeight="1">
      <c r="A22" s="25"/>
      <c r="B22" s="469">
        <v>10</v>
      </c>
      <c r="C22" s="469">
        <v>2020</v>
      </c>
      <c r="D22" s="471">
        <v>2021</v>
      </c>
      <c r="E22" s="697" t="s">
        <v>123</v>
      </c>
      <c r="F22" s="147" t="s">
        <v>123</v>
      </c>
      <c r="G22" s="697" t="s">
        <v>123</v>
      </c>
      <c r="H22" s="147" t="s">
        <v>123</v>
      </c>
      <c r="I22" s="697" t="s">
        <v>123</v>
      </c>
      <c r="J22" s="697" t="s">
        <v>123</v>
      </c>
      <c r="K22" s="17"/>
      <c r="L22" s="18"/>
      <c r="M22" s="30"/>
      <c r="O22" s="510"/>
      <c r="P22" s="691">
        <f>Q12</f>
        <v>2019</v>
      </c>
      <c r="Q22" s="528">
        <f>T12</f>
        <v>1500</v>
      </c>
      <c r="R22" s="499">
        <f>V12</f>
        <v>1000</v>
      </c>
      <c r="S22" s="89"/>
      <c r="T22" s="510"/>
      <c r="U22" s="691">
        <f>P22</f>
        <v>2019</v>
      </c>
      <c r="V22" s="256">
        <f>U12</f>
        <v>600</v>
      </c>
      <c r="W22" s="687">
        <f>W12</f>
        <v>200</v>
      </c>
      <c r="X22" s="89"/>
      <c r="Y22" s="510"/>
      <c r="Z22" s="510"/>
      <c r="AA22" s="510"/>
      <c r="AB22" s="510"/>
      <c r="AC22" s="510"/>
      <c r="AD22" s="510"/>
      <c r="AE22" s="510"/>
      <c r="AF22" s="510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ht="15" customHeight="1">
      <c r="A23" s="25"/>
      <c r="B23" s="469">
        <v>11</v>
      </c>
      <c r="C23" s="469">
        <v>2020</v>
      </c>
      <c r="D23" s="471">
        <v>2022</v>
      </c>
      <c r="E23" s="697" t="s">
        <v>123</v>
      </c>
      <c r="F23" s="147" t="s">
        <v>123</v>
      </c>
      <c r="G23" s="697" t="s">
        <v>123</v>
      </c>
      <c r="H23" s="147" t="s">
        <v>123</v>
      </c>
      <c r="I23" s="697" t="s">
        <v>123</v>
      </c>
      <c r="J23" s="697" t="s">
        <v>123</v>
      </c>
      <c r="K23" s="17"/>
      <c r="L23" s="18"/>
      <c r="M23" s="30"/>
      <c r="O23" s="510"/>
      <c r="P23" s="691">
        <f>Q13</f>
        <v>2020</v>
      </c>
      <c r="Q23" s="499">
        <f>V13</f>
        <v>1400</v>
      </c>
      <c r="R23" s="89"/>
      <c r="S23" s="89"/>
      <c r="T23" s="510"/>
      <c r="U23" s="691">
        <f>P23</f>
        <v>2020</v>
      </c>
      <c r="V23" s="687">
        <f>W13</f>
        <v>200</v>
      </c>
      <c r="W23" s="89"/>
      <c r="X23" s="89"/>
      <c r="Y23" s="510"/>
      <c r="Z23" s="510"/>
      <c r="AA23" s="510"/>
      <c r="AB23" s="510"/>
      <c r="AC23" s="510"/>
      <c r="AD23" s="510"/>
      <c r="AE23" s="510"/>
      <c r="AF23" s="510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ht="15" customHeight="1">
      <c r="A24" s="2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30"/>
      <c r="O24" s="510"/>
      <c r="P24" s="691">
        <f>Q14</f>
        <v>2021</v>
      </c>
      <c r="Q24" s="89"/>
      <c r="R24" s="89"/>
      <c r="S24" s="89"/>
      <c r="T24" s="510"/>
      <c r="U24" s="691">
        <f>P24</f>
        <v>2021</v>
      </c>
      <c r="V24" s="89"/>
      <c r="W24" s="89"/>
      <c r="X24" s="89"/>
      <c r="Y24" s="510"/>
      <c r="Z24" s="510"/>
      <c r="AA24" s="510"/>
      <c r="AB24" s="510"/>
      <c r="AC24" s="510"/>
      <c r="AD24" s="510"/>
      <c r="AE24" s="510"/>
      <c r="AF24" s="510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5" customHeight="1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30"/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0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5" customHeight="1">
      <c r="A26" s="2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30"/>
      <c r="O26" s="157" t="s">
        <v>152</v>
      </c>
      <c r="P26" s="510" t="s">
        <v>651</v>
      </c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510"/>
      <c r="AF26" s="510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5" customHeight="1" thickBot="1">
      <c r="A27" s="24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  <c r="M27" s="30"/>
      <c r="O27" s="46" t="s">
        <v>652</v>
      </c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0"/>
      <c r="AF27" s="510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5" customHeight="1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O28" s="46" t="s">
        <v>653</v>
      </c>
      <c r="P28" s="693" t="s">
        <v>654</v>
      </c>
      <c r="Q28" s="693"/>
      <c r="R28" s="693"/>
      <c r="S28" s="693"/>
      <c r="T28" s="510"/>
      <c r="U28" s="510"/>
      <c r="V28" s="510"/>
      <c r="W28" s="510"/>
      <c r="X28" s="510"/>
      <c r="Y28" s="510"/>
      <c r="Z28" s="510"/>
      <c r="AA28" s="510"/>
      <c r="AB28" s="510"/>
      <c r="AC28" s="510"/>
      <c r="AD28" s="510"/>
      <c r="AE28" s="510"/>
      <c r="AF28" s="510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5" customHeight="1">
      <c r="M29" s="30"/>
      <c r="O29" s="510"/>
      <c r="P29" s="335" t="s">
        <v>646</v>
      </c>
      <c r="Q29" s="690">
        <v>12</v>
      </c>
      <c r="R29" s="690">
        <f>Q29+12</f>
        <v>24</v>
      </c>
      <c r="S29" s="690">
        <f>R29+12</f>
        <v>36</v>
      </c>
      <c r="T29" s="523"/>
      <c r="U29" s="510"/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0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ht="15" customHeight="1">
      <c r="M30" s="30"/>
      <c r="O30" s="510"/>
      <c r="P30" s="691">
        <f>P21</f>
        <v>2018</v>
      </c>
      <c r="Q30" s="260">
        <f>SUM(Q21:Q21)</f>
        <v>1600</v>
      </c>
      <c r="R30" s="528">
        <f>SUM(Q21:R21)</f>
        <v>3400</v>
      </c>
      <c r="S30" s="499">
        <f>SUM(Q21:S21)</f>
        <v>4700</v>
      </c>
      <c r="T30" s="318" t="s">
        <v>655</v>
      </c>
      <c r="U30" s="255">
        <f>R30</f>
        <v>3400</v>
      </c>
      <c r="V30" s="523" t="s">
        <v>33</v>
      </c>
      <c r="W30" s="230">
        <f>Q21</f>
        <v>1600</v>
      </c>
      <c r="X30" s="523" t="s">
        <v>34</v>
      </c>
      <c r="Y30" s="255">
        <f>R21</f>
        <v>1800</v>
      </c>
      <c r="Z30" s="510"/>
      <c r="AA30" s="510"/>
      <c r="AB30" s="510"/>
      <c r="AC30" s="510"/>
      <c r="AD30" s="510"/>
      <c r="AE30" s="510"/>
      <c r="AF30" s="51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ht="15" customHeight="1">
      <c r="M31" s="30"/>
      <c r="O31" s="510"/>
      <c r="P31" s="691">
        <f>P22</f>
        <v>2019</v>
      </c>
      <c r="Q31" s="89">
        <f>SUM(Q22:Q22)</f>
        <v>1500</v>
      </c>
      <c r="R31" s="89">
        <f>SUM(Q22:R22)</f>
        <v>2500</v>
      </c>
      <c r="S31" s="89"/>
      <c r="T31" s="318"/>
      <c r="U31" s="694">
        <f>S30</f>
        <v>4700</v>
      </c>
      <c r="V31" s="523" t="s">
        <v>33</v>
      </c>
      <c r="W31" s="230">
        <f>W30</f>
        <v>1600</v>
      </c>
      <c r="X31" s="523" t="s">
        <v>34</v>
      </c>
      <c r="Y31" s="255">
        <f>Y30</f>
        <v>1800</v>
      </c>
      <c r="Z31" s="523" t="s">
        <v>34</v>
      </c>
      <c r="AA31" s="694">
        <f>S21</f>
        <v>1300</v>
      </c>
      <c r="AB31" s="510"/>
      <c r="AC31" s="510"/>
      <c r="AD31" s="510"/>
      <c r="AE31" s="510"/>
      <c r="AF31" s="510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ht="15" customHeight="1">
      <c r="M32" s="30"/>
      <c r="O32" s="510"/>
      <c r="P32" s="691">
        <f>P23</f>
        <v>2020</v>
      </c>
      <c r="Q32" s="89">
        <f>SUM(Q23:Q23)</f>
        <v>1400</v>
      </c>
      <c r="R32" s="89"/>
      <c r="S32" s="89"/>
      <c r="T32" s="89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  <c r="AF32" s="510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15" customHeight="1">
      <c r="M33" s="30"/>
      <c r="O33" s="510"/>
      <c r="P33" s="691">
        <f>P24</f>
        <v>2021</v>
      </c>
      <c r="Q33" s="89"/>
      <c r="R33" s="89"/>
      <c r="S33" s="89"/>
      <c r="T33" s="89"/>
      <c r="U33" s="510"/>
      <c r="V33" s="510"/>
      <c r="W33" s="510"/>
      <c r="X33" s="510"/>
      <c r="Y33" s="510"/>
      <c r="Z33" s="510"/>
      <c r="AA33" s="510"/>
      <c r="AB33" s="510"/>
      <c r="AC33" s="510"/>
      <c r="AD33" s="510"/>
      <c r="AE33" s="510"/>
      <c r="AF33" s="510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15" customHeight="1">
      <c r="M34" s="30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0"/>
      <c r="AF34" s="510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15" customHeight="1">
      <c r="M35" s="30"/>
      <c r="O35" s="157" t="s">
        <v>279</v>
      </c>
      <c r="P35" s="510" t="s">
        <v>656</v>
      </c>
      <c r="Q35" s="510"/>
      <c r="R35" s="273"/>
      <c r="S35" s="510"/>
      <c r="T35" s="273" t="s">
        <v>657</v>
      </c>
      <c r="U35" s="273"/>
      <c r="V35" s="510"/>
      <c r="W35" s="510"/>
      <c r="X35" s="510"/>
      <c r="Y35" s="510"/>
      <c r="Z35" s="510"/>
      <c r="AA35" s="510"/>
      <c r="AB35" s="510"/>
      <c r="AC35" s="510"/>
      <c r="AD35" s="510"/>
      <c r="AE35" s="510"/>
      <c r="AF35" s="510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15" customHeight="1">
      <c r="M36" s="30"/>
      <c r="O36" s="46" t="s">
        <v>652</v>
      </c>
      <c r="P36" s="510"/>
      <c r="Q36" s="510"/>
      <c r="R36" s="273"/>
      <c r="S36" s="510"/>
      <c r="T36" s="510"/>
      <c r="U36" s="510"/>
      <c r="V36" s="510"/>
      <c r="W36" s="510"/>
      <c r="X36" s="510"/>
      <c r="Y36" s="510"/>
      <c r="Z36" s="510"/>
      <c r="AA36" s="510"/>
      <c r="AB36" s="510"/>
      <c r="AC36" s="510"/>
      <c r="AD36" s="510"/>
      <c r="AE36" s="510"/>
      <c r="AF36" s="510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15" customHeight="1">
      <c r="M37" s="30"/>
      <c r="O37" s="46" t="s">
        <v>653</v>
      </c>
      <c r="P37" s="693" t="s">
        <v>658</v>
      </c>
      <c r="Q37" s="693"/>
      <c r="R37" s="693"/>
      <c r="S37" s="693"/>
      <c r="T37" s="510"/>
      <c r="U37" s="510"/>
      <c r="V37" s="510"/>
      <c r="W37" s="510"/>
      <c r="X37" s="510"/>
      <c r="Y37" s="510"/>
      <c r="Z37" s="510"/>
      <c r="AA37" s="510"/>
      <c r="AB37" s="510"/>
      <c r="AC37" s="510"/>
      <c r="AD37" s="510"/>
      <c r="AE37" s="510"/>
      <c r="AF37" s="510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15" customHeight="1">
      <c r="M38" s="30"/>
      <c r="O38" s="510"/>
      <c r="P38" s="335" t="s">
        <v>646</v>
      </c>
      <c r="Q38" s="690">
        <v>12</v>
      </c>
      <c r="R38" s="690">
        <f>Q38+12</f>
        <v>24</v>
      </c>
      <c r="S38" s="690">
        <f>R38+12</f>
        <v>36</v>
      </c>
      <c r="T38" s="510"/>
      <c r="U38" s="510"/>
      <c r="V38" s="510"/>
      <c r="W38" s="510"/>
      <c r="X38" s="510"/>
      <c r="Y38" s="510"/>
      <c r="Z38" s="510"/>
      <c r="AA38" s="510"/>
      <c r="AB38" s="510"/>
      <c r="AC38" s="510"/>
      <c r="AD38" s="510"/>
      <c r="AE38" s="510"/>
      <c r="AF38" s="510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15" customHeight="1">
      <c r="M39" s="30"/>
      <c r="O39" s="510"/>
      <c r="P39" s="691">
        <f>P30</f>
        <v>2018</v>
      </c>
      <c r="Q39" s="260">
        <f>Q30+V21</f>
        <v>3400</v>
      </c>
      <c r="R39" s="260">
        <f>R30+W21</f>
        <v>4200</v>
      </c>
      <c r="S39" s="260">
        <f>S30+X21</f>
        <v>5000</v>
      </c>
      <c r="T39" s="510"/>
      <c r="U39" s="510"/>
      <c r="V39" s="510"/>
      <c r="W39" s="510"/>
      <c r="X39" s="510"/>
      <c r="Y39" s="510"/>
      <c r="Z39" s="510"/>
      <c r="AA39" s="510"/>
      <c r="AB39" s="510"/>
      <c r="AC39" s="510"/>
      <c r="AD39" s="510"/>
      <c r="AE39" s="510"/>
      <c r="AF39" s="510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15" customHeight="1">
      <c r="M40" s="30"/>
      <c r="O40" s="510"/>
      <c r="P40" s="691">
        <f>P31</f>
        <v>2019</v>
      </c>
      <c r="Q40" s="89">
        <f>Q31+V22</f>
        <v>2100</v>
      </c>
      <c r="R40" s="89">
        <f>R31+W22</f>
        <v>2700</v>
      </c>
      <c r="S40" s="89"/>
      <c r="T40" s="510"/>
      <c r="U40" s="510"/>
      <c r="V40" s="510"/>
      <c r="W40" s="510"/>
      <c r="X40" s="510"/>
      <c r="Y40" s="510"/>
      <c r="Z40" s="510"/>
      <c r="AA40" s="510"/>
      <c r="AB40" s="510"/>
      <c r="AC40" s="510"/>
      <c r="AD40" s="510"/>
      <c r="AE40" s="510"/>
      <c r="AF40" s="51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15" customHeight="1">
      <c r="M41" s="30"/>
      <c r="O41" s="510"/>
      <c r="P41" s="691">
        <f>P32</f>
        <v>2020</v>
      </c>
      <c r="Q41" s="89">
        <f>Q32+V23</f>
        <v>1600</v>
      </c>
      <c r="R41" s="89"/>
      <c r="S41" s="89"/>
      <c r="T41" s="510"/>
      <c r="U41" s="510"/>
      <c r="V41" s="510"/>
      <c r="W41" s="510"/>
      <c r="X41" s="510"/>
      <c r="Y41" s="510"/>
      <c r="Z41" s="510"/>
      <c r="AA41" s="510"/>
      <c r="AB41" s="510"/>
      <c r="AC41" s="510"/>
      <c r="AD41" s="510"/>
      <c r="AE41" s="510"/>
      <c r="AF41" s="510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15" customHeight="1">
      <c r="M42" s="30"/>
      <c r="O42" s="510"/>
      <c r="P42" s="691">
        <f>P33</f>
        <v>2021</v>
      </c>
      <c r="Q42" s="89"/>
      <c r="R42" s="89"/>
      <c r="S42" s="89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  <c r="AF42" s="510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1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AA43" s="510"/>
      <c r="AB43" s="510"/>
      <c r="AC43" s="510"/>
      <c r="AD43" s="510"/>
      <c r="AE43" s="510"/>
      <c r="AF43" s="510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1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89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  <c r="AF44" s="510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1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89"/>
      <c r="O45" s="510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510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89"/>
      <c r="O46" s="510"/>
      <c r="P46" s="510"/>
      <c r="Q46" s="510"/>
      <c r="R46" s="510"/>
      <c r="S46" s="510"/>
      <c r="T46" s="510"/>
      <c r="U46" s="510"/>
      <c r="V46" s="510"/>
      <c r="W46" s="510"/>
      <c r="X46" s="510"/>
      <c r="Y46" s="510"/>
      <c r="Z46" s="510"/>
      <c r="AA46" s="510"/>
      <c r="AB46" s="510"/>
      <c r="AC46" s="510"/>
      <c r="AD46" s="510"/>
      <c r="AE46" s="510"/>
      <c r="AF46" s="510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89"/>
      <c r="O47" s="510"/>
      <c r="P47" s="510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  <c r="AC47" s="510"/>
      <c r="AD47" s="510"/>
      <c r="AE47" s="510"/>
      <c r="AF47" s="510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89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89"/>
      <c r="O49" s="510"/>
      <c r="P49" s="510"/>
      <c r="Q49" s="510"/>
      <c r="R49" s="510"/>
      <c r="S49" s="510"/>
      <c r="T49" s="510"/>
      <c r="U49" s="510"/>
      <c r="V49" s="510"/>
      <c r="W49" s="510"/>
      <c r="X49" s="510"/>
      <c r="Y49" s="510"/>
      <c r="Z49" s="510"/>
      <c r="AA49" s="510"/>
      <c r="AB49" s="510"/>
      <c r="AC49" s="510"/>
      <c r="AD49" s="510"/>
      <c r="AE49" s="510"/>
      <c r="AF49" s="510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89"/>
      <c r="O50" s="510"/>
      <c r="P50" s="510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  <c r="AC50" s="510"/>
      <c r="AD50" s="510"/>
      <c r="AE50" s="510"/>
      <c r="AF50" s="51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89"/>
      <c r="O51" s="510"/>
      <c r="P51" s="510"/>
      <c r="Q51" s="510"/>
      <c r="R51" s="510"/>
      <c r="S51" s="510"/>
      <c r="T51" s="510"/>
      <c r="U51" s="510"/>
      <c r="V51" s="510"/>
      <c r="W51" s="510"/>
      <c r="X51" s="510"/>
      <c r="Y51" s="510"/>
      <c r="Z51" s="510"/>
      <c r="AA51" s="510"/>
      <c r="AB51" s="510"/>
      <c r="AC51" s="510"/>
      <c r="AD51" s="510"/>
      <c r="AE51" s="510"/>
      <c r="AF51" s="510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89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  <c r="AB52" s="510"/>
      <c r="AC52" s="510"/>
      <c r="AD52" s="510"/>
      <c r="AE52" s="510"/>
      <c r="AF52" s="510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89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  <c r="AF53" s="510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89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89"/>
      <c r="O55" s="510"/>
      <c r="P55" s="510"/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  <c r="AB55" s="510"/>
      <c r="AC55" s="510"/>
      <c r="AD55" s="510"/>
      <c r="AE55" s="510"/>
      <c r="AF55" s="510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2:51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89"/>
      <c r="O56" s="510"/>
      <c r="P56" s="510"/>
      <c r="Q56" s="510"/>
      <c r="R56" s="510"/>
      <c r="S56" s="510"/>
      <c r="T56" s="510"/>
      <c r="U56" s="510"/>
      <c r="V56" s="510"/>
      <c r="W56" s="510"/>
      <c r="X56" s="510"/>
      <c r="Y56" s="510"/>
      <c r="Z56" s="510"/>
      <c r="AA56" s="510"/>
      <c r="AB56" s="510"/>
      <c r="AC56" s="510"/>
      <c r="AD56" s="510"/>
      <c r="AE56" s="510"/>
      <c r="AF56" s="510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2:51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89"/>
      <c r="O57" s="510"/>
      <c r="P57" s="510"/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0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2:51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89"/>
      <c r="O58" s="510"/>
      <c r="P58" s="510"/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  <c r="AF58" s="510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2:51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89"/>
      <c r="O59" s="510"/>
      <c r="P59" s="51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510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2:51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89"/>
      <c r="O60" s="510"/>
      <c r="P60" s="510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2:51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89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2:51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89"/>
      <c r="O62" s="510"/>
      <c r="P62" s="510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  <c r="AF62" s="510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2:51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89"/>
      <c r="O63" s="510"/>
      <c r="P63" s="510"/>
      <c r="Q63" s="510"/>
      <c r="R63" s="510"/>
      <c r="S63" s="510"/>
      <c r="T63" s="510"/>
      <c r="U63" s="510"/>
      <c r="V63" s="510"/>
      <c r="W63" s="510"/>
      <c r="X63" s="510"/>
      <c r="Y63" s="510"/>
      <c r="Z63" s="510"/>
      <c r="AA63" s="510"/>
      <c r="AB63" s="510"/>
      <c r="AC63" s="510"/>
      <c r="AD63" s="510"/>
      <c r="AE63" s="510"/>
      <c r="AF63" s="510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2:51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89"/>
      <c r="O64" s="510"/>
      <c r="P64" s="510"/>
      <c r="Q64" s="510"/>
      <c r="R64" s="510"/>
      <c r="S64" s="510"/>
      <c r="T64" s="510"/>
      <c r="U64" s="510"/>
      <c r="V64" s="510"/>
      <c r="W64" s="510"/>
      <c r="X64" s="510"/>
      <c r="Y64" s="510"/>
      <c r="Z64" s="510"/>
      <c r="AA64" s="510"/>
      <c r="AB64" s="510"/>
      <c r="AC64" s="510"/>
      <c r="AD64" s="510"/>
      <c r="AE64" s="510"/>
      <c r="AF64" s="510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/>
      <c r="O65" s="510"/>
      <c r="P65" s="510"/>
      <c r="Q65" s="510"/>
      <c r="R65" s="510"/>
      <c r="S65" s="510"/>
      <c r="T65" s="510"/>
      <c r="U65" s="510"/>
      <c r="V65" s="510"/>
      <c r="W65" s="510"/>
      <c r="X65" s="510"/>
      <c r="Y65" s="510"/>
      <c r="Z65" s="510"/>
      <c r="AA65" s="510"/>
      <c r="AB65" s="510"/>
      <c r="AC65" s="510"/>
      <c r="AD65" s="510"/>
      <c r="AE65" s="510"/>
      <c r="AF65" s="510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 s="510"/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510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 s="510"/>
      <c r="P67" s="510"/>
      <c r="Q67" s="510"/>
      <c r="R67" s="510"/>
      <c r="S67" s="510"/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 s="510"/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  <c r="AF68" s="510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510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 s="510"/>
      <c r="P70" s="510"/>
      <c r="Q70" s="510"/>
      <c r="R70" s="510"/>
      <c r="S70" s="510"/>
      <c r="T70" s="510"/>
      <c r="U70" s="510"/>
      <c r="V70" s="510"/>
      <c r="W70" s="510"/>
      <c r="X70" s="510"/>
      <c r="Y70" s="510"/>
      <c r="Z70" s="510"/>
      <c r="AA70" s="510"/>
      <c r="AB70" s="510"/>
      <c r="AC70" s="510"/>
      <c r="AD70" s="510"/>
      <c r="AE70" s="510"/>
      <c r="AF70" s="51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/>
      <c r="P71"/>
      <c r="Q71"/>
      <c r="R71"/>
      <c r="S71"/>
      <c r="T71"/>
      <c r="U71"/>
      <c r="V71"/>
      <c r="W71"/>
      <c r="X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51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/>
      <c r="P72"/>
      <c r="Q72"/>
      <c r="R72"/>
      <c r="S72"/>
      <c r="T72"/>
      <c r="U72"/>
      <c r="V72"/>
      <c r="W72"/>
      <c r="X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51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/>
      <c r="P73"/>
      <c r="Q73"/>
      <c r="R73"/>
      <c r="S73"/>
      <c r="T73"/>
      <c r="U73"/>
      <c r="V73"/>
      <c r="W73"/>
      <c r="X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51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/>
      <c r="P74"/>
      <c r="Q74"/>
      <c r="R74"/>
      <c r="S74"/>
      <c r="T74"/>
      <c r="U74"/>
      <c r="V74"/>
      <c r="W74"/>
      <c r="X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1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1" ht="15" customHeight="1">
      <c r="A76" s="22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30"/>
      <c r="N76"/>
      <c r="O76"/>
      <c r="P76"/>
      <c r="Q76"/>
      <c r="R76"/>
      <c r="S76"/>
      <c r="T76"/>
      <c r="U76"/>
      <c r="V76"/>
      <c r="W76"/>
      <c r="X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1" ht="15" customHeight="1">
      <c r="A77" s="22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30"/>
      <c r="N77"/>
      <c r="O77"/>
      <c r="P77"/>
      <c r="Q77"/>
      <c r="R77"/>
      <c r="S77"/>
      <c r="T77"/>
      <c r="U77"/>
      <c r="V77"/>
      <c r="W77"/>
      <c r="X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1:51" ht="15" customHeight="1">
      <c r="A78" s="22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30"/>
      <c r="N78"/>
      <c r="O78"/>
      <c r="P78"/>
      <c r="Q78"/>
      <c r="R78"/>
      <c r="S78"/>
      <c r="T78"/>
      <c r="U78"/>
      <c r="V78"/>
      <c r="W78"/>
      <c r="X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51" ht="15" customHeight="1">
      <c r="A79" s="22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8"/>
      <c r="M79" s="30"/>
      <c r="N79"/>
      <c r="O79"/>
      <c r="P79"/>
      <c r="Q79"/>
      <c r="R79"/>
      <c r="S79"/>
      <c r="T79"/>
      <c r="U79"/>
      <c r="V79"/>
      <c r="W79"/>
      <c r="X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1:51" ht="15" customHeight="1">
      <c r="A80" s="22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8"/>
      <c r="M80" s="30"/>
      <c r="N80"/>
      <c r="O80"/>
      <c r="P80"/>
      <c r="Q80"/>
      <c r="R80"/>
      <c r="S80"/>
      <c r="T80"/>
      <c r="U80"/>
      <c r="V80"/>
      <c r="W80"/>
      <c r="X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1:51" ht="15" customHeight="1">
      <c r="A81" s="22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 s="30"/>
      <c r="N81"/>
      <c r="O81"/>
      <c r="P81"/>
      <c r="Q81"/>
      <c r="R81"/>
      <c r="S81"/>
      <c r="T81"/>
      <c r="U81"/>
      <c r="V81"/>
      <c r="W81"/>
      <c r="X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1:51" ht="15" customHeight="1" thickBot="1">
      <c r="A82" s="2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2"/>
      <c r="M82" s="30"/>
      <c r="N82"/>
      <c r="O82"/>
      <c r="P82"/>
      <c r="Q82"/>
      <c r="R82"/>
      <c r="S82"/>
      <c r="T82"/>
      <c r="U82"/>
      <c r="V82"/>
      <c r="W82"/>
      <c r="X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1:51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1:51" ht="15" customHeight="1">
      <c r="M84" s="30"/>
      <c r="N84"/>
      <c r="O84"/>
      <c r="P84"/>
      <c r="Q84"/>
      <c r="R84"/>
      <c r="S84"/>
      <c r="T84"/>
      <c r="U84"/>
      <c r="V84"/>
      <c r="W84"/>
      <c r="X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51" ht="15" customHeight="1">
      <c r="M85" s="30"/>
      <c r="N85" s="41"/>
      <c r="O85" s="1"/>
      <c r="P85"/>
      <c r="Q85"/>
      <c r="R85"/>
      <c r="S85"/>
      <c r="T85"/>
      <c r="U85"/>
      <c r="V85"/>
      <c r="W85"/>
      <c r="X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51" ht="15" customHeight="1">
      <c r="M86" s="30"/>
      <c r="N86"/>
      <c r="O86"/>
      <c r="P86"/>
      <c r="Q86"/>
      <c r="R86"/>
      <c r="S86"/>
      <c r="T86"/>
      <c r="U86"/>
      <c r="V86"/>
      <c r="W86"/>
      <c r="X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 ht="15" customHeight="1">
      <c r="M87" s="30"/>
      <c r="N87" s="41"/>
      <c r="O87"/>
      <c r="P87"/>
      <c r="Q87"/>
      <c r="R87"/>
      <c r="S87"/>
      <c r="T87"/>
      <c r="U87"/>
      <c r="V87"/>
      <c r="W87"/>
      <c r="X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1:51" ht="15" customHeight="1">
      <c r="M88" s="30"/>
      <c r="N88"/>
      <c r="O88"/>
      <c r="P88"/>
      <c r="Q88"/>
      <c r="R88"/>
      <c r="S88"/>
      <c r="T88"/>
      <c r="U88"/>
      <c r="V88"/>
      <c r="W88"/>
      <c r="X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ht="15" customHeight="1">
      <c r="M89" s="30"/>
      <c r="N89"/>
      <c r="O89"/>
      <c r="P89"/>
      <c r="Q89"/>
      <c r="R89"/>
      <c r="S89"/>
      <c r="T89"/>
      <c r="U89"/>
      <c r="V89"/>
      <c r="W89"/>
      <c r="X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51" ht="15" customHeight="1">
      <c r="M90" s="30"/>
      <c r="N90"/>
      <c r="O90"/>
      <c r="P90"/>
      <c r="Q90"/>
      <c r="R90"/>
      <c r="S90"/>
      <c r="T90"/>
      <c r="U90"/>
      <c r="V90"/>
      <c r="W90"/>
      <c r="X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51" ht="15" customHeight="1">
      <c r="M91" s="30"/>
      <c r="N91"/>
      <c r="O91"/>
      <c r="P91"/>
      <c r="Q91"/>
      <c r="R91"/>
      <c r="S91"/>
      <c r="T91"/>
      <c r="U91"/>
      <c r="V91"/>
      <c r="W91"/>
      <c r="X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ht="15" customHeight="1">
      <c r="M92" s="30"/>
      <c r="N92"/>
      <c r="O92"/>
      <c r="P92"/>
      <c r="Q92"/>
      <c r="R92"/>
      <c r="S92"/>
      <c r="T92"/>
      <c r="U92"/>
      <c r="V92"/>
      <c r="W92"/>
      <c r="X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ht="15" customHeight="1">
      <c r="M93" s="30"/>
      <c r="N93"/>
      <c r="O93"/>
      <c r="P93"/>
      <c r="Q93"/>
      <c r="R93"/>
      <c r="S93"/>
      <c r="T93"/>
      <c r="U93"/>
      <c r="V93"/>
      <c r="W93"/>
      <c r="X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ht="15" customHeight="1">
      <c r="M94" s="30"/>
      <c r="N94"/>
      <c r="O94"/>
      <c r="P94"/>
      <c r="Q94"/>
      <c r="R94"/>
      <c r="S94"/>
      <c r="T94"/>
      <c r="U94"/>
      <c r="V94"/>
      <c r="W94"/>
      <c r="X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1:51" ht="15" customHeight="1">
      <c r="M95" s="30"/>
      <c r="N95"/>
      <c r="O95"/>
      <c r="P95"/>
      <c r="Q95"/>
      <c r="R95"/>
      <c r="S95"/>
      <c r="T95"/>
      <c r="U95"/>
      <c r="V95"/>
      <c r="W95"/>
      <c r="X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1:51" ht="15" customHeight="1">
      <c r="M96" s="30"/>
      <c r="N96"/>
      <c r="O96"/>
      <c r="P96"/>
      <c r="Q96"/>
      <c r="R96"/>
      <c r="S96"/>
      <c r="T96"/>
      <c r="U96"/>
      <c r="V96"/>
      <c r="W96"/>
      <c r="X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2:51" ht="15" customHeight="1">
      <c r="M97" s="30"/>
      <c r="N97"/>
      <c r="O97"/>
      <c r="P97"/>
      <c r="Q97"/>
      <c r="R97"/>
      <c r="S97"/>
      <c r="T97"/>
      <c r="U97"/>
      <c r="V97"/>
      <c r="W97"/>
      <c r="X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2:51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/>
      <c r="O98"/>
      <c r="P98"/>
      <c r="Q98"/>
      <c r="R98"/>
      <c r="S98"/>
      <c r="T98"/>
      <c r="U98"/>
      <c r="V98"/>
      <c r="W98"/>
      <c r="X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2:51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/>
      <c r="O99"/>
      <c r="P99"/>
      <c r="Q99"/>
      <c r="R99"/>
      <c r="S99"/>
      <c r="T99"/>
      <c r="U99"/>
      <c r="V99"/>
      <c r="W99"/>
      <c r="X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2:51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/>
      <c r="O100"/>
      <c r="P100"/>
      <c r="Q100"/>
      <c r="R100"/>
      <c r="S100"/>
      <c r="T100"/>
      <c r="U100"/>
      <c r="V100"/>
      <c r="W100"/>
      <c r="X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</row>
    <row r="101" spans="2:51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/>
      <c r="O101"/>
      <c r="P101"/>
      <c r="Q101"/>
      <c r="R101"/>
      <c r="S101"/>
      <c r="T101"/>
      <c r="U101"/>
      <c r="V101"/>
      <c r="W101"/>
      <c r="X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  <row r="102" spans="2:51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/>
      <c r="O102"/>
      <c r="P102"/>
      <c r="Q102"/>
      <c r="R102"/>
      <c r="S102"/>
      <c r="T102"/>
      <c r="U102"/>
      <c r="V102"/>
      <c r="W102"/>
      <c r="X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</row>
    <row r="103" spans="2:51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</row>
    <row r="104" spans="2:51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</row>
    <row r="105" spans="2:51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</row>
    <row r="106" spans="2:51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</row>
    <row r="107" spans="2:51" ht="1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2:51" ht="1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2:51" ht="1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2:51" ht="1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2:51" ht="1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</row>
    <row r="112" spans="2:51" ht="1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</row>
    <row r="113" spans="2:51" ht="1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2:51" ht="1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</row>
    <row r="115" spans="2:51" ht="1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</row>
    <row r="116" spans="2:51" ht="1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</row>
    <row r="117" spans="2:51" ht="1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2:51" ht="1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</row>
    <row r="119" spans="2:51" ht="1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2:51" ht="1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1" spans="2:51" ht="1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2:51" ht="1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2:51" ht="1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2:51" ht="1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2:51" ht="1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</row>
    <row r="126" spans="2:51" ht="15" customHeight="1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2:51" ht="15" customHeight="1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2:51" ht="15" customHeight="1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</row>
    <row r="129" spans="2:51" ht="15" customHeight="1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2:51" ht="15" customHeight="1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2:51" ht="15" customHeight="1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2:51" ht="15" customHeight="1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2:51" ht="15" customHeight="1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2:51" ht="15" customHeight="1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2:51" ht="15" customHeight="1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2:51" ht="15" customHeight="1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2:51" ht="15" customHeight="1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2:51" ht="15" customHeight="1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2:51" ht="1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2:51" ht="1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2:51" ht="1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2:51" ht="1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2:51" ht="1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2:51" ht="1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2:51" ht="1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2:51" ht="1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2:51" ht="1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2:51" ht="1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2:51" ht="1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2:51" ht="1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</row>
    <row r="151" spans="2:51" ht="1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</row>
    <row r="152" spans="2:51" ht="1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2:51" ht="1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</sheetData>
  <mergeCells count="1">
    <mergeCell ref="K1:L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106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2" width="11.140625" style="21" customWidth="1"/>
    <col min="13" max="14" width="9.140625" style="21"/>
    <col min="15" max="15" width="11.85546875" style="21" customWidth="1"/>
    <col min="16" max="16" width="12.7109375" style="21" customWidth="1"/>
    <col min="17" max="16384" width="9.140625" style="21"/>
  </cols>
  <sheetData>
    <row r="1" spans="1:27" ht="15" customHeight="1">
      <c r="A1" s="7">
        <v>21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1028" t="s">
        <v>24</v>
      </c>
      <c r="L1" s="1029"/>
      <c r="N1" s="1" t="s">
        <v>32</v>
      </c>
      <c r="O1" s="46" t="str">
        <f>VLOOKUP(A1,'Point Grid'!$L$8:$T$54,9,FALSE)</f>
        <v>Reserving - Chap 7: Development Method</v>
      </c>
      <c r="P1"/>
      <c r="Q1"/>
      <c r="R1"/>
      <c r="S1"/>
      <c r="T1"/>
      <c r="U1"/>
      <c r="V1"/>
      <c r="W1"/>
      <c r="X1"/>
    </row>
    <row r="2" spans="1:27" ht="15" customHeight="1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N2" s="1"/>
      <c r="O2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</row>
    <row r="3" spans="1:27" ht="15" customHeight="1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30"/>
      <c r="N3" s="41" t="s">
        <v>2</v>
      </c>
      <c r="O3" s="510" t="s">
        <v>666</v>
      </c>
      <c r="P3" s="510"/>
      <c r="Q3" s="651" t="s">
        <v>673</v>
      </c>
      <c r="R3" s="510"/>
      <c r="S3" s="510"/>
      <c r="T3" s="510"/>
      <c r="U3" s="510"/>
      <c r="V3" s="510"/>
      <c r="W3" s="510"/>
      <c r="X3" s="510"/>
      <c r="Y3" s="510"/>
      <c r="Z3" s="510"/>
      <c r="AA3" s="510"/>
    </row>
    <row r="4" spans="1:27" ht="15" customHeight="1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30"/>
      <c r="N4" s="41"/>
      <c r="O4" s="522" t="s">
        <v>664</v>
      </c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</row>
    <row r="5" spans="1:27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30"/>
      <c r="N5" s="523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</row>
    <row r="6" spans="1:27" ht="15" customHeight="1">
      <c r="A6" s="25" t="s">
        <v>2</v>
      </c>
      <c r="B6" s="17" t="s">
        <v>660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30"/>
      <c r="N6" s="523"/>
      <c r="O6" s="510" t="s">
        <v>665</v>
      </c>
      <c r="P6" s="510"/>
      <c r="Q6" s="651" t="s">
        <v>673</v>
      </c>
      <c r="R6" s="510"/>
      <c r="S6" s="510"/>
      <c r="T6" s="510"/>
      <c r="U6" s="510"/>
      <c r="V6" s="510"/>
      <c r="W6" s="510"/>
      <c r="X6" s="510"/>
      <c r="Y6" s="510"/>
      <c r="Z6" s="510"/>
      <c r="AA6" s="510"/>
    </row>
    <row r="7" spans="1:27" ht="15" customHeight="1" thickBot="1">
      <c r="A7" s="9">
        <f>INDEX('Point Grid'!$C$8:$I$54,MATCH($A$1,'Point Grid'!$A$8:$A$54,0),MATCH(A6,'Point Grid'!$C$7:$I$7,0))</f>
        <v>1</v>
      </c>
      <c r="B7" s="17" t="s">
        <v>661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30"/>
      <c r="N7" s="523"/>
      <c r="O7" s="510" t="s">
        <v>668</v>
      </c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</row>
    <row r="8" spans="1:27" ht="15" customHeight="1" thickBot="1">
      <c r="A8" s="5"/>
      <c r="B8" s="17" t="s">
        <v>662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30"/>
      <c r="N8" s="523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</row>
    <row r="9" spans="1:27" ht="15" customHeight="1">
      <c r="A9" s="25"/>
      <c r="B9" s="423" t="s">
        <v>667</v>
      </c>
      <c r="C9" s="17"/>
      <c r="D9" s="17"/>
      <c r="E9" s="17"/>
      <c r="F9" s="17"/>
      <c r="G9" s="17"/>
      <c r="H9" s="17"/>
      <c r="I9" s="17"/>
      <c r="J9" s="17"/>
      <c r="K9" s="17"/>
      <c r="L9" s="18"/>
      <c r="M9" s="30"/>
      <c r="N9" s="523"/>
      <c r="O9" s="510" t="s">
        <v>669</v>
      </c>
      <c r="P9" s="510"/>
      <c r="Q9" s="510"/>
      <c r="R9" s="510"/>
      <c r="S9" s="510"/>
      <c r="T9" s="510"/>
      <c r="U9" s="651" t="s">
        <v>674</v>
      </c>
      <c r="V9" s="510"/>
      <c r="W9" s="510"/>
      <c r="X9" s="510"/>
      <c r="Y9" s="510"/>
      <c r="Z9" s="510"/>
      <c r="AA9" s="510"/>
    </row>
    <row r="10" spans="1:27" ht="15" customHeight="1">
      <c r="A10" s="25"/>
      <c r="B10" s="704" t="s">
        <v>663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30"/>
      <c r="N10" s="523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</row>
    <row r="11" spans="1:27" ht="15" customHeight="1">
      <c r="A11" s="2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30"/>
      <c r="N11" s="523"/>
      <c r="O11" s="698"/>
      <c r="P11" s="699" t="s">
        <v>659</v>
      </c>
      <c r="Q11" s="700"/>
      <c r="R11" s="700"/>
      <c r="S11" s="700" t="s">
        <v>218</v>
      </c>
      <c r="T11" s="700"/>
      <c r="U11" s="700"/>
      <c r="V11" s="510"/>
      <c r="W11" s="510"/>
      <c r="X11" s="510"/>
      <c r="Y11" s="510"/>
      <c r="Z11" s="510"/>
      <c r="AA11" s="510"/>
    </row>
    <row r="12" spans="1:27" ht="15" customHeight="1">
      <c r="A12" s="25"/>
      <c r="B12" s="261" t="s">
        <v>216</v>
      </c>
      <c r="C12" s="262" t="s">
        <v>217</v>
      </c>
      <c r="D12" s="57"/>
      <c r="E12" s="57" t="s">
        <v>218</v>
      </c>
      <c r="F12" s="57"/>
      <c r="G12" s="57"/>
      <c r="H12" s="57"/>
      <c r="I12" s="17"/>
      <c r="J12" s="17"/>
      <c r="K12" s="17"/>
      <c r="L12" s="18"/>
      <c r="M12" s="30"/>
      <c r="N12" s="523"/>
      <c r="O12" s="701" t="s">
        <v>83</v>
      </c>
      <c r="P12" s="702">
        <v>12</v>
      </c>
      <c r="Q12" s="702">
        <v>24</v>
      </c>
      <c r="R12" s="702">
        <v>36</v>
      </c>
      <c r="S12" s="702">
        <v>48</v>
      </c>
      <c r="T12" s="702">
        <v>60</v>
      </c>
      <c r="U12" s="702">
        <v>72</v>
      </c>
      <c r="V12" s="510"/>
      <c r="W12" s="510"/>
      <c r="X12" s="510"/>
      <c r="Y12" s="510"/>
      <c r="Z12" s="510"/>
      <c r="AA12" s="510"/>
    </row>
    <row r="13" spans="1:27" ht="15" customHeight="1">
      <c r="A13" s="25"/>
      <c r="B13" s="263" t="s">
        <v>83</v>
      </c>
      <c r="C13" s="264">
        <v>12</v>
      </c>
      <c r="D13" s="264">
        <f>C13+12</f>
        <v>24</v>
      </c>
      <c r="E13" s="264">
        <f>D13+12</f>
        <v>36</v>
      </c>
      <c r="F13" s="264">
        <f>E13+12</f>
        <v>48</v>
      </c>
      <c r="G13" s="264">
        <f>F13+12</f>
        <v>60</v>
      </c>
      <c r="H13" s="264">
        <f>G13+12</f>
        <v>72</v>
      </c>
      <c r="I13" s="17"/>
      <c r="J13" s="17"/>
      <c r="K13" s="17"/>
      <c r="L13" s="18"/>
      <c r="M13" s="30"/>
      <c r="N13" s="523"/>
      <c r="O13" s="259">
        <v>2020</v>
      </c>
      <c r="P13" s="703">
        <f t="shared" ref="P13:U13" si="0">C14/C23</f>
        <v>0.33333333333333331</v>
      </c>
      <c r="Q13" s="703">
        <f t="shared" si="0"/>
        <v>0.625</v>
      </c>
      <c r="R13" s="703">
        <f t="shared" si="0"/>
        <v>0.8</v>
      </c>
      <c r="S13" s="705">
        <f t="shared" si="0"/>
        <v>0.90090090090090091</v>
      </c>
      <c r="T13" s="703">
        <f t="shared" si="0"/>
        <v>0.90909090909090906</v>
      </c>
      <c r="U13" s="703">
        <f t="shared" si="0"/>
        <v>1</v>
      </c>
      <c r="V13" s="510"/>
      <c r="W13" s="510"/>
      <c r="X13" s="510"/>
      <c r="Y13" s="510"/>
      <c r="Z13" s="510"/>
      <c r="AA13" s="510"/>
    </row>
    <row r="14" spans="1:27" ht="15" customHeight="1">
      <c r="A14" s="25"/>
      <c r="B14" s="265">
        <v>2020</v>
      </c>
      <c r="C14" s="266">
        <v>10000</v>
      </c>
      <c r="D14" s="266">
        <v>25000</v>
      </c>
      <c r="E14" s="266">
        <v>40000</v>
      </c>
      <c r="F14" s="266">
        <v>50000</v>
      </c>
      <c r="G14" s="266">
        <v>55000</v>
      </c>
      <c r="H14" s="266">
        <v>60000</v>
      </c>
      <c r="I14" s="17"/>
      <c r="J14" s="17"/>
      <c r="K14" s="17"/>
      <c r="L14" s="18"/>
      <c r="M14" s="30"/>
      <c r="N14" s="523"/>
      <c r="O14" s="259">
        <v>2021</v>
      </c>
      <c r="P14" s="703">
        <f>C15/C24</f>
        <v>0.33333333333333331</v>
      </c>
      <c r="Q14" s="703">
        <f>D15/D24</f>
        <v>0.625</v>
      </c>
      <c r="R14" s="705">
        <f>E15/E24</f>
        <v>0.78431372549019607</v>
      </c>
      <c r="S14" s="703">
        <f>F15/F24</f>
        <v>0.90090090090090091</v>
      </c>
      <c r="T14" s="703">
        <f>G15/G24</f>
        <v>0.90909090909090906</v>
      </c>
      <c r="U14" s="703"/>
      <c r="V14" s="510"/>
      <c r="W14" s="510"/>
      <c r="X14" s="510"/>
      <c r="Y14" s="510"/>
      <c r="Z14" s="510"/>
      <c r="AA14" s="510"/>
    </row>
    <row r="15" spans="1:27" ht="15" customHeight="1">
      <c r="A15" s="25"/>
      <c r="B15" s="265">
        <f>B14+1</f>
        <v>2021</v>
      </c>
      <c r="C15" s="266">
        <v>10000</v>
      </c>
      <c r="D15" s="266">
        <v>25000</v>
      </c>
      <c r="E15" s="266">
        <v>40000</v>
      </c>
      <c r="F15" s="266">
        <v>50000</v>
      </c>
      <c r="G15" s="266">
        <v>55000</v>
      </c>
      <c r="H15" s="266"/>
      <c r="I15" s="17"/>
      <c r="J15" s="17"/>
      <c r="K15" s="17"/>
      <c r="L15" s="18"/>
      <c r="M15" s="30"/>
      <c r="N15" s="523"/>
      <c r="O15" s="259">
        <v>2022</v>
      </c>
      <c r="P15" s="703">
        <f>C16/C25</f>
        <v>0.33333333333333331</v>
      </c>
      <c r="Q15" s="705">
        <f>D16/D25</f>
        <v>0.6097560975609756</v>
      </c>
      <c r="R15" s="703">
        <f>E16/E25</f>
        <v>0.78431372549019607</v>
      </c>
      <c r="S15" s="703">
        <f>F16/F25</f>
        <v>0.90090090090090091</v>
      </c>
      <c r="T15" s="703"/>
      <c r="U15" s="703"/>
      <c r="V15" s="510"/>
      <c r="W15" s="510"/>
      <c r="X15" s="510"/>
      <c r="Y15" s="510"/>
      <c r="Z15" s="510"/>
      <c r="AA15" s="510"/>
    </row>
    <row r="16" spans="1:27" ht="15" customHeight="1">
      <c r="A16" s="25"/>
      <c r="B16" s="265">
        <f>B15+1</f>
        <v>2022</v>
      </c>
      <c r="C16" s="266">
        <v>10000</v>
      </c>
      <c r="D16" s="266">
        <v>25000</v>
      </c>
      <c r="E16" s="266">
        <v>40000</v>
      </c>
      <c r="F16" s="266">
        <v>50000</v>
      </c>
      <c r="G16" s="266"/>
      <c r="H16" s="266"/>
      <c r="I16" s="17"/>
      <c r="J16" s="17"/>
      <c r="K16" s="17"/>
      <c r="L16" s="18"/>
      <c r="M16" s="30"/>
      <c r="N16" s="523"/>
      <c r="O16" s="259">
        <v>2023</v>
      </c>
      <c r="P16" s="705">
        <f>C17/C26</f>
        <v>0.3125</v>
      </c>
      <c r="Q16" s="703">
        <f>D17/D26</f>
        <v>0.60240963855421692</v>
      </c>
      <c r="R16" s="703">
        <f>E17/E26</f>
        <v>0.78431372549019607</v>
      </c>
      <c r="S16" s="703"/>
      <c r="T16" s="703"/>
      <c r="U16" s="703"/>
      <c r="V16" s="510"/>
      <c r="W16" s="510"/>
      <c r="X16" s="510"/>
      <c r="Y16" s="510"/>
      <c r="Z16" s="510"/>
      <c r="AA16" s="510"/>
    </row>
    <row r="17" spans="1:27" ht="15" customHeight="1">
      <c r="A17" s="25"/>
      <c r="B17" s="265">
        <f>B16+1</f>
        <v>2023</v>
      </c>
      <c r="C17" s="266">
        <v>10000</v>
      </c>
      <c r="D17" s="266">
        <v>25000</v>
      </c>
      <c r="E17" s="266">
        <v>40000</v>
      </c>
      <c r="F17" s="266"/>
      <c r="G17" s="266"/>
      <c r="H17" s="266"/>
      <c r="I17" s="17"/>
      <c r="J17" s="17"/>
      <c r="K17" s="17"/>
      <c r="L17" s="18"/>
      <c r="M17" s="30"/>
      <c r="N17" s="523"/>
      <c r="O17" s="259">
        <v>2024</v>
      </c>
      <c r="P17" s="703">
        <f>C18/C27</f>
        <v>0.3125</v>
      </c>
      <c r="Q17" s="703">
        <f>D18/D27</f>
        <v>0.60240963855421692</v>
      </c>
      <c r="R17" s="703"/>
      <c r="S17" s="703"/>
      <c r="T17" s="703"/>
      <c r="U17" s="703"/>
      <c r="V17" s="510"/>
      <c r="W17" s="510"/>
      <c r="X17" s="510"/>
      <c r="Y17" s="510"/>
      <c r="Z17" s="510"/>
      <c r="AA17" s="510"/>
    </row>
    <row r="18" spans="1:27" ht="15" customHeight="1">
      <c r="A18" s="25"/>
      <c r="B18" s="265">
        <f>B17+1</f>
        <v>2024</v>
      </c>
      <c r="C18" s="266">
        <v>10000</v>
      </c>
      <c r="D18" s="266">
        <v>25000</v>
      </c>
      <c r="E18" s="266"/>
      <c r="F18" s="266"/>
      <c r="G18" s="266"/>
      <c r="H18" s="266"/>
      <c r="I18" s="17"/>
      <c r="J18" s="17"/>
      <c r="K18" s="17"/>
      <c r="L18" s="18"/>
      <c r="M18" s="30"/>
      <c r="N18" s="523"/>
      <c r="O18" s="259">
        <v>2025</v>
      </c>
      <c r="P18" s="703">
        <f>C19/C28</f>
        <v>0.3125</v>
      </c>
      <c r="Q18" s="703"/>
      <c r="R18" s="703"/>
      <c r="S18" s="703"/>
      <c r="T18" s="703"/>
      <c r="U18" s="703"/>
      <c r="V18" s="510"/>
      <c r="W18" s="510"/>
      <c r="X18" s="510"/>
      <c r="Y18" s="510"/>
      <c r="Z18" s="510"/>
      <c r="AA18" s="510"/>
    </row>
    <row r="19" spans="1:27" ht="15" customHeight="1">
      <c r="A19" s="25"/>
      <c r="B19" s="265">
        <f>B18+1</f>
        <v>2025</v>
      </c>
      <c r="C19" s="266">
        <v>10000</v>
      </c>
      <c r="D19" s="266"/>
      <c r="E19" s="266"/>
      <c r="F19" s="266"/>
      <c r="G19" s="266"/>
      <c r="H19" s="266"/>
      <c r="I19" s="17"/>
      <c r="J19" s="17"/>
      <c r="K19" s="17"/>
      <c r="L19" s="18"/>
      <c r="M19" s="30"/>
      <c r="N19" s="523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</row>
    <row r="20" spans="1:27" ht="15" customHeight="1">
      <c r="A20" s="25"/>
      <c r="B20" s="121"/>
      <c r="C20" s="121"/>
      <c r="D20" s="121"/>
      <c r="E20" s="121"/>
      <c r="F20" s="121"/>
      <c r="G20" s="143"/>
      <c r="H20" s="121"/>
      <c r="I20" s="17"/>
      <c r="J20" s="17"/>
      <c r="K20" s="17"/>
      <c r="L20" s="18"/>
      <c r="M20" s="30"/>
      <c r="N20" s="523"/>
      <c r="O20" s="1" t="s">
        <v>670</v>
      </c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0"/>
    </row>
    <row r="21" spans="1:27" ht="15" customHeight="1">
      <c r="A21" s="25"/>
      <c r="B21" s="261" t="s">
        <v>216</v>
      </c>
      <c r="C21" s="262" t="s">
        <v>220</v>
      </c>
      <c r="D21" s="57"/>
      <c r="E21" s="57" t="s">
        <v>218</v>
      </c>
      <c r="F21" s="57"/>
      <c r="G21" s="57"/>
      <c r="H21" s="57"/>
      <c r="I21" s="17"/>
      <c r="J21" s="17"/>
      <c r="K21" s="17"/>
      <c r="L21" s="18"/>
      <c r="M21" s="30"/>
      <c r="N21" s="523"/>
      <c r="O21" s="510" t="s">
        <v>671</v>
      </c>
      <c r="P21" s="510"/>
      <c r="Q21" s="510"/>
      <c r="R21" s="510"/>
      <c r="S21" s="510"/>
      <c r="T21" s="510"/>
      <c r="U21" s="510"/>
      <c r="V21" s="510"/>
      <c r="W21" s="510"/>
      <c r="X21" s="510"/>
      <c r="Y21" s="510"/>
      <c r="Z21" s="510"/>
      <c r="AA21" s="510"/>
    </row>
    <row r="22" spans="1:27" ht="15" customHeight="1">
      <c r="A22" s="25"/>
      <c r="B22" s="263" t="s">
        <v>83</v>
      </c>
      <c r="C22" s="264">
        <v>12</v>
      </c>
      <c r="D22" s="264">
        <f>C22+12</f>
        <v>24</v>
      </c>
      <c r="E22" s="264">
        <f>D22+12</f>
        <v>36</v>
      </c>
      <c r="F22" s="264">
        <f>E22+12</f>
        <v>48</v>
      </c>
      <c r="G22" s="264">
        <f>F22+12</f>
        <v>60</v>
      </c>
      <c r="H22" s="264">
        <f>G22+12</f>
        <v>72</v>
      </c>
      <c r="I22" s="17"/>
      <c r="J22" s="17"/>
      <c r="K22" s="17"/>
      <c r="L22" s="18"/>
      <c r="M22" s="30"/>
      <c r="N22" s="523"/>
      <c r="O22" s="273" t="s">
        <v>672</v>
      </c>
      <c r="P22" s="510"/>
      <c r="Q22" s="510"/>
      <c r="R22" s="510"/>
      <c r="S22" s="510"/>
      <c r="T22" s="510"/>
      <c r="U22" s="510"/>
      <c r="V22" s="510"/>
      <c r="W22" s="510"/>
      <c r="X22" s="510"/>
      <c r="Y22" s="510"/>
      <c r="Z22" s="510"/>
      <c r="AA22" s="510"/>
    </row>
    <row r="23" spans="1:27" ht="15" customHeight="1">
      <c r="A23" s="25"/>
      <c r="B23" s="265">
        <v>2020</v>
      </c>
      <c r="C23" s="266">
        <v>30000</v>
      </c>
      <c r="D23" s="266">
        <v>40000</v>
      </c>
      <c r="E23" s="266">
        <v>50000</v>
      </c>
      <c r="F23" s="266">
        <v>55500</v>
      </c>
      <c r="G23" s="266">
        <v>60500</v>
      </c>
      <c r="H23" s="266">
        <v>60000</v>
      </c>
      <c r="I23" s="17"/>
      <c r="J23" s="17"/>
      <c r="K23" s="17"/>
      <c r="L23" s="18"/>
      <c r="M23" s="30"/>
      <c r="N23" s="523"/>
      <c r="O23" s="510"/>
      <c r="P23" s="510"/>
      <c r="Q23" s="510"/>
      <c r="R23" s="510"/>
      <c r="S23" s="510"/>
      <c r="T23" s="510"/>
      <c r="U23" s="510"/>
      <c r="V23" s="510"/>
      <c r="W23" s="510"/>
      <c r="X23" s="510"/>
      <c r="Y23" s="510"/>
      <c r="Z23" s="510"/>
      <c r="AA23" s="510"/>
    </row>
    <row r="24" spans="1:27" ht="15" customHeight="1">
      <c r="A24" s="25"/>
      <c r="B24" s="265">
        <v>2021</v>
      </c>
      <c r="C24" s="266">
        <v>30000</v>
      </c>
      <c r="D24" s="266">
        <v>40000</v>
      </c>
      <c r="E24" s="266">
        <v>51000</v>
      </c>
      <c r="F24" s="266">
        <v>55500</v>
      </c>
      <c r="G24" s="266">
        <v>60500</v>
      </c>
      <c r="H24" s="266"/>
      <c r="I24" s="17"/>
      <c r="J24" s="17"/>
      <c r="K24" s="17"/>
      <c r="L24" s="18"/>
      <c r="M24" s="30"/>
      <c r="N24" s="523"/>
      <c r="O24" s="510"/>
      <c r="P24" s="510"/>
      <c r="Q24" s="510"/>
      <c r="R24" s="510"/>
      <c r="S24" s="510"/>
      <c r="T24" s="510"/>
      <c r="U24" s="510"/>
      <c r="V24" s="510"/>
      <c r="W24" s="510"/>
      <c r="X24" s="510"/>
      <c r="Y24" s="510"/>
      <c r="Z24" s="510"/>
      <c r="AA24" s="510"/>
    </row>
    <row r="25" spans="1:27" ht="15" customHeight="1">
      <c r="A25" s="25"/>
      <c r="B25" s="265">
        <v>2022</v>
      </c>
      <c r="C25" s="266">
        <v>30000</v>
      </c>
      <c r="D25" s="266">
        <v>41000</v>
      </c>
      <c r="E25" s="266">
        <v>51000</v>
      </c>
      <c r="F25" s="266">
        <v>55500</v>
      </c>
      <c r="G25" s="266"/>
      <c r="H25" s="266"/>
      <c r="I25" s="17"/>
      <c r="J25" s="17"/>
      <c r="K25" s="17"/>
      <c r="L25" s="18"/>
      <c r="M25" s="30"/>
      <c r="N25" s="523"/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</row>
    <row r="26" spans="1:27" ht="15" customHeight="1">
      <c r="A26" s="25"/>
      <c r="B26" s="265">
        <v>2023</v>
      </c>
      <c r="C26" s="266">
        <v>32000</v>
      </c>
      <c r="D26" s="266">
        <v>41500</v>
      </c>
      <c r="E26" s="266">
        <v>51000</v>
      </c>
      <c r="F26" s="266"/>
      <c r="G26" s="266"/>
      <c r="H26" s="266"/>
      <c r="I26" s="17"/>
      <c r="J26" s="17"/>
      <c r="K26" s="17"/>
      <c r="L26" s="18"/>
      <c r="M26" s="30"/>
      <c r="N26" s="41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0"/>
    </row>
    <row r="27" spans="1:27" ht="15" customHeight="1">
      <c r="A27" s="25"/>
      <c r="B27" s="265">
        <v>2024</v>
      </c>
      <c r="C27" s="266">
        <v>32000</v>
      </c>
      <c r="D27" s="266">
        <v>41500</v>
      </c>
      <c r="E27" s="266"/>
      <c r="F27" s="266"/>
      <c r="G27" s="266"/>
      <c r="H27" s="266"/>
      <c r="I27" s="17"/>
      <c r="J27" s="17"/>
      <c r="K27" s="17"/>
      <c r="L27" s="18"/>
      <c r="M27" s="30"/>
      <c r="N27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</row>
    <row r="28" spans="1:27" ht="15" customHeight="1">
      <c r="A28" s="25"/>
      <c r="B28" s="265">
        <v>2025</v>
      </c>
      <c r="C28" s="266">
        <v>32000</v>
      </c>
      <c r="D28" s="266"/>
      <c r="E28" s="266"/>
      <c r="F28" s="266"/>
      <c r="G28" s="266"/>
      <c r="H28" s="266"/>
      <c r="I28" s="17"/>
      <c r="J28" s="17"/>
      <c r="K28" s="17"/>
      <c r="L28" s="18"/>
      <c r="M28" s="30"/>
      <c r="N28"/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510"/>
      <c r="Z28" s="510"/>
      <c r="AA28" s="510"/>
    </row>
    <row r="29" spans="1:27" ht="15" customHeight="1">
      <c r="A29" s="2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  <c r="M29" s="30"/>
      <c r="N29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</row>
    <row r="30" spans="1:27" ht="15" customHeight="1">
      <c r="A30" s="22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  <c r="M30" s="30"/>
      <c r="N3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  <c r="Z30" s="510"/>
      <c r="AA30" s="510"/>
    </row>
    <row r="31" spans="1:27" ht="15" customHeight="1" thickBot="1">
      <c r="A31" s="24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 s="30"/>
      <c r="N31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0"/>
    </row>
    <row r="32" spans="1:27" ht="15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/>
      <c r="O32" s="510"/>
      <c r="P32" s="510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</row>
    <row r="33" spans="2:27" ht="1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/>
      <c r="O33" s="510"/>
      <c r="P33" s="510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</row>
    <row r="34" spans="2:27" ht="15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</row>
    <row r="35" spans="2:27" ht="1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</row>
    <row r="36" spans="2:27" ht="1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/>
      <c r="O36" s="510"/>
      <c r="P36" s="510"/>
      <c r="Q36" s="510"/>
      <c r="R36" s="510"/>
      <c r="S36" s="510"/>
      <c r="T36" s="510"/>
      <c r="U36" s="510"/>
      <c r="V36" s="510"/>
      <c r="W36" s="510"/>
      <c r="X36" s="510"/>
      <c r="Y36" s="510"/>
      <c r="Z36" s="510"/>
      <c r="AA36" s="510"/>
    </row>
    <row r="37" spans="2:27" ht="1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/>
      <c r="O37" s="510"/>
      <c r="P37" s="510"/>
      <c r="Q37" s="510"/>
      <c r="R37" s="510"/>
      <c r="S37" s="510"/>
      <c r="T37" s="510"/>
      <c r="U37" s="510"/>
      <c r="V37" s="510"/>
      <c r="W37" s="510"/>
      <c r="X37" s="510"/>
      <c r="Y37" s="510"/>
      <c r="Z37" s="510"/>
      <c r="AA37" s="510"/>
    </row>
    <row r="38" spans="2:27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/>
      <c r="O38" s="510"/>
      <c r="P38" s="510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10"/>
    </row>
    <row r="39" spans="2:27" ht="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/>
      <c r="O39" s="510"/>
      <c r="P39" s="510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</row>
    <row r="40" spans="2:27" ht="1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/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510"/>
      <c r="Z40" s="510"/>
      <c r="AA40" s="510"/>
    </row>
    <row r="41" spans="2:27" ht="1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</row>
    <row r="42" spans="2:27" ht="1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</row>
    <row r="43" spans="2:27" ht="1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</row>
    <row r="44" spans="2:27" ht="1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</row>
    <row r="45" spans="2:27" ht="1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/>
      <c r="O45" s="510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</row>
    <row r="46" spans="2:27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/>
      <c r="O46" s="510"/>
      <c r="P46" s="510"/>
      <c r="Q46" s="510"/>
      <c r="R46" s="510"/>
      <c r="S46" s="510"/>
      <c r="T46" s="510"/>
      <c r="U46" s="510"/>
      <c r="V46" s="510"/>
      <c r="W46" s="510"/>
      <c r="X46" s="510"/>
      <c r="Y46" s="510"/>
      <c r="Z46" s="510"/>
      <c r="AA46" s="510"/>
    </row>
    <row r="47" spans="2:27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/>
      <c r="O47" s="510"/>
      <c r="P47" s="510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</row>
    <row r="48" spans="2:27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</row>
    <row r="49" spans="2:34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/>
      <c r="O49" s="510"/>
      <c r="P49" s="510"/>
      <c r="Q49" s="510"/>
      <c r="R49" s="510"/>
      <c r="S49" s="510"/>
      <c r="T49" s="510"/>
      <c r="U49" s="510"/>
      <c r="V49" s="510"/>
      <c r="W49" s="510"/>
      <c r="X49" s="510"/>
      <c r="Y49" s="510"/>
      <c r="Z49" s="510"/>
      <c r="AA49" s="510"/>
    </row>
    <row r="50" spans="2:34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/>
      <c r="O50" s="510"/>
      <c r="P50" s="510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</row>
    <row r="51" spans="2:34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/>
      <c r="O51" s="510"/>
      <c r="P51" s="510"/>
      <c r="Q51" s="510"/>
      <c r="R51" s="510"/>
      <c r="S51" s="510"/>
      <c r="T51" s="510"/>
      <c r="U51" s="510"/>
      <c r="V51" s="510"/>
      <c r="W51" s="510"/>
      <c r="X51" s="510"/>
      <c r="Y51" s="510"/>
      <c r="Z51" s="510"/>
      <c r="AA51" s="510"/>
    </row>
    <row r="52" spans="2:34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</row>
    <row r="53" spans="2:34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</row>
    <row r="54" spans="2:34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</row>
    <row r="55" spans="2:34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/>
      <c r="O55" s="510"/>
      <c r="P55" s="510"/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</row>
    <row r="56" spans="2:34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/>
      <c r="O56" s="510"/>
      <c r="P56" s="510"/>
      <c r="Q56" s="510"/>
      <c r="R56" s="510"/>
      <c r="S56" s="510"/>
      <c r="T56" s="510"/>
      <c r="U56" s="510"/>
      <c r="V56" s="510"/>
      <c r="W56" s="510"/>
      <c r="X56" s="510"/>
      <c r="Y56" s="510"/>
      <c r="Z56" s="510"/>
      <c r="AA56" s="510"/>
    </row>
    <row r="57" spans="2:34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2:34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2:34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2:34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2:34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2:34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2:34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2:34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2:34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2:34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2:34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2:34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2:34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2:34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2:34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2:34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2:34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2:34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2:34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2:34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2:34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2:34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2:34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2:34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2:34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2:34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2:34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2:34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2:34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2:34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2:34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2:34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2:3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2:3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2:3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2:3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2:3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2:34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2:34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2:34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2:34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2:34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</sheetData>
  <mergeCells count="1">
    <mergeCell ref="K1:L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J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2" width="11.140625" style="21" customWidth="1"/>
    <col min="13" max="16384" width="9.140625" style="21"/>
  </cols>
  <sheetData>
    <row r="1" spans="1:33">
      <c r="A1" s="7">
        <v>22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1028" t="s">
        <v>24</v>
      </c>
      <c r="L1" s="1029"/>
      <c r="N1" s="1" t="s">
        <v>32</v>
      </c>
      <c r="O1" s="46" t="str">
        <f>VLOOKUP(A1,'Point Grid'!$L$8:$T$54,9,FALSE)</f>
        <v>Reserving - Chap 9: Bornhuetter Ferguson Method</v>
      </c>
      <c r="P1"/>
      <c r="Q1"/>
      <c r="R1"/>
      <c r="S1"/>
      <c r="T1"/>
      <c r="U1"/>
      <c r="V1"/>
      <c r="W1"/>
      <c r="X1"/>
    </row>
    <row r="2" spans="1:33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N2" s="1"/>
      <c r="O2"/>
      <c r="P2"/>
      <c r="Q2"/>
      <c r="R2"/>
      <c r="S2"/>
      <c r="T2"/>
      <c r="U2"/>
      <c r="V2"/>
      <c r="W2"/>
      <c r="X2"/>
    </row>
    <row r="3" spans="1:33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30"/>
      <c r="N3" s="41" t="s">
        <v>2</v>
      </c>
      <c r="O3" t="s">
        <v>252</v>
      </c>
      <c r="P3"/>
      <c r="Q3"/>
      <c r="R3"/>
      <c r="S3"/>
      <c r="T3"/>
      <c r="U3"/>
      <c r="V3"/>
      <c r="W3"/>
      <c r="X3"/>
    </row>
    <row r="4" spans="1:33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30"/>
      <c r="N4" s="41"/>
      <c r="O4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</row>
    <row r="5" spans="1:3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30"/>
      <c r="N5" s="41" t="s">
        <v>3</v>
      </c>
      <c r="O5" s="715" t="s">
        <v>59</v>
      </c>
      <c r="P5" s="716" t="s">
        <v>676</v>
      </c>
      <c r="Q5" s="716"/>
      <c r="R5" s="716"/>
      <c r="S5" s="717"/>
      <c r="T5" s="89"/>
      <c r="U5" s="230" t="s">
        <v>696</v>
      </c>
      <c r="V5" s="89"/>
      <c r="W5" s="89"/>
      <c r="X5" s="89"/>
      <c r="Y5" s="89"/>
      <c r="Z5" s="89"/>
      <c r="AA5" s="510"/>
      <c r="AB5" s="510"/>
      <c r="AC5" s="510"/>
      <c r="AD5" s="510"/>
      <c r="AE5" s="510"/>
      <c r="AF5" s="510"/>
      <c r="AG5" s="510"/>
    </row>
    <row r="6" spans="1:33">
      <c r="A6" s="25" t="s">
        <v>2</v>
      </c>
      <c r="B6" s="17" t="s">
        <v>253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30"/>
      <c r="N6" s="41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510"/>
      <c r="AB6" s="510"/>
      <c r="AC6" s="510"/>
      <c r="AD6" s="510"/>
      <c r="AE6" s="510"/>
      <c r="AF6" s="510"/>
      <c r="AG6" s="510"/>
    </row>
    <row r="7" spans="1:33" ht="15.75" thickBot="1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30"/>
      <c r="N7" s="41"/>
      <c r="O7" s="233" t="s">
        <v>119</v>
      </c>
      <c r="P7" s="89" t="s">
        <v>685</v>
      </c>
      <c r="Q7" s="89"/>
      <c r="R7" s="89"/>
      <c r="S7" s="89"/>
      <c r="T7" s="89"/>
      <c r="U7" s="89"/>
      <c r="V7" s="89"/>
      <c r="W7" s="89"/>
      <c r="X7" s="89"/>
      <c r="Y7" s="89"/>
      <c r="Z7" s="89"/>
      <c r="AA7" s="510"/>
      <c r="AB7" s="510"/>
      <c r="AC7" s="510"/>
      <c r="AD7" s="510"/>
      <c r="AE7" s="510"/>
      <c r="AF7" s="510"/>
      <c r="AG7" s="510"/>
    </row>
    <row r="8" spans="1:33" ht="15.75" thickBot="1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18"/>
      <c r="O8" s="89"/>
      <c r="P8" s="229" t="s">
        <v>33</v>
      </c>
      <c r="Q8" s="229" t="s">
        <v>686</v>
      </c>
      <c r="R8" s="229" t="s">
        <v>150</v>
      </c>
      <c r="S8" s="229" t="s">
        <v>270</v>
      </c>
      <c r="T8" s="89"/>
      <c r="U8" s="89"/>
      <c r="V8" s="89"/>
      <c r="W8" s="89"/>
      <c r="X8" s="89"/>
      <c r="Y8" s="89"/>
      <c r="Z8" s="89"/>
      <c r="AA8" s="510"/>
      <c r="AB8" s="510"/>
      <c r="AC8" s="510"/>
      <c r="AD8" s="510"/>
      <c r="AE8" s="510"/>
      <c r="AF8" s="510"/>
      <c r="AG8" s="510"/>
    </row>
    <row r="9" spans="1:33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O9" s="89"/>
      <c r="P9" s="229" t="s">
        <v>33</v>
      </c>
      <c r="Q9" s="229">
        <f>E19</f>
        <v>2800</v>
      </c>
      <c r="R9" s="229" t="s">
        <v>150</v>
      </c>
      <c r="S9" s="331">
        <f>E20</f>
        <v>1.3</v>
      </c>
      <c r="T9" s="89"/>
      <c r="U9" s="89"/>
      <c r="V9" s="89"/>
      <c r="W9" s="89"/>
      <c r="X9" s="89"/>
      <c r="Y9" s="89"/>
      <c r="Z9" s="89"/>
      <c r="AA9" s="510"/>
      <c r="AB9" s="510"/>
      <c r="AC9" s="510"/>
      <c r="AD9" s="510"/>
      <c r="AE9" s="510"/>
      <c r="AF9" s="510"/>
      <c r="AG9" s="510"/>
    </row>
    <row r="10" spans="1:33">
      <c r="A10" s="25" t="s">
        <v>3</v>
      </c>
      <c r="B10" s="181" t="s">
        <v>256</v>
      </c>
      <c r="C10" s="181"/>
      <c r="D10" s="246" t="s">
        <v>250</v>
      </c>
      <c r="E10" s="231" t="s">
        <v>257</v>
      </c>
      <c r="F10" s="714">
        <v>2024</v>
      </c>
      <c r="G10" s="181" t="s">
        <v>675</v>
      </c>
      <c r="H10" s="181"/>
      <c r="I10" s="181"/>
      <c r="J10" s="181"/>
      <c r="K10" s="181"/>
      <c r="L10" s="18"/>
      <c r="O10" s="89"/>
      <c r="P10" s="229" t="s">
        <v>33</v>
      </c>
      <c r="Q10" s="230">
        <f>Q9*S9</f>
        <v>3640</v>
      </c>
      <c r="R10" s="229"/>
      <c r="S10" s="229"/>
      <c r="T10" s="89"/>
      <c r="U10" s="89"/>
      <c r="V10" s="89"/>
      <c r="W10" s="89"/>
      <c r="X10" s="89"/>
      <c r="Y10" s="89"/>
      <c r="Z10" s="89"/>
      <c r="AA10" s="510"/>
      <c r="AB10" s="510"/>
      <c r="AC10" s="510"/>
      <c r="AD10" s="510"/>
      <c r="AE10" s="510"/>
      <c r="AF10" s="510"/>
      <c r="AG10" s="510"/>
    </row>
    <row r="11" spans="1:33" ht="15.75" thickBot="1">
      <c r="A11" s="9">
        <f>INDEX('Point Grid'!$C$8:$I$54,MATCH($A$1,'Point Grid'!$A$8:$A$54,0),MATCH(A10,'Point Grid'!$C$7:$I$7,0))</f>
        <v>1.75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510"/>
      <c r="AB11" s="510"/>
      <c r="AC11" s="510"/>
      <c r="AD11" s="510"/>
      <c r="AE11" s="510"/>
      <c r="AF11" s="510"/>
      <c r="AG11" s="510"/>
    </row>
    <row r="12" spans="1:33" ht="15.75" thickBot="1">
      <c r="A12" s="5"/>
      <c r="B12" s="231" t="s">
        <v>59</v>
      </c>
      <c r="C12" s="181" t="s">
        <v>676</v>
      </c>
      <c r="D12" s="181"/>
      <c r="E12" s="181"/>
      <c r="F12" s="181"/>
      <c r="G12" s="181"/>
      <c r="H12" s="181"/>
      <c r="I12" s="181"/>
      <c r="J12" s="181"/>
      <c r="K12" s="181"/>
      <c r="L12" s="18"/>
      <c r="O12" s="205" t="s">
        <v>120</v>
      </c>
      <c r="P12" s="89" t="s">
        <v>687</v>
      </c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510"/>
      <c r="AB12" s="510"/>
      <c r="AC12" s="510"/>
      <c r="AD12" s="510"/>
      <c r="AE12" s="510"/>
      <c r="AF12" s="510"/>
      <c r="AG12" s="510"/>
    </row>
    <row r="13" spans="1:33">
      <c r="A13" s="25"/>
      <c r="B13" s="231" t="s">
        <v>60</v>
      </c>
      <c r="C13" s="181" t="s">
        <v>677</v>
      </c>
      <c r="D13" s="181"/>
      <c r="E13" s="181"/>
      <c r="F13" s="181"/>
      <c r="G13" s="181"/>
      <c r="H13" s="181"/>
      <c r="I13" s="181"/>
      <c r="J13" s="181"/>
      <c r="K13" s="181"/>
      <c r="L13" s="18"/>
      <c r="O13" s="89"/>
      <c r="P13" s="229" t="s">
        <v>33</v>
      </c>
      <c r="Q13" s="229" t="s">
        <v>250</v>
      </c>
      <c r="R13" s="229" t="s">
        <v>123</v>
      </c>
      <c r="S13" s="229" t="s">
        <v>688</v>
      </c>
      <c r="T13" s="89"/>
      <c r="U13" s="89"/>
      <c r="V13" s="89"/>
      <c r="W13" s="89"/>
      <c r="X13" s="89"/>
      <c r="Y13" s="89"/>
      <c r="Z13" s="89"/>
      <c r="AA13" s="510"/>
      <c r="AB13" s="510"/>
      <c r="AC13" s="510"/>
      <c r="AD13" s="510"/>
      <c r="AE13" s="510"/>
      <c r="AF13" s="510"/>
      <c r="AG13" s="510"/>
    </row>
    <row r="14" spans="1:33">
      <c r="A14" s="25"/>
      <c r="B14" s="181"/>
      <c r="C14" s="181"/>
      <c r="D14" s="181"/>
      <c r="E14" s="709"/>
      <c r="F14" s="181"/>
      <c r="G14" s="181"/>
      <c r="H14" s="181"/>
      <c r="I14" s="181"/>
      <c r="J14" s="181"/>
      <c r="K14" s="181"/>
      <c r="L14" s="18"/>
      <c r="O14" s="89"/>
      <c r="P14" s="229" t="s">
        <v>33</v>
      </c>
      <c r="Q14" s="230">
        <f>Q10</f>
        <v>3640</v>
      </c>
      <c r="R14" s="229" t="s">
        <v>123</v>
      </c>
      <c r="S14" s="229">
        <f>E21</f>
        <v>1510</v>
      </c>
      <c r="T14" s="89"/>
      <c r="U14" s="89"/>
      <c r="V14" s="89"/>
      <c r="W14" s="89"/>
      <c r="X14" s="89"/>
      <c r="Y14" s="89"/>
      <c r="Z14" s="89"/>
      <c r="AA14" s="510"/>
      <c r="AB14" s="510"/>
      <c r="AC14" s="510"/>
      <c r="AD14" s="510"/>
      <c r="AE14" s="510"/>
      <c r="AF14" s="510"/>
      <c r="AG14" s="510"/>
    </row>
    <row r="15" spans="1:33">
      <c r="A15" s="25"/>
      <c r="B15" s="181" t="s">
        <v>678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"/>
      <c r="O15" s="89"/>
      <c r="P15" s="229" t="s">
        <v>33</v>
      </c>
      <c r="Q15" s="339">
        <f>Q14-S14</f>
        <v>2130</v>
      </c>
      <c r="R15" s="89"/>
      <c r="S15" s="89"/>
      <c r="T15" s="89"/>
      <c r="U15" s="89"/>
      <c r="V15" s="89"/>
      <c r="W15" s="89"/>
      <c r="X15" s="89"/>
      <c r="Y15" s="89"/>
      <c r="Z15" s="89"/>
      <c r="AA15" s="510"/>
      <c r="AB15" s="510"/>
      <c r="AC15" s="510"/>
      <c r="AD15" s="510"/>
      <c r="AE15" s="510"/>
      <c r="AF15" s="510"/>
      <c r="AG15" s="510"/>
    </row>
    <row r="16" spans="1:33">
      <c r="A16" s="25"/>
      <c r="B16" s="181"/>
      <c r="C16" s="181"/>
      <c r="D16" s="181"/>
      <c r="E16" s="709"/>
      <c r="F16" s="181"/>
      <c r="G16" s="181"/>
      <c r="H16" s="181"/>
      <c r="I16" s="181"/>
      <c r="J16" s="181"/>
      <c r="K16" s="181"/>
      <c r="L16" s="18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510"/>
      <c r="AB16" s="510"/>
      <c r="AC16" s="510"/>
      <c r="AD16" s="510"/>
      <c r="AE16" s="510"/>
      <c r="AF16" s="510"/>
      <c r="AG16" s="510"/>
    </row>
    <row r="17" spans="1:36">
      <c r="A17" s="25"/>
      <c r="B17" s="322" t="s">
        <v>255</v>
      </c>
      <c r="C17" s="710"/>
      <c r="D17" s="323"/>
      <c r="E17" s="323">
        <v>5000</v>
      </c>
      <c r="F17" s="181"/>
      <c r="G17" s="181" t="s">
        <v>679</v>
      </c>
      <c r="H17" s="181"/>
      <c r="I17" s="181"/>
      <c r="J17" s="181"/>
      <c r="K17" s="181"/>
      <c r="L17" s="18"/>
      <c r="O17" s="205" t="s">
        <v>152</v>
      </c>
      <c r="P17" s="89" t="s">
        <v>689</v>
      </c>
      <c r="Q17" s="89"/>
      <c r="R17" s="89"/>
      <c r="S17" s="89"/>
      <c r="T17" s="707">
        <f>H18</f>
        <v>0.15</v>
      </c>
      <c r="U17" s="89"/>
      <c r="V17" s="89"/>
      <c r="W17" s="89"/>
      <c r="X17" s="89"/>
      <c r="Y17" s="89"/>
      <c r="Z17" s="89"/>
      <c r="AA17" s="510"/>
      <c r="AB17" s="510"/>
      <c r="AC17" s="510"/>
      <c r="AD17" s="510"/>
      <c r="AE17" s="510"/>
      <c r="AF17" s="510"/>
      <c r="AG17" s="510"/>
    </row>
    <row r="18" spans="1:36" ht="15" customHeight="1">
      <c r="A18" s="25"/>
      <c r="B18" s="381" t="s">
        <v>254</v>
      </c>
      <c r="C18" s="513"/>
      <c r="D18" s="383"/>
      <c r="E18" s="152">
        <v>0.71</v>
      </c>
      <c r="F18" s="181"/>
      <c r="G18" s="181" t="s">
        <v>680</v>
      </c>
      <c r="H18" s="713">
        <v>0.15</v>
      </c>
      <c r="I18" s="181" t="s">
        <v>681</v>
      </c>
      <c r="J18" s="181"/>
      <c r="K18" s="181"/>
      <c r="L18" s="18"/>
      <c r="O18" s="89"/>
      <c r="P18" s="89" t="s">
        <v>690</v>
      </c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510"/>
      <c r="AB18" s="510"/>
      <c r="AC18" s="510"/>
      <c r="AD18" s="510"/>
      <c r="AE18" s="510"/>
      <c r="AF18" s="510"/>
      <c r="AG18" s="510"/>
    </row>
    <row r="19" spans="1:36" ht="15" customHeight="1">
      <c r="A19" s="25"/>
      <c r="B19" s="328" t="s">
        <v>682</v>
      </c>
      <c r="C19" s="711"/>
      <c r="D19" s="324"/>
      <c r="E19" s="324">
        <v>2800</v>
      </c>
      <c r="F19" s="181"/>
      <c r="G19" s="181"/>
      <c r="H19" s="181"/>
      <c r="I19" s="181"/>
      <c r="J19" s="181"/>
      <c r="K19" s="181"/>
      <c r="L19" s="18"/>
      <c r="O19" s="89"/>
      <c r="P19" s="229" t="s">
        <v>33</v>
      </c>
      <c r="Q19" s="339">
        <f>Q15</f>
        <v>2130</v>
      </c>
      <c r="R19" s="229" t="s">
        <v>150</v>
      </c>
      <c r="S19" s="253">
        <f>1-T17</f>
        <v>0.85</v>
      </c>
      <c r="T19" s="89"/>
      <c r="U19" s="89"/>
      <c r="V19" s="89"/>
      <c r="W19" s="89"/>
      <c r="X19" s="89"/>
      <c r="Y19" s="89"/>
      <c r="Z19" s="89"/>
      <c r="AA19" s="510"/>
      <c r="AB19" s="510"/>
      <c r="AC19" s="510"/>
      <c r="AD19" s="510"/>
      <c r="AE19" s="510"/>
      <c r="AF19" s="510"/>
      <c r="AG19" s="510"/>
    </row>
    <row r="20" spans="1:36" ht="15" customHeight="1">
      <c r="A20" s="25"/>
      <c r="B20" s="328" t="s">
        <v>683</v>
      </c>
      <c r="C20" s="711"/>
      <c r="D20" s="324"/>
      <c r="E20" s="712">
        <v>1.3</v>
      </c>
      <c r="F20" s="181"/>
      <c r="G20" s="181"/>
      <c r="H20" s="181"/>
      <c r="I20" s="181"/>
      <c r="J20" s="181"/>
      <c r="K20" s="181"/>
      <c r="L20" s="18"/>
      <c r="O20" s="89"/>
      <c r="P20" s="229" t="s">
        <v>33</v>
      </c>
      <c r="Q20" s="340">
        <f>Q19*S19</f>
        <v>1810.5</v>
      </c>
      <c r="R20" s="89"/>
      <c r="S20" s="89"/>
      <c r="T20" s="89"/>
      <c r="U20" s="89"/>
      <c r="V20" s="89"/>
      <c r="W20" s="89"/>
      <c r="X20" s="89"/>
      <c r="Y20" s="89"/>
      <c r="Z20" s="89"/>
      <c r="AA20" s="510"/>
      <c r="AB20" s="510"/>
      <c r="AC20" s="510"/>
      <c r="AD20" s="510"/>
      <c r="AE20" s="510"/>
      <c r="AF20" s="510"/>
      <c r="AG20" s="510"/>
    </row>
    <row r="21" spans="1:36" ht="15" customHeight="1">
      <c r="A21" s="22"/>
      <c r="B21" s="381" t="s">
        <v>684</v>
      </c>
      <c r="C21" s="513"/>
      <c r="D21" s="383"/>
      <c r="E21" s="383">
        <v>1510</v>
      </c>
      <c r="F21" s="181"/>
      <c r="G21" s="181"/>
      <c r="H21" s="181"/>
      <c r="I21" s="181"/>
      <c r="J21" s="181"/>
      <c r="K21" s="181"/>
      <c r="L21" s="18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510"/>
      <c r="AB21" s="510"/>
      <c r="AC21" s="510"/>
      <c r="AD21" s="510"/>
      <c r="AE21" s="510"/>
      <c r="AF21" s="510"/>
      <c r="AG21" s="510"/>
    </row>
    <row r="22" spans="1:36" ht="15" customHeight="1">
      <c r="A22" s="2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O22" s="205" t="s">
        <v>279</v>
      </c>
      <c r="P22" s="89" t="s">
        <v>691</v>
      </c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510"/>
      <c r="AB22" s="510"/>
      <c r="AC22" s="510"/>
      <c r="AD22" s="510"/>
      <c r="AE22" s="510"/>
      <c r="AF22" s="510"/>
      <c r="AG22" s="510"/>
    </row>
    <row r="23" spans="1:36" ht="15" customHeight="1">
      <c r="A23" s="22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O23" s="89"/>
      <c r="P23" s="229" t="s">
        <v>33</v>
      </c>
      <c r="Q23" s="89" t="s">
        <v>690</v>
      </c>
      <c r="R23" s="89"/>
      <c r="S23" s="89"/>
      <c r="T23" s="229" t="s">
        <v>34</v>
      </c>
      <c r="U23" s="89" t="s">
        <v>688</v>
      </c>
      <c r="V23" s="89"/>
      <c r="W23" s="89"/>
      <c r="X23" s="89"/>
      <c r="Y23" s="89"/>
      <c r="Z23" s="89"/>
      <c r="AA23" s="510"/>
      <c r="AB23" s="510"/>
      <c r="AC23" s="510"/>
      <c r="AD23" s="510"/>
      <c r="AE23" s="510"/>
      <c r="AF23" s="510"/>
      <c r="AG23" s="510"/>
    </row>
    <row r="24" spans="1:36" ht="15" customHeight="1">
      <c r="A24" s="2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O24" s="89"/>
      <c r="P24" s="229" t="s">
        <v>33</v>
      </c>
      <c r="Q24" s="340">
        <f>Q20</f>
        <v>1810.5</v>
      </c>
      <c r="R24" s="89"/>
      <c r="S24" s="89"/>
      <c r="T24" s="229" t="s">
        <v>34</v>
      </c>
      <c r="U24" s="229">
        <f>E21</f>
        <v>1510</v>
      </c>
      <c r="V24" s="89"/>
      <c r="W24" s="89"/>
      <c r="X24" s="89"/>
      <c r="Y24" s="89"/>
      <c r="Z24" s="89"/>
      <c r="AA24" s="510"/>
      <c r="AB24" s="510"/>
      <c r="AC24" s="510"/>
      <c r="AD24" s="510"/>
      <c r="AE24" s="510"/>
      <c r="AF24" s="510"/>
      <c r="AG24" s="510"/>
    </row>
    <row r="25" spans="1:36" ht="15" customHeight="1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O25" s="89"/>
      <c r="P25" s="229" t="s">
        <v>33</v>
      </c>
      <c r="Q25" s="206">
        <f>Q24+U24</f>
        <v>3320.5</v>
      </c>
      <c r="R25" s="216" t="s">
        <v>283</v>
      </c>
      <c r="S25" s="89"/>
      <c r="T25" s="89"/>
      <c r="U25" s="89"/>
      <c r="V25" s="89"/>
      <c r="W25" s="89"/>
      <c r="X25" s="89"/>
      <c r="Y25" s="89"/>
      <c r="Z25" s="89"/>
      <c r="AA25" s="510"/>
      <c r="AB25" s="510"/>
      <c r="AC25" s="510"/>
      <c r="AD25" s="510"/>
      <c r="AE25" s="510"/>
      <c r="AF25" s="510"/>
      <c r="AG25" s="510"/>
    </row>
    <row r="26" spans="1:36" ht="15" customHeight="1">
      <c r="A26" s="2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510"/>
      <c r="AB26" s="510"/>
      <c r="AC26" s="510"/>
      <c r="AD26" s="510"/>
      <c r="AE26" s="510"/>
      <c r="AF26" s="510"/>
      <c r="AG26" s="510"/>
    </row>
    <row r="27" spans="1:36" ht="15" customHeight="1">
      <c r="A27" s="22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  <c r="O27" s="718" t="s">
        <v>60</v>
      </c>
      <c r="P27" s="719" t="s">
        <v>677</v>
      </c>
      <c r="Q27" s="719"/>
      <c r="R27" s="719"/>
      <c r="S27" s="720"/>
      <c r="T27" s="161" t="s">
        <v>692</v>
      </c>
      <c r="U27" s="89"/>
      <c r="V27" s="89"/>
      <c r="W27" s="89"/>
      <c r="X27" s="230" t="s">
        <v>697</v>
      </c>
      <c r="Y27" s="89"/>
      <c r="Z27" s="89"/>
      <c r="AA27" s="510"/>
      <c r="AB27" s="510"/>
      <c r="AC27" s="510"/>
      <c r="AD27" s="510"/>
      <c r="AE27" s="510"/>
      <c r="AF27" s="510"/>
      <c r="AG27" s="510"/>
    </row>
    <row r="28" spans="1:36" ht="15" customHeight="1">
      <c r="A28" s="22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510"/>
      <c r="AB28" s="510"/>
      <c r="AC28" s="510"/>
      <c r="AD28" s="510"/>
      <c r="AE28" s="510"/>
      <c r="AF28" s="510"/>
      <c r="AG28" s="510"/>
    </row>
    <row r="29" spans="1:36" ht="15" customHeight="1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  <c r="O29" s="250" t="s">
        <v>301</v>
      </c>
      <c r="P29" s="89" t="s">
        <v>693</v>
      </c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510"/>
      <c r="AB29" s="510"/>
      <c r="AC29" s="510"/>
      <c r="AD29" s="510"/>
      <c r="AE29" s="510"/>
      <c r="AF29" s="510"/>
      <c r="AG29" s="510"/>
      <c r="AJ29" s="89"/>
    </row>
    <row r="30" spans="1:36" ht="15" customHeight="1" thickBot="1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  <c r="O30" s="89"/>
      <c r="P30" s="229" t="s">
        <v>33</v>
      </c>
      <c r="Q30" s="229" t="s">
        <v>254</v>
      </c>
      <c r="R30" s="229" t="s">
        <v>150</v>
      </c>
      <c r="S30" s="229" t="s">
        <v>255</v>
      </c>
      <c r="T30" s="229"/>
      <c r="U30" s="229"/>
      <c r="V30" s="89"/>
      <c r="W30" s="89"/>
      <c r="X30" s="89"/>
      <c r="Y30" s="89"/>
      <c r="Z30" s="89"/>
      <c r="AA30" s="510"/>
      <c r="AB30" s="510"/>
      <c r="AC30" s="510"/>
      <c r="AD30" s="510"/>
      <c r="AE30" s="510"/>
      <c r="AF30" s="510"/>
      <c r="AG30" s="510"/>
      <c r="AJ30" s="89"/>
    </row>
    <row r="31" spans="1:36" ht="1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O31" s="89"/>
      <c r="P31" s="229" t="s">
        <v>33</v>
      </c>
      <c r="Q31" s="253">
        <f>E18</f>
        <v>0.71</v>
      </c>
      <c r="R31" s="229" t="s">
        <v>34</v>
      </c>
      <c r="S31" s="229">
        <f>E17</f>
        <v>5000</v>
      </c>
      <c r="T31" s="229"/>
      <c r="U31" s="229"/>
      <c r="V31" s="89"/>
      <c r="W31" s="89"/>
      <c r="X31" s="89"/>
      <c r="Y31" s="89"/>
      <c r="Z31" s="89"/>
      <c r="AA31" s="510"/>
      <c r="AB31" s="510"/>
      <c r="AC31" s="510"/>
      <c r="AD31" s="510"/>
      <c r="AE31" s="510"/>
      <c r="AF31" s="510"/>
      <c r="AG31" s="510"/>
      <c r="AJ31" s="89"/>
    </row>
    <row r="32" spans="1:36" ht="15" customHeight="1">
      <c r="O32" s="89"/>
      <c r="P32" s="229" t="s">
        <v>33</v>
      </c>
      <c r="Q32" s="721">
        <f>Q31*S31</f>
        <v>3550</v>
      </c>
      <c r="R32" s="229"/>
      <c r="S32" s="229"/>
      <c r="T32" s="229"/>
      <c r="U32" s="229"/>
      <c r="V32" s="89"/>
      <c r="W32" s="89"/>
      <c r="X32" s="89"/>
      <c r="Y32" s="89"/>
      <c r="Z32" s="89"/>
      <c r="AA32" s="510"/>
      <c r="AB32" s="510"/>
      <c r="AC32" s="510"/>
      <c r="AD32" s="510"/>
      <c r="AE32" s="510"/>
      <c r="AF32" s="510"/>
      <c r="AG32" s="510"/>
      <c r="AJ32" s="89"/>
    </row>
    <row r="33" spans="2:36" ht="15" customHeight="1"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510"/>
      <c r="AB33" s="510"/>
      <c r="AC33" s="510"/>
      <c r="AD33" s="510"/>
      <c r="AE33" s="510"/>
      <c r="AF33" s="510"/>
      <c r="AG33" s="510"/>
      <c r="AJ33"/>
    </row>
    <row r="34" spans="2:36" ht="15" customHeight="1">
      <c r="O34" s="250" t="s">
        <v>303</v>
      </c>
      <c r="P34" s="89" t="s">
        <v>694</v>
      </c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510"/>
      <c r="AB34" s="510"/>
      <c r="AC34" s="510"/>
      <c r="AD34" s="510"/>
      <c r="AE34" s="510"/>
      <c r="AF34" s="510"/>
      <c r="AG34" s="510"/>
      <c r="AJ34"/>
    </row>
    <row r="35" spans="2:36" ht="15" customHeight="1">
      <c r="O35" s="89"/>
      <c r="P35" s="229" t="s">
        <v>33</v>
      </c>
      <c r="Q35" s="89" t="s">
        <v>686</v>
      </c>
      <c r="R35" s="229" t="s">
        <v>34</v>
      </c>
      <c r="S35" s="229" t="s">
        <v>259</v>
      </c>
      <c r="T35" s="229" t="s">
        <v>150</v>
      </c>
      <c r="U35" s="229" t="s">
        <v>695</v>
      </c>
      <c r="V35" s="89"/>
      <c r="W35" s="89"/>
      <c r="X35" s="89"/>
      <c r="Y35" s="89"/>
      <c r="Z35" s="89"/>
      <c r="AA35" s="510"/>
      <c r="AB35" s="510"/>
      <c r="AC35" s="510"/>
      <c r="AD35" s="510"/>
      <c r="AE35" s="510"/>
      <c r="AF35" s="510"/>
      <c r="AG35" s="510"/>
      <c r="AJ35"/>
    </row>
    <row r="36" spans="2:36" ht="15" customHeight="1">
      <c r="O36" s="89"/>
      <c r="P36" s="229" t="s">
        <v>33</v>
      </c>
      <c r="Q36" s="229">
        <f>E19</f>
        <v>2800</v>
      </c>
      <c r="R36" s="229" t="s">
        <v>34</v>
      </c>
      <c r="S36" s="722">
        <f>1-1/E20</f>
        <v>0.23076923076923084</v>
      </c>
      <c r="T36" s="229" t="s">
        <v>150</v>
      </c>
      <c r="U36" s="721">
        <f>Q32</f>
        <v>3550</v>
      </c>
      <c r="V36" s="89"/>
      <c r="W36" s="89"/>
      <c r="X36" s="89"/>
      <c r="Y36" s="89"/>
      <c r="Z36" s="89"/>
      <c r="AA36" s="510"/>
      <c r="AB36" s="510"/>
      <c r="AC36" s="510"/>
      <c r="AD36" s="510"/>
      <c r="AE36" s="510"/>
      <c r="AF36" s="510"/>
      <c r="AG36" s="510"/>
      <c r="AJ36"/>
    </row>
    <row r="37" spans="2:36" ht="15" customHeight="1">
      <c r="O37" s="89"/>
      <c r="P37" s="229" t="s">
        <v>33</v>
      </c>
      <c r="Q37" s="230">
        <f>Q36+S36*U36</f>
        <v>3619.2307692307695</v>
      </c>
      <c r="R37" s="229"/>
      <c r="S37" s="229"/>
      <c r="T37" s="229"/>
      <c r="U37" s="229"/>
      <c r="V37" s="89"/>
      <c r="W37" s="89"/>
      <c r="X37" s="89"/>
      <c r="Y37" s="89"/>
      <c r="Z37" s="89"/>
      <c r="AA37" s="510"/>
      <c r="AB37" s="510"/>
      <c r="AC37" s="510"/>
      <c r="AD37" s="510"/>
      <c r="AE37" s="510"/>
      <c r="AF37" s="510"/>
      <c r="AG37" s="510"/>
      <c r="AJ37" s="89"/>
    </row>
    <row r="38" spans="2:36" ht="15" customHeight="1"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510"/>
      <c r="AB38" s="510"/>
      <c r="AC38" s="510"/>
      <c r="AD38" s="510"/>
      <c r="AE38" s="510"/>
      <c r="AF38" s="510"/>
      <c r="AG38" s="510"/>
      <c r="AJ38" s="89"/>
    </row>
    <row r="39" spans="2:36" ht="15" customHeight="1">
      <c r="O39" s="254" t="s">
        <v>120</v>
      </c>
      <c r="P39" s="89" t="s">
        <v>687</v>
      </c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510"/>
      <c r="AB39" s="510"/>
      <c r="AC39" s="510"/>
      <c r="AD39" s="510"/>
      <c r="AE39" s="510"/>
      <c r="AF39" s="510"/>
      <c r="AG39" s="510"/>
      <c r="AJ39" s="89"/>
    </row>
    <row r="40" spans="2:36" ht="15" customHeight="1">
      <c r="O40" s="89"/>
      <c r="P40" s="229" t="s">
        <v>33</v>
      </c>
      <c r="Q40" s="229" t="s">
        <v>250</v>
      </c>
      <c r="R40" s="229" t="s">
        <v>123</v>
      </c>
      <c r="S40" s="229" t="s">
        <v>688</v>
      </c>
      <c r="T40" s="89"/>
      <c r="U40" s="89"/>
      <c r="V40" s="89"/>
      <c r="W40" s="89"/>
      <c r="X40" s="89"/>
      <c r="Y40" s="89"/>
      <c r="Z40" s="89"/>
      <c r="AA40" s="510"/>
      <c r="AB40" s="510"/>
      <c r="AC40" s="510"/>
      <c r="AD40" s="510"/>
      <c r="AE40" s="510"/>
      <c r="AF40" s="510"/>
      <c r="AG40" s="510"/>
      <c r="AJ40" s="89"/>
    </row>
    <row r="41" spans="2:36" ht="15" customHeight="1">
      <c r="O41" s="89"/>
      <c r="P41" s="229" t="s">
        <v>33</v>
      </c>
      <c r="Q41" s="230">
        <f>Q37</f>
        <v>3619.2307692307695</v>
      </c>
      <c r="R41" s="229" t="s">
        <v>123</v>
      </c>
      <c r="S41" s="229">
        <f>E21</f>
        <v>1510</v>
      </c>
      <c r="T41" s="89"/>
      <c r="U41" s="89"/>
      <c r="V41" s="89"/>
      <c r="W41" s="89"/>
      <c r="X41" s="89"/>
      <c r="Y41" s="89"/>
      <c r="Z41" s="89"/>
      <c r="AA41" s="510"/>
      <c r="AB41" s="510"/>
      <c r="AC41" s="510"/>
      <c r="AD41" s="510"/>
      <c r="AE41" s="510"/>
      <c r="AF41" s="510"/>
      <c r="AG41" s="510"/>
      <c r="AJ41" s="89"/>
    </row>
    <row r="42" spans="2:36" ht="15" customHeight="1">
      <c r="O42" s="89"/>
      <c r="P42" s="229" t="s">
        <v>33</v>
      </c>
      <c r="Q42" s="339">
        <f>Q41-S41</f>
        <v>2109.2307692307695</v>
      </c>
      <c r="R42" s="89"/>
      <c r="S42" s="89"/>
      <c r="T42" s="89"/>
      <c r="U42" s="89"/>
      <c r="V42" s="89"/>
      <c r="W42" s="89"/>
      <c r="X42" s="89"/>
      <c r="Y42" s="89"/>
      <c r="Z42" s="89"/>
      <c r="AA42" s="510"/>
      <c r="AB42" s="510"/>
      <c r="AC42" s="510"/>
      <c r="AD42" s="510"/>
      <c r="AE42" s="510"/>
      <c r="AF42" s="510"/>
      <c r="AG42" s="510"/>
      <c r="AJ42" s="89"/>
    </row>
    <row r="43" spans="2:36" ht="15" customHeight="1"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510"/>
      <c r="AB43" s="510"/>
      <c r="AC43" s="510"/>
      <c r="AD43" s="510"/>
      <c r="AE43" s="510"/>
      <c r="AF43" s="510"/>
      <c r="AG43" s="510"/>
      <c r="AJ43" s="89"/>
    </row>
    <row r="44" spans="2:36" ht="15" customHeight="1">
      <c r="O44" s="254" t="s">
        <v>152</v>
      </c>
      <c r="P44" s="89" t="s">
        <v>689</v>
      </c>
      <c r="Q44" s="89"/>
      <c r="R44" s="89"/>
      <c r="S44" s="89"/>
      <c r="T44" s="707">
        <f>H18</f>
        <v>0.15</v>
      </c>
      <c r="U44" s="89"/>
      <c r="V44" s="89"/>
      <c r="W44" s="89"/>
      <c r="X44" s="89"/>
      <c r="Y44" s="89"/>
      <c r="Z44" s="89"/>
      <c r="AA44" s="510"/>
      <c r="AB44" s="510"/>
      <c r="AC44" s="510"/>
      <c r="AD44" s="510"/>
      <c r="AE44" s="510"/>
      <c r="AF44" s="510"/>
      <c r="AG44" s="510"/>
      <c r="AJ44" s="89"/>
    </row>
    <row r="45" spans="2:36" ht="15" customHeight="1">
      <c r="O45" s="89"/>
      <c r="P45" s="89" t="s">
        <v>690</v>
      </c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510"/>
      <c r="AB45" s="510"/>
      <c r="AC45" s="510"/>
      <c r="AD45" s="510"/>
      <c r="AE45" s="510"/>
      <c r="AF45" s="510"/>
      <c r="AG45" s="510"/>
      <c r="AJ45" s="89"/>
    </row>
    <row r="46" spans="2:36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O46" s="89"/>
      <c r="P46" s="229" t="s">
        <v>33</v>
      </c>
      <c r="Q46" s="339">
        <f>Q42</f>
        <v>2109.2307692307695</v>
      </c>
      <c r="R46" s="229" t="s">
        <v>150</v>
      </c>
      <c r="S46" s="253">
        <f>1-T44</f>
        <v>0.85</v>
      </c>
      <c r="T46" s="89"/>
      <c r="U46" s="89"/>
      <c r="V46" s="89"/>
      <c r="W46" s="89"/>
      <c r="X46" s="89"/>
      <c r="Y46" s="89"/>
      <c r="Z46" s="89"/>
      <c r="AA46" s="510"/>
      <c r="AB46" s="510"/>
      <c r="AC46" s="510"/>
      <c r="AD46" s="510"/>
      <c r="AE46" s="510"/>
      <c r="AF46" s="510"/>
      <c r="AG46" s="510"/>
      <c r="AJ46" s="89"/>
    </row>
    <row r="47" spans="2:36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O47" s="89"/>
      <c r="P47" s="229" t="s">
        <v>33</v>
      </c>
      <c r="Q47" s="340">
        <f>Q46*S46</f>
        <v>1792.846153846154</v>
      </c>
      <c r="R47" s="89"/>
      <c r="S47" s="89"/>
      <c r="T47" s="89"/>
      <c r="U47" s="89"/>
      <c r="V47" s="89"/>
      <c r="W47" s="89"/>
      <c r="X47" s="89"/>
      <c r="Y47" s="89"/>
      <c r="Z47" s="89"/>
      <c r="AA47" s="510"/>
      <c r="AB47" s="510"/>
      <c r="AC47" s="510"/>
      <c r="AD47" s="510"/>
      <c r="AE47" s="510"/>
      <c r="AF47" s="510"/>
      <c r="AG47" s="510"/>
      <c r="AJ47" s="89"/>
    </row>
    <row r="48" spans="2:36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510"/>
      <c r="AB48" s="510"/>
      <c r="AC48" s="510"/>
      <c r="AD48" s="510"/>
      <c r="AE48" s="510"/>
      <c r="AF48" s="510"/>
      <c r="AG48" s="510"/>
      <c r="AH48" s="89"/>
      <c r="AI48" s="89"/>
      <c r="AJ48" s="89"/>
    </row>
    <row r="49" spans="2:33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O49" s="254" t="s">
        <v>279</v>
      </c>
      <c r="P49" s="89" t="s">
        <v>691</v>
      </c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510"/>
      <c r="AB49" s="510"/>
      <c r="AC49" s="510"/>
      <c r="AD49" s="510"/>
      <c r="AE49" s="510"/>
      <c r="AF49" s="510"/>
      <c r="AG49" s="510"/>
    </row>
    <row r="50" spans="2:33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O50" s="89"/>
      <c r="P50" s="229" t="s">
        <v>33</v>
      </c>
      <c r="Q50" s="89" t="s">
        <v>690</v>
      </c>
      <c r="R50" s="89"/>
      <c r="S50" s="89"/>
      <c r="T50" s="229" t="s">
        <v>34</v>
      </c>
      <c r="U50" s="89" t="s">
        <v>688</v>
      </c>
      <c r="V50" s="89"/>
      <c r="W50" s="89"/>
      <c r="X50" s="89"/>
      <c r="Y50" s="89"/>
      <c r="Z50" s="89"/>
      <c r="AA50" s="510"/>
      <c r="AB50" s="510"/>
      <c r="AC50" s="510"/>
      <c r="AD50" s="510"/>
      <c r="AE50" s="510"/>
      <c r="AF50" s="510"/>
      <c r="AG50" s="510"/>
    </row>
    <row r="51" spans="2:33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O51" s="89"/>
      <c r="P51" s="229" t="s">
        <v>33</v>
      </c>
      <c r="Q51" s="340">
        <f>Q47</f>
        <v>1792.846153846154</v>
      </c>
      <c r="R51" s="89"/>
      <c r="S51" s="89"/>
      <c r="T51" s="229" t="s">
        <v>34</v>
      </c>
      <c r="U51" s="229">
        <f>E21</f>
        <v>1510</v>
      </c>
      <c r="V51" s="89"/>
      <c r="W51" s="89"/>
      <c r="X51" s="89"/>
      <c r="Y51" s="89"/>
      <c r="Z51" s="89"/>
      <c r="AA51" s="510"/>
      <c r="AB51" s="510"/>
      <c r="AC51" s="510"/>
      <c r="AD51" s="510"/>
      <c r="AE51" s="510"/>
      <c r="AF51" s="510"/>
      <c r="AG51" s="510"/>
    </row>
    <row r="52" spans="2:33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O52" s="89"/>
      <c r="P52" s="229" t="s">
        <v>33</v>
      </c>
      <c r="Q52" s="206">
        <f>Q51+U51</f>
        <v>3302.8461538461543</v>
      </c>
      <c r="R52" s="216" t="s">
        <v>283</v>
      </c>
      <c r="S52" s="89"/>
      <c r="T52" s="89"/>
      <c r="U52" s="89"/>
      <c r="V52" s="89"/>
      <c r="W52" s="89"/>
      <c r="X52" s="89"/>
      <c r="Y52" s="89"/>
      <c r="Z52" s="89"/>
      <c r="AA52" s="510"/>
      <c r="AB52" s="510"/>
      <c r="AC52" s="510"/>
      <c r="AD52" s="510"/>
      <c r="AE52" s="510"/>
      <c r="AF52" s="510"/>
      <c r="AG52" s="510"/>
    </row>
    <row r="53" spans="2:33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Y53" s="510"/>
      <c r="Z53" s="510"/>
      <c r="AA53" s="510"/>
      <c r="AB53" s="510"/>
      <c r="AC53" s="510"/>
      <c r="AD53" s="510"/>
      <c r="AE53" s="510"/>
      <c r="AF53" s="510"/>
      <c r="AG53" s="510"/>
    </row>
    <row r="54" spans="2:33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Y54" s="510"/>
      <c r="Z54" s="510"/>
      <c r="AA54" s="510"/>
      <c r="AB54" s="510"/>
      <c r="AC54" s="510"/>
      <c r="AD54" s="510"/>
      <c r="AE54" s="510"/>
      <c r="AF54" s="510"/>
      <c r="AG54" s="510"/>
    </row>
    <row r="55" spans="2:33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Y55" s="510"/>
      <c r="Z55" s="510"/>
      <c r="AA55" s="510"/>
      <c r="AB55" s="510"/>
      <c r="AC55" s="510"/>
      <c r="AD55" s="510"/>
      <c r="AE55" s="510"/>
      <c r="AF55" s="510"/>
      <c r="AG55" s="510"/>
    </row>
    <row r="56" spans="2:33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O56" s="510"/>
      <c r="P56" s="510"/>
      <c r="Q56" s="510"/>
      <c r="R56" s="510"/>
      <c r="S56" s="510"/>
      <c r="T56" s="510"/>
      <c r="U56" s="510"/>
      <c r="V56" s="510"/>
      <c r="W56" s="510"/>
      <c r="X56" s="510"/>
      <c r="Y56" s="510"/>
      <c r="Z56" s="510"/>
      <c r="AA56" s="510"/>
      <c r="AB56" s="510"/>
      <c r="AC56" s="510"/>
      <c r="AD56" s="510"/>
      <c r="AE56" s="510"/>
      <c r="AF56" s="510"/>
      <c r="AG56" s="510"/>
    </row>
    <row r="57" spans="2:33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O57" s="510"/>
      <c r="P57" s="510"/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0"/>
      <c r="AG57" s="510"/>
    </row>
    <row r="58" spans="2:33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O58" s="510"/>
      <c r="P58" s="510"/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  <c r="AF58" s="510"/>
      <c r="AG58" s="510"/>
    </row>
    <row r="59" spans="2:33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O59" s="510"/>
      <c r="P59" s="51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</row>
    <row r="60" spans="2:33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O60" s="510"/>
      <c r="P60" s="510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 s="510"/>
    </row>
    <row r="61" spans="2:33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</row>
    <row r="62" spans="2:33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O62" s="510"/>
      <c r="P62" s="510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  <c r="AF62" s="510"/>
      <c r="AG62" s="510"/>
    </row>
    <row r="63" spans="2:33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O63" s="510"/>
      <c r="P63" s="510"/>
      <c r="Q63" s="510"/>
      <c r="R63" s="510"/>
      <c r="S63" s="510"/>
      <c r="T63" s="510"/>
      <c r="U63" s="510"/>
      <c r="V63" s="510"/>
      <c r="W63" s="510"/>
      <c r="X63" s="510"/>
      <c r="Y63" s="510"/>
      <c r="Z63" s="510"/>
      <c r="AA63" s="510"/>
      <c r="AB63" s="510"/>
      <c r="AC63" s="510"/>
      <c r="AD63" s="510"/>
      <c r="AE63" s="510"/>
      <c r="AF63" s="510"/>
      <c r="AG63" s="510"/>
    </row>
    <row r="64" spans="2:33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O64" s="510"/>
      <c r="P64" s="510"/>
      <c r="Q64" s="510"/>
      <c r="R64" s="510"/>
      <c r="S64" s="510"/>
      <c r="T64" s="510"/>
      <c r="U64" s="510"/>
      <c r="V64" s="510"/>
      <c r="W64" s="510"/>
      <c r="X64" s="510"/>
      <c r="Y64" s="510"/>
      <c r="Z64" s="510"/>
      <c r="AA64" s="510"/>
      <c r="AB64" s="510"/>
      <c r="AC64" s="510"/>
      <c r="AD64" s="510"/>
      <c r="AE64" s="510"/>
      <c r="AF64" s="510"/>
      <c r="AG64" s="510"/>
    </row>
    <row r="65" spans="2:33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O65" s="510"/>
      <c r="P65" s="510"/>
      <c r="Q65" s="510"/>
      <c r="R65" s="510"/>
      <c r="S65" s="510"/>
      <c r="T65" s="510"/>
      <c r="U65" s="510"/>
      <c r="V65" s="510"/>
      <c r="W65" s="510"/>
      <c r="X65" s="510"/>
      <c r="Y65" s="510"/>
      <c r="Z65" s="510"/>
      <c r="AA65" s="510"/>
      <c r="AB65" s="510"/>
      <c r="AC65" s="510"/>
      <c r="AD65" s="510"/>
      <c r="AE65" s="510"/>
      <c r="AF65" s="510"/>
      <c r="AG65" s="510"/>
    </row>
    <row r="66" spans="2:33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O66" s="510"/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510"/>
      <c r="AG66" s="510"/>
    </row>
    <row r="67" spans="2:33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O67" s="510"/>
      <c r="P67" s="510"/>
      <c r="Q67" s="510"/>
      <c r="R67" s="510"/>
      <c r="S67" s="510"/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</row>
    <row r="68" spans="2:33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O68" s="510"/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  <c r="AF68" s="510"/>
      <c r="AG68" s="510"/>
    </row>
    <row r="69" spans="2:33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510"/>
      <c r="AG69" s="510"/>
    </row>
    <row r="70" spans="2:33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O70" s="510"/>
      <c r="P70" s="510"/>
      <c r="Q70" s="510"/>
      <c r="R70" s="510"/>
      <c r="S70" s="510"/>
      <c r="T70" s="510"/>
      <c r="U70" s="510"/>
      <c r="V70" s="510"/>
      <c r="W70" s="510"/>
      <c r="X70" s="510"/>
      <c r="Y70" s="510"/>
      <c r="Z70" s="510"/>
      <c r="AA70" s="510"/>
      <c r="AB70" s="510"/>
      <c r="AC70" s="510"/>
      <c r="AD70" s="510"/>
      <c r="AE70" s="510"/>
      <c r="AF70" s="510"/>
      <c r="AG70" s="510"/>
    </row>
    <row r="71" spans="2:33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O71" s="510"/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510"/>
      <c r="AB71" s="510"/>
      <c r="AC71" s="510"/>
      <c r="AD71" s="510"/>
      <c r="AE71" s="510"/>
      <c r="AF71" s="510"/>
      <c r="AG71" s="510"/>
    </row>
    <row r="72" spans="2:33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O72" s="510"/>
      <c r="P72" s="510"/>
      <c r="Q72" s="510"/>
      <c r="R72" s="510"/>
      <c r="S72" s="510"/>
      <c r="T72" s="510"/>
      <c r="U72" s="510"/>
      <c r="V72" s="510"/>
      <c r="W72" s="510"/>
      <c r="X72" s="510"/>
      <c r="Y72" s="510"/>
      <c r="Z72" s="510"/>
      <c r="AA72" s="510"/>
      <c r="AB72" s="510"/>
      <c r="AC72" s="510"/>
      <c r="AD72" s="510"/>
      <c r="AE72" s="510"/>
      <c r="AF72" s="510"/>
      <c r="AG72" s="510"/>
    </row>
    <row r="73" spans="2:33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2:33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2:33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2:33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2:33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2:33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spans="2:33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2:33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2:13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2:13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2:13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2:13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2:13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2:13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spans="2:13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2:13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</row>
    <row r="89" spans="2:13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spans="2:13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2:13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spans="2:13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spans="2:13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  <row r="94" spans="2:13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spans="2:13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spans="2:13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spans="2:13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spans="2:13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</row>
    <row r="99" spans="2:13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</row>
    <row r="100" spans="2:13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2:13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</row>
  </sheetData>
  <mergeCells count="1">
    <mergeCell ref="K1:L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K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0" width="11.140625" style="21" customWidth="1"/>
    <col min="11" max="16384" width="9.140625" style="21"/>
  </cols>
  <sheetData>
    <row r="1" spans="1:29">
      <c r="A1" s="7">
        <v>23</v>
      </c>
      <c r="B1" s="26" t="s">
        <v>12</v>
      </c>
      <c r="C1" s="20"/>
      <c r="D1" s="20"/>
      <c r="E1" s="20"/>
      <c r="F1" s="20"/>
      <c r="G1" s="20"/>
      <c r="H1" s="20"/>
      <c r="I1" s="1028" t="s">
        <v>24</v>
      </c>
      <c r="J1" s="1029"/>
      <c r="L1" s="1" t="s">
        <v>32</v>
      </c>
      <c r="M1" s="46" t="str">
        <f>VLOOKUP(A1,'Point Grid'!$L$8:$T$54,9,FALSE)</f>
        <v>Reserving - Chap 10: Cape Cod Method</v>
      </c>
      <c r="N1"/>
      <c r="O1"/>
      <c r="P1"/>
      <c r="Q1"/>
      <c r="R1"/>
      <c r="S1"/>
      <c r="T1"/>
      <c r="U1"/>
      <c r="V1"/>
    </row>
    <row r="2" spans="1:29">
      <c r="A2" s="22"/>
      <c r="B2" s="19"/>
      <c r="C2" s="19"/>
      <c r="D2" s="19"/>
      <c r="E2" s="19"/>
      <c r="F2" s="19"/>
      <c r="G2" s="19"/>
      <c r="H2" s="19"/>
      <c r="I2" s="19"/>
      <c r="J2" s="23"/>
      <c r="L2" s="1"/>
      <c r="M2"/>
      <c r="N2"/>
      <c r="O2"/>
      <c r="P2"/>
      <c r="Q2"/>
      <c r="R2"/>
      <c r="S2"/>
      <c r="T2"/>
      <c r="U2"/>
      <c r="V2"/>
    </row>
    <row r="3" spans="1:29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 s="30"/>
      <c r="L3" s="41" t="s">
        <v>2</v>
      </c>
      <c r="M3" t="s">
        <v>698</v>
      </c>
      <c r="N3"/>
      <c r="O3"/>
      <c r="P3"/>
      <c r="Q3"/>
      <c r="R3"/>
      <c r="S3"/>
      <c r="T3"/>
      <c r="U3"/>
      <c r="V3"/>
    </row>
    <row r="4" spans="1:29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8"/>
      <c r="K4" s="30"/>
      <c r="L4" s="41"/>
      <c r="M4" s="522" t="s">
        <v>700</v>
      </c>
      <c r="N4"/>
      <c r="O4"/>
      <c r="P4"/>
      <c r="Q4"/>
      <c r="R4"/>
      <c r="S4"/>
      <c r="T4"/>
      <c r="U4"/>
      <c r="V4"/>
    </row>
    <row r="5" spans="1:29">
      <c r="A5" s="16"/>
      <c r="B5" s="17"/>
      <c r="C5" s="17"/>
      <c r="D5" s="17"/>
      <c r="E5" s="17"/>
      <c r="F5" s="17"/>
      <c r="G5" s="17"/>
      <c r="H5" s="17"/>
      <c r="I5" s="17"/>
      <c r="J5" s="18"/>
      <c r="K5" s="30"/>
      <c r="L5" s="41"/>
      <c r="M5" s="522" t="s">
        <v>704</v>
      </c>
      <c r="N5"/>
      <c r="O5"/>
      <c r="P5"/>
      <c r="Q5"/>
      <c r="R5"/>
      <c r="S5"/>
      <c r="T5"/>
      <c r="U5"/>
      <c r="V5"/>
    </row>
    <row r="6" spans="1:29" ht="15" customHeight="1">
      <c r="A6" s="25" t="s">
        <v>2</v>
      </c>
      <c r="B6" s="17" t="s">
        <v>702</v>
      </c>
      <c r="C6" s="17"/>
      <c r="D6" s="17"/>
      <c r="E6" s="17"/>
      <c r="F6" s="17"/>
      <c r="G6" s="17"/>
      <c r="H6" s="17"/>
      <c r="I6" s="17"/>
      <c r="J6" s="18"/>
      <c r="K6" s="30"/>
      <c r="L6" s="41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</row>
    <row r="7" spans="1:29" ht="15" customHeight="1" thickBot="1">
      <c r="A7" s="9">
        <f>INDEX('Point Grid'!$C$8:$I$54,MATCH($A$1,'Point Grid'!$A$8:$A$54,0),MATCH(A6,'Point Grid'!$C$7:$I$7,0))</f>
        <v>0.5</v>
      </c>
      <c r="B7" s="17" t="s">
        <v>699</v>
      </c>
      <c r="C7" s="17"/>
      <c r="D7" s="17"/>
      <c r="E7" s="17"/>
      <c r="F7" s="17"/>
      <c r="G7" s="17"/>
      <c r="H7" s="17"/>
      <c r="I7" s="17"/>
      <c r="J7" s="18"/>
      <c r="K7" s="30"/>
      <c r="L7" s="41" t="s">
        <v>3</v>
      </c>
      <c r="M7" s="730" t="s">
        <v>635</v>
      </c>
      <c r="N7" s="731" t="s">
        <v>701</v>
      </c>
      <c r="O7" s="732"/>
      <c r="P7" s="732"/>
      <c r="Q7" s="732"/>
      <c r="R7" s="732"/>
      <c r="S7" s="732"/>
      <c r="T7" s="732"/>
      <c r="U7" s="732"/>
      <c r="V7" s="733"/>
      <c r="Z7" s="522"/>
      <c r="AA7" s="522"/>
      <c r="AB7" s="522"/>
      <c r="AC7" s="522"/>
    </row>
    <row r="8" spans="1:29" ht="15.75" thickBot="1">
      <c r="A8" s="5"/>
      <c r="B8" s="17" t="s">
        <v>703</v>
      </c>
      <c r="C8" s="27"/>
      <c r="D8" s="27"/>
      <c r="E8" s="27"/>
      <c r="F8" s="27"/>
      <c r="G8" s="27"/>
      <c r="H8" s="27"/>
      <c r="I8" s="27"/>
      <c r="J8" s="18"/>
      <c r="K8" s="30"/>
      <c r="L8"/>
      <c r="Z8" s="522"/>
      <c r="AA8" s="522"/>
      <c r="AB8" s="522"/>
      <c r="AC8" s="522"/>
    </row>
    <row r="9" spans="1:29">
      <c r="A9" s="25"/>
      <c r="B9" s="17"/>
      <c r="C9" s="17"/>
      <c r="D9" s="17"/>
      <c r="E9" s="17"/>
      <c r="F9" s="17"/>
      <c r="G9" s="17"/>
      <c r="H9" s="17"/>
      <c r="I9" s="17"/>
      <c r="J9" s="18"/>
      <c r="K9" s="30"/>
      <c r="L9" s="41"/>
      <c r="M9" s="319" t="s">
        <v>119</v>
      </c>
      <c r="N9" s="260" t="s">
        <v>265</v>
      </c>
      <c r="O9" s="89"/>
      <c r="P9" s="89"/>
      <c r="Q9" s="89"/>
      <c r="R9" s="89"/>
      <c r="S9" s="89"/>
      <c r="T9" s="89"/>
      <c r="U9" s="89"/>
      <c r="V9" s="89"/>
      <c r="W9" s="89"/>
      <c r="X9" s="89"/>
      <c r="Z9" s="522"/>
      <c r="AA9" s="522"/>
      <c r="AB9" s="522"/>
      <c r="AC9" s="522"/>
    </row>
    <row r="10" spans="1:29">
      <c r="A10" s="25" t="s">
        <v>3</v>
      </c>
      <c r="B10" s="181" t="s">
        <v>256</v>
      </c>
      <c r="C10" s="181"/>
      <c r="D10" s="246" t="s">
        <v>250</v>
      </c>
      <c r="E10" s="231" t="s">
        <v>257</v>
      </c>
      <c r="F10" s="714">
        <v>2024</v>
      </c>
      <c r="G10" s="181" t="s">
        <v>269</v>
      </c>
      <c r="H10" s="181"/>
      <c r="I10" s="181"/>
      <c r="J10" s="18"/>
      <c r="K10" s="30"/>
      <c r="L10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Z10" s="522"/>
      <c r="AA10" s="522"/>
      <c r="AB10" s="522"/>
      <c r="AC10" s="522"/>
    </row>
    <row r="11" spans="1:29" ht="15.75" thickBot="1">
      <c r="A11" s="9">
        <f>INDEX('Point Grid'!$C$8:$I$54,MATCH($A$1,'Point Grid'!$A$8:$A$54,0),MATCH(A10,'Point Grid'!$C$7:$I$7,0))</f>
        <v>1.5</v>
      </c>
      <c r="B11" s="181"/>
      <c r="C11" s="181"/>
      <c r="D11" s="181"/>
      <c r="E11" s="181"/>
      <c r="F11" s="181"/>
      <c r="G11" s="181"/>
      <c r="H11" s="181"/>
      <c r="I11" s="181"/>
      <c r="J11" s="18"/>
      <c r="K11" s="30"/>
      <c r="L11"/>
      <c r="M11" s="89"/>
      <c r="N11" s="329" t="s">
        <v>83</v>
      </c>
      <c r="O11" s="271" t="s">
        <v>266</v>
      </c>
      <c r="P11" s="271" t="s">
        <v>150</v>
      </c>
      <c r="Q11" s="271" t="s">
        <v>267</v>
      </c>
      <c r="R11" s="271" t="s">
        <v>33</v>
      </c>
      <c r="S11" s="270" t="s">
        <v>268</v>
      </c>
      <c r="T11" s="270"/>
      <c r="U11" s="270"/>
      <c r="V11" s="89"/>
      <c r="W11" s="89"/>
      <c r="X11" s="89"/>
      <c r="Z11" s="522"/>
      <c r="AA11" s="522"/>
      <c r="AB11" s="522"/>
      <c r="AC11" s="522"/>
    </row>
    <row r="12" spans="1:29" ht="15.75" thickBot="1">
      <c r="A12" s="5"/>
      <c r="B12" s="181"/>
      <c r="C12" s="181"/>
      <c r="D12" s="181"/>
      <c r="E12" s="181"/>
      <c r="F12" s="181"/>
      <c r="G12" s="181"/>
      <c r="H12" s="181"/>
      <c r="I12" s="181"/>
      <c r="J12" s="18"/>
      <c r="K12" s="30"/>
      <c r="L12"/>
      <c r="M12" s="89"/>
      <c r="N12" s="330">
        <v>2023</v>
      </c>
      <c r="O12" s="229">
        <f>C16</f>
        <v>5900</v>
      </c>
      <c r="P12" s="229" t="s">
        <v>150</v>
      </c>
      <c r="Q12" s="331">
        <f>E16</f>
        <v>1.065024</v>
      </c>
      <c r="R12" s="229" t="s">
        <v>33</v>
      </c>
      <c r="S12" s="89">
        <f>O12*Q12</f>
        <v>6283.6415999999999</v>
      </c>
      <c r="T12" s="89"/>
      <c r="U12" s="89"/>
      <c r="V12" s="89"/>
      <c r="W12" s="89"/>
      <c r="X12" s="89"/>
      <c r="Z12" s="522"/>
      <c r="AA12" s="522"/>
      <c r="AB12" s="522"/>
      <c r="AC12" s="522"/>
    </row>
    <row r="13" spans="1:29">
      <c r="A13" s="25"/>
      <c r="B13" s="342"/>
      <c r="C13" s="343"/>
      <c r="D13" s="343"/>
      <c r="E13" s="326" t="s">
        <v>141</v>
      </c>
      <c r="F13" s="231"/>
      <c r="G13" s="231"/>
      <c r="H13" s="231"/>
      <c r="I13" s="181"/>
      <c r="J13" s="18"/>
      <c r="K13" s="30"/>
      <c r="L13" s="41"/>
      <c r="M13" s="89"/>
      <c r="N13" s="330">
        <f>N12+1</f>
        <v>2024</v>
      </c>
      <c r="O13" s="229">
        <f>C17</f>
        <v>3700</v>
      </c>
      <c r="P13" s="229" t="s">
        <v>150</v>
      </c>
      <c r="Q13" s="331">
        <f>E17</f>
        <v>1.032</v>
      </c>
      <c r="R13" s="229" t="s">
        <v>33</v>
      </c>
      <c r="S13" s="89">
        <f>O13*Q13</f>
        <v>3818.4</v>
      </c>
      <c r="T13" s="89"/>
      <c r="U13" s="89"/>
      <c r="V13" s="89"/>
      <c r="W13" s="89"/>
      <c r="X13" s="89"/>
      <c r="Z13" s="522"/>
      <c r="AA13" s="522"/>
      <c r="AB13" s="522"/>
      <c r="AC13" s="522"/>
    </row>
    <row r="14" spans="1:29">
      <c r="A14" s="25"/>
      <c r="B14" s="344"/>
      <c r="C14" s="345"/>
      <c r="D14" s="345"/>
      <c r="E14" s="346" t="s">
        <v>143</v>
      </c>
      <c r="F14" s="347"/>
      <c r="G14" s="347"/>
      <c r="H14" s="347"/>
      <c r="I14" s="181"/>
      <c r="J14" s="18"/>
      <c r="K14" s="30"/>
      <c r="L14"/>
      <c r="M14" s="89"/>
      <c r="N14" s="330">
        <f>N13+1</f>
        <v>2025</v>
      </c>
      <c r="O14" s="229">
        <f>C18</f>
        <v>2100</v>
      </c>
      <c r="P14" s="229" t="s">
        <v>150</v>
      </c>
      <c r="Q14" s="331">
        <f>E18</f>
        <v>1</v>
      </c>
      <c r="R14" s="229" t="s">
        <v>33</v>
      </c>
      <c r="S14" s="89">
        <f>O14*Q14</f>
        <v>2100</v>
      </c>
      <c r="T14" s="89"/>
      <c r="U14" s="89"/>
      <c r="V14" s="89"/>
      <c r="W14" s="89"/>
      <c r="X14" s="89"/>
      <c r="Z14" s="522"/>
      <c r="AA14" s="522"/>
      <c r="AB14" s="522"/>
      <c r="AC14" s="522"/>
    </row>
    <row r="15" spans="1:29">
      <c r="A15" s="25"/>
      <c r="B15" s="348" t="s">
        <v>83</v>
      </c>
      <c r="C15" s="349" t="s">
        <v>266</v>
      </c>
      <c r="D15" s="349" t="s">
        <v>270</v>
      </c>
      <c r="E15" s="350" t="s">
        <v>271</v>
      </c>
      <c r="F15" s="231"/>
      <c r="G15" s="272" t="s">
        <v>219</v>
      </c>
      <c r="H15" s="351" t="s">
        <v>255</v>
      </c>
      <c r="I15" s="181"/>
      <c r="J15" s="18"/>
      <c r="K15" s="30"/>
      <c r="L15"/>
      <c r="M15" s="89"/>
      <c r="N15" s="332"/>
      <c r="O15" s="333"/>
      <c r="P15" s="333"/>
      <c r="Q15" s="333"/>
      <c r="R15" s="333"/>
      <c r="S15" s="334">
        <f>SUM(S12:S14)</f>
        <v>12202.0416</v>
      </c>
      <c r="T15" s="333"/>
      <c r="U15" s="333"/>
      <c r="V15" s="89"/>
      <c r="W15" s="89"/>
      <c r="X15" s="89"/>
      <c r="Z15" s="522"/>
      <c r="AA15" s="522"/>
      <c r="AB15" s="522"/>
      <c r="AC15" s="522"/>
    </row>
    <row r="16" spans="1:29">
      <c r="A16" s="25"/>
      <c r="B16" s="352">
        <v>2023</v>
      </c>
      <c r="C16" s="353">
        <v>5900</v>
      </c>
      <c r="D16" s="354">
        <v>2</v>
      </c>
      <c r="E16" s="355">
        <v>1.065024</v>
      </c>
      <c r="F16" s="181"/>
      <c r="G16" s="352">
        <v>2023</v>
      </c>
      <c r="H16" s="356">
        <v>15340</v>
      </c>
      <c r="I16" s="181"/>
      <c r="J16" s="18"/>
      <c r="K16" s="30"/>
      <c r="L16" s="41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Z16" s="522"/>
      <c r="AA16" s="522"/>
      <c r="AB16" s="522"/>
      <c r="AC16" s="522"/>
    </row>
    <row r="17" spans="1:37">
      <c r="A17" s="25"/>
      <c r="B17" s="352">
        <v>2024</v>
      </c>
      <c r="C17" s="353">
        <v>3700</v>
      </c>
      <c r="D17" s="354">
        <v>4.3</v>
      </c>
      <c r="E17" s="355">
        <v>1.032</v>
      </c>
      <c r="F17" s="181"/>
      <c r="G17" s="352">
        <v>2024</v>
      </c>
      <c r="H17" s="356">
        <v>18500</v>
      </c>
      <c r="I17" s="181"/>
      <c r="J17" s="18"/>
      <c r="K17" s="30"/>
      <c r="L17"/>
      <c r="M17" s="319" t="s">
        <v>120</v>
      </c>
      <c r="N17" s="510" t="s">
        <v>272</v>
      </c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Z17" s="522"/>
      <c r="AA17" s="522"/>
      <c r="AB17" s="522"/>
      <c r="AC17" s="522"/>
    </row>
    <row r="18" spans="1:37" ht="15" customHeight="1">
      <c r="A18" s="25"/>
      <c r="B18" s="357">
        <v>2025</v>
      </c>
      <c r="C18" s="349">
        <v>2100</v>
      </c>
      <c r="D18" s="358">
        <v>5.9</v>
      </c>
      <c r="E18" s="359">
        <v>1</v>
      </c>
      <c r="F18" s="181"/>
      <c r="G18" s="357">
        <v>2025</v>
      </c>
      <c r="H18" s="350">
        <v>14700</v>
      </c>
      <c r="I18" s="181"/>
      <c r="J18" s="18"/>
      <c r="K18" s="30"/>
      <c r="L18" s="41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Z18" s="522"/>
      <c r="AA18" s="522"/>
      <c r="AB18" s="522"/>
      <c r="AC18" s="522"/>
      <c r="AK18" s="89"/>
    </row>
    <row r="19" spans="1:37" ht="15" customHeight="1">
      <c r="A19" s="25"/>
      <c r="B19" s="181"/>
      <c r="C19" s="181"/>
      <c r="D19" s="181"/>
      <c r="E19" s="181"/>
      <c r="F19" s="181"/>
      <c r="G19" s="181"/>
      <c r="H19" s="181"/>
      <c r="I19" s="181"/>
      <c r="J19" s="18"/>
      <c r="K19" s="30"/>
      <c r="L19"/>
      <c r="M19" s="89"/>
      <c r="N19" s="335" t="s">
        <v>273</v>
      </c>
      <c r="O19" s="271" t="s">
        <v>255</v>
      </c>
      <c r="P19" s="336" t="s">
        <v>35</v>
      </c>
      <c r="Q19" s="271" t="s">
        <v>270</v>
      </c>
      <c r="R19" s="271" t="s">
        <v>33</v>
      </c>
      <c r="S19" s="271" t="s">
        <v>274</v>
      </c>
      <c r="T19" s="89"/>
      <c r="U19" s="89"/>
      <c r="V19" s="89"/>
      <c r="W19" s="89"/>
      <c r="X19" s="89"/>
      <c r="Z19" s="522"/>
      <c r="AA19" s="522"/>
      <c r="AB19" s="522"/>
      <c r="AC19" s="522"/>
      <c r="AK19" s="89"/>
    </row>
    <row r="20" spans="1:37" ht="15" customHeight="1">
      <c r="A20" s="25"/>
      <c r="B20" s="361" t="s">
        <v>275</v>
      </c>
      <c r="C20" s="196"/>
      <c r="D20" s="181"/>
      <c r="E20" s="181"/>
      <c r="F20" s="181"/>
      <c r="G20" s="181"/>
      <c r="H20" s="181"/>
      <c r="I20" s="181"/>
      <c r="J20" s="18"/>
      <c r="K20" s="30"/>
      <c r="L20"/>
      <c r="M20" s="89"/>
      <c r="N20" s="330">
        <f>B16</f>
        <v>2023</v>
      </c>
      <c r="O20" s="229">
        <f>H16</f>
        <v>15340</v>
      </c>
      <c r="P20" s="269" t="s">
        <v>35</v>
      </c>
      <c r="Q20" s="320">
        <f>D16</f>
        <v>2</v>
      </c>
      <c r="R20" s="229" t="s">
        <v>33</v>
      </c>
      <c r="S20" s="229">
        <f>O20/Q20</f>
        <v>7670</v>
      </c>
      <c r="T20" s="89"/>
      <c r="U20" s="89"/>
      <c r="V20" s="89"/>
      <c r="W20" s="89"/>
      <c r="X20" s="89"/>
      <c r="Z20" s="522"/>
      <c r="AA20" s="522"/>
      <c r="AB20" s="522"/>
      <c r="AC20" s="522"/>
      <c r="AK20" s="89"/>
    </row>
    <row r="21" spans="1:37" ht="15" customHeight="1">
      <c r="A21" s="25"/>
      <c r="B21" s="361" t="s">
        <v>276</v>
      </c>
      <c r="C21" s="196"/>
      <c r="D21" s="181"/>
      <c r="E21" s="181"/>
      <c r="F21" s="181"/>
      <c r="G21" s="181"/>
      <c r="H21" s="181"/>
      <c r="I21" s="181"/>
      <c r="J21" s="18"/>
      <c r="K21" s="30"/>
      <c r="L21"/>
      <c r="M21" s="89"/>
      <c r="N21" s="330">
        <f>B17</f>
        <v>2024</v>
      </c>
      <c r="O21" s="229">
        <f>H17</f>
        <v>18500</v>
      </c>
      <c r="P21" s="269" t="s">
        <v>35</v>
      </c>
      <c r="Q21" s="320">
        <f>D17</f>
        <v>4.3</v>
      </c>
      <c r="R21" s="229" t="s">
        <v>33</v>
      </c>
      <c r="S21" s="229">
        <f>O21/Q21</f>
        <v>4302.3255813953492</v>
      </c>
      <c r="T21" s="89"/>
      <c r="U21" s="89"/>
      <c r="V21" s="89"/>
      <c r="W21" s="89"/>
      <c r="X21" s="89"/>
      <c r="Z21" s="522"/>
      <c r="AA21" s="522"/>
      <c r="AB21" s="522"/>
      <c r="AC21" s="522"/>
      <c r="AK21" s="89"/>
    </row>
    <row r="22" spans="1:37" ht="15" customHeight="1">
      <c r="A22" s="22"/>
      <c r="B22" s="17"/>
      <c r="C22" s="17"/>
      <c r="D22" s="17"/>
      <c r="E22" s="17"/>
      <c r="F22" s="17"/>
      <c r="G22" s="17"/>
      <c r="H22" s="17"/>
      <c r="I22" s="17"/>
      <c r="J22" s="18"/>
      <c r="K22" s="30"/>
      <c r="L22"/>
      <c r="M22" s="89"/>
      <c r="N22" s="330">
        <f>B18</f>
        <v>2025</v>
      </c>
      <c r="O22" s="229">
        <f>H18</f>
        <v>14700</v>
      </c>
      <c r="P22" s="269" t="s">
        <v>35</v>
      </c>
      <c r="Q22" s="320">
        <f>D18</f>
        <v>5.9</v>
      </c>
      <c r="R22" s="229" t="s">
        <v>33</v>
      </c>
      <c r="S22" s="229">
        <f>O22/Q22</f>
        <v>2491.5254237288136</v>
      </c>
      <c r="T22" s="89"/>
      <c r="U22" s="89"/>
      <c r="V22" s="89"/>
      <c r="W22" s="89"/>
      <c r="X22" s="89"/>
      <c r="Z22" s="522"/>
      <c r="AA22" s="522"/>
      <c r="AB22" s="522"/>
      <c r="AC22" s="522"/>
      <c r="AK22" s="89"/>
    </row>
    <row r="23" spans="1:37" ht="15" customHeight="1" thickBot="1">
      <c r="A23" s="24"/>
      <c r="B23" s="31"/>
      <c r="C23" s="31"/>
      <c r="D23" s="31"/>
      <c r="E23" s="31"/>
      <c r="F23" s="31"/>
      <c r="G23" s="31"/>
      <c r="H23" s="31"/>
      <c r="I23" s="31"/>
      <c r="J23" s="32"/>
      <c r="K23" s="30"/>
      <c r="L23"/>
      <c r="M23" s="89"/>
      <c r="N23" s="332"/>
      <c r="O23" s="333"/>
      <c r="P23" s="333"/>
      <c r="Q23" s="333"/>
      <c r="R23" s="333"/>
      <c r="S23" s="337">
        <f>SUM(S20:S22)</f>
        <v>14463.851005124163</v>
      </c>
      <c r="T23" s="89"/>
      <c r="U23" s="89"/>
      <c r="V23" s="89"/>
      <c r="W23" s="89"/>
      <c r="X23" s="89"/>
      <c r="Z23" s="522"/>
      <c r="AA23" s="522"/>
      <c r="AB23" s="522"/>
      <c r="AC23" s="522"/>
      <c r="AK23" s="89"/>
    </row>
    <row r="24" spans="1:37" ht="15" customHeight="1">
      <c r="B24" s="30"/>
      <c r="C24" s="30"/>
      <c r="D24" s="30"/>
      <c r="E24" s="30"/>
      <c r="F24" s="30"/>
      <c r="G24" s="30"/>
      <c r="H24" s="30"/>
      <c r="I24" s="30"/>
      <c r="J24" s="30"/>
      <c r="K24" s="30"/>
      <c r="L24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Z24" s="522"/>
      <c r="AA24" s="522"/>
      <c r="AB24" s="522"/>
      <c r="AC24" s="522"/>
      <c r="AK24" s="89"/>
    </row>
    <row r="25" spans="1:37" ht="15" customHeight="1">
      <c r="K25" s="30"/>
      <c r="L25"/>
      <c r="M25" s="254" t="s">
        <v>152</v>
      </c>
      <c r="N25" s="89" t="s">
        <v>277</v>
      </c>
      <c r="O25" s="89"/>
      <c r="P25" s="89"/>
      <c r="Q25" s="89"/>
      <c r="R25" s="338">
        <f>F10</f>
        <v>2024</v>
      </c>
      <c r="S25" s="178" t="s">
        <v>278</v>
      </c>
      <c r="T25" s="89"/>
      <c r="U25" s="89"/>
      <c r="V25" s="89"/>
      <c r="W25" s="89"/>
      <c r="X25" s="89"/>
      <c r="Z25" s="522"/>
      <c r="AA25" s="522"/>
      <c r="AB25" s="522"/>
      <c r="AC25" s="522"/>
      <c r="AK25" s="89"/>
    </row>
    <row r="26" spans="1:37" ht="15" customHeight="1">
      <c r="K26" s="30"/>
      <c r="L26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Z26" s="522"/>
      <c r="AA26" s="522"/>
      <c r="AB26" s="522"/>
      <c r="AC26" s="522"/>
      <c r="AK26"/>
    </row>
    <row r="27" spans="1:37" ht="15" customHeight="1">
      <c r="K27" s="30"/>
      <c r="L27"/>
      <c r="M27" s="89"/>
      <c r="N27" s="229" t="s">
        <v>254</v>
      </c>
      <c r="O27" s="229" t="s">
        <v>33</v>
      </c>
      <c r="P27" s="229" t="s">
        <v>119</v>
      </c>
      <c r="Q27" s="269" t="s">
        <v>35</v>
      </c>
      <c r="R27" s="229" t="s">
        <v>120</v>
      </c>
      <c r="S27" s="269" t="s">
        <v>35</v>
      </c>
      <c r="T27" s="89" t="str">
        <f>"(PP trend for AY " &amp;R25 &amp; ")"</f>
        <v>(PP trend for AY 2024)</v>
      </c>
      <c r="U27" s="89"/>
      <c r="V27" s="89"/>
      <c r="W27" s="89"/>
      <c r="X27" s="89"/>
      <c r="Z27" s="522"/>
      <c r="AA27" s="522"/>
      <c r="AB27" s="522"/>
      <c r="AC27" s="522"/>
      <c r="AK27" s="89"/>
    </row>
    <row r="28" spans="1:37" ht="15" customHeight="1">
      <c r="K28" s="30"/>
      <c r="L28"/>
      <c r="M28" s="89"/>
      <c r="N28" s="89"/>
      <c r="O28" s="229" t="s">
        <v>33</v>
      </c>
      <c r="P28" s="339">
        <f>S15</f>
        <v>12202.0416</v>
      </c>
      <c r="Q28" s="269" t="s">
        <v>35</v>
      </c>
      <c r="R28" s="340">
        <f>S23</f>
        <v>14463.851005124163</v>
      </c>
      <c r="S28" s="269" t="s">
        <v>35</v>
      </c>
      <c r="T28" s="331">
        <f>VLOOKUP(R25,B16:E18,4,FALSE)</f>
        <v>1.032</v>
      </c>
      <c r="U28" s="89"/>
      <c r="V28" s="89"/>
      <c r="W28" s="89"/>
      <c r="X28" s="89"/>
      <c r="Z28" s="522"/>
      <c r="AA28" s="522"/>
      <c r="AB28" s="522"/>
      <c r="AC28" s="522"/>
      <c r="AK28" s="89"/>
    </row>
    <row r="29" spans="1:37" ht="15" customHeight="1">
      <c r="K29" s="30"/>
      <c r="L29"/>
      <c r="M29" s="89"/>
      <c r="N29" s="89"/>
      <c r="O29" s="229" t="s">
        <v>33</v>
      </c>
      <c r="P29" s="341">
        <f>P28/R28/T28</f>
        <v>0.81746443023655402</v>
      </c>
      <c r="Q29" s="89"/>
      <c r="R29" s="89"/>
      <c r="S29" s="89"/>
      <c r="T29" s="89"/>
      <c r="U29" s="89"/>
      <c r="V29" s="89"/>
      <c r="W29" s="89"/>
      <c r="X29" s="89"/>
      <c r="Z29" s="522"/>
      <c r="AA29" s="522"/>
      <c r="AB29" s="522"/>
      <c r="AC29" s="522"/>
      <c r="AK29" s="89"/>
    </row>
    <row r="30" spans="1:37" ht="15" customHeight="1">
      <c r="K30" s="30"/>
      <c r="L30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Z30" s="522"/>
      <c r="AA30" s="522"/>
      <c r="AB30" s="522"/>
      <c r="AC30" s="522"/>
      <c r="AK30" s="89"/>
    </row>
    <row r="31" spans="1:37" ht="15" customHeight="1">
      <c r="K31" s="30"/>
      <c r="L31"/>
      <c r="M31" s="254" t="s">
        <v>279</v>
      </c>
      <c r="N31" s="45" t="s">
        <v>280</v>
      </c>
      <c r="O31" s="45"/>
      <c r="P31" s="45"/>
      <c r="Q31" s="45"/>
      <c r="R31" s="338">
        <f>F10</f>
        <v>2024</v>
      </c>
      <c r="S31" s="45"/>
      <c r="T31" s="45"/>
      <c r="U31" s="45"/>
      <c r="V31" s="45"/>
      <c r="W31" s="89"/>
      <c r="X31" s="89"/>
      <c r="Z31" s="522"/>
      <c r="AA31" s="522"/>
      <c r="AB31" s="522"/>
      <c r="AC31" s="522"/>
      <c r="AK31" s="89"/>
    </row>
    <row r="32" spans="1:37" ht="15" customHeight="1">
      <c r="K32" s="30"/>
      <c r="L32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Z32" s="522"/>
      <c r="AA32" s="522"/>
      <c r="AB32" s="522"/>
      <c r="AC32" s="522"/>
      <c r="AK32" s="89"/>
    </row>
    <row r="33" spans="2:37" ht="15" customHeight="1">
      <c r="K33" s="30"/>
      <c r="L33" s="41"/>
      <c r="M33" s="89"/>
      <c r="N33" s="229" t="s">
        <v>250</v>
      </c>
      <c r="O33" s="229" t="s">
        <v>33</v>
      </c>
      <c r="P33" s="229" t="s">
        <v>266</v>
      </c>
      <c r="Q33" s="229" t="s">
        <v>34</v>
      </c>
      <c r="R33" s="229" t="s">
        <v>281</v>
      </c>
      <c r="S33" s="318" t="s">
        <v>282</v>
      </c>
      <c r="T33" s="229" t="s">
        <v>150</v>
      </c>
      <c r="U33" s="229" t="s">
        <v>254</v>
      </c>
      <c r="V33" s="229" t="s">
        <v>150</v>
      </c>
      <c r="W33" s="229" t="s">
        <v>255</v>
      </c>
      <c r="X33" s="89"/>
      <c r="Z33" s="522"/>
      <c r="AA33" s="522"/>
      <c r="AB33" s="522"/>
      <c r="AC33" s="522"/>
      <c r="AK33" s="89"/>
    </row>
    <row r="34" spans="2:37" ht="15" customHeight="1">
      <c r="K34" s="30"/>
      <c r="L34"/>
      <c r="M34" s="89"/>
      <c r="N34" s="89"/>
      <c r="O34" s="229" t="s">
        <v>33</v>
      </c>
      <c r="P34" s="229">
        <f>VLOOKUP(R31,B16:H18,2,FALSE)</f>
        <v>3700</v>
      </c>
      <c r="Q34" s="229" t="s">
        <v>34</v>
      </c>
      <c r="R34" s="229" t="s">
        <v>281</v>
      </c>
      <c r="S34" s="318" t="str">
        <f>VLOOKUP(R31,B16:H18,3,FALSE) &amp;" )"</f>
        <v>4.3 )</v>
      </c>
      <c r="T34" s="229" t="s">
        <v>150</v>
      </c>
      <c r="U34" s="341">
        <f>P29</f>
        <v>0.81746443023655402</v>
      </c>
      <c r="V34" s="229" t="s">
        <v>150</v>
      </c>
      <c r="W34" s="229">
        <f>VLOOKUP(R31,B16:$I18,7,FALSE)</f>
        <v>18500</v>
      </c>
      <c r="X34" s="89"/>
      <c r="Y34" s="522"/>
      <c r="Z34" s="522"/>
      <c r="AA34" s="522"/>
      <c r="AB34" s="522"/>
      <c r="AC34" s="522"/>
      <c r="AK34" s="89"/>
    </row>
    <row r="35" spans="2:37" ht="15" customHeight="1">
      <c r="K35" s="30"/>
      <c r="L35" s="41"/>
      <c r="M35" s="89"/>
      <c r="N35" s="89"/>
      <c r="O35" s="229" t="s">
        <v>33</v>
      </c>
      <c r="P35" s="206">
        <f>P34+(1-1/VLOOKUP(R31,B16:H18,3,FALSE))*U34*W34</f>
        <v>15306.093829288751</v>
      </c>
      <c r="Q35" s="216" t="s">
        <v>283</v>
      </c>
      <c r="R35" s="89"/>
      <c r="S35" s="89"/>
      <c r="T35" s="89"/>
      <c r="U35" s="89"/>
      <c r="V35" s="89"/>
      <c r="W35" s="89"/>
      <c r="X35" s="89"/>
      <c r="Y35" s="522"/>
      <c r="Z35" s="522"/>
      <c r="AA35" s="522"/>
      <c r="AB35" s="522"/>
      <c r="AC35" s="522"/>
      <c r="AK35" s="89"/>
    </row>
    <row r="36" spans="2:37" ht="15" customHeight="1">
      <c r="K36" s="30"/>
      <c r="L36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K36" s="89"/>
    </row>
    <row r="37" spans="2:37" ht="15" customHeight="1">
      <c r="K37" s="30"/>
      <c r="L37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K37" s="89"/>
    </row>
    <row r="38" spans="2:37" ht="15" customHeight="1">
      <c r="K38" s="30"/>
      <c r="L38"/>
      <c r="M38" s="522"/>
      <c r="N38" s="522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K38" s="89"/>
    </row>
    <row r="39" spans="2:37" ht="15" customHeight="1">
      <c r="K39" s="30"/>
      <c r="L39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/>
      <c r="AK39" s="89"/>
    </row>
    <row r="40" spans="2:37" ht="15" customHeight="1">
      <c r="K40" s="30"/>
      <c r="L4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K40" s="89"/>
    </row>
    <row r="41" spans="2:37" ht="15" customHeight="1">
      <c r="K41" s="30"/>
      <c r="L4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K41" s="89"/>
    </row>
    <row r="42" spans="2:37" ht="15" customHeight="1">
      <c r="K42" s="30"/>
      <c r="L4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K42" s="89"/>
    </row>
    <row r="43" spans="2:37" ht="15" customHeight="1">
      <c r="K43" s="30"/>
      <c r="L4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K43" s="89"/>
    </row>
    <row r="44" spans="2:37" ht="15" customHeight="1">
      <c r="K44" s="30"/>
      <c r="L4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K44" s="89"/>
    </row>
    <row r="45" spans="2:37" ht="15" customHeight="1">
      <c r="K45" s="30"/>
      <c r="L4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89"/>
      <c r="AE45" s="89"/>
      <c r="AF45" s="89"/>
      <c r="AG45" s="89"/>
      <c r="AH45" s="89"/>
      <c r="AI45" s="89"/>
      <c r="AJ45" s="89"/>
      <c r="AK45" s="89"/>
    </row>
    <row r="46" spans="2:37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37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37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</row>
    <row r="58" spans="2:29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</row>
    <row r="59" spans="2:29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</row>
    <row r="60" spans="2:29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</row>
    <row r="61" spans="2:29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</row>
    <row r="62" spans="2:29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</row>
    <row r="63" spans="2:29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</row>
    <row r="64" spans="2:29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2:11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</row>
    <row r="66" spans="2:11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</row>
    <row r="67" spans="2:11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</row>
    <row r="68" spans="2:11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2:11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2:11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</row>
    <row r="71" spans="2:11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</row>
    <row r="72" spans="2:11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</row>
    <row r="73" spans="2:11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</row>
    <row r="74" spans="2:11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</row>
    <row r="75" spans="2:11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</row>
    <row r="76" spans="2:11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</row>
    <row r="77" spans="2:11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</row>
    <row r="78" spans="2:11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</row>
    <row r="79" spans="2:11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</row>
    <row r="80" spans="2:11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</row>
    <row r="81" spans="2:11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2:11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</row>
    <row r="83" spans="2:11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2:11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2:11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</row>
    <row r="86" spans="2:11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</row>
    <row r="87" spans="2:11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</row>
    <row r="88" spans="2:11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</row>
    <row r="89" spans="2:11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</row>
    <row r="90" spans="2:11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</row>
    <row r="91" spans="2:11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2:11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2:11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2:11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</row>
    <row r="95" spans="2:11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</row>
    <row r="96" spans="2:11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</row>
    <row r="97" spans="2:11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</row>
    <row r="98" spans="2:11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</row>
    <row r="99" spans="2:11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</row>
    <row r="100" spans="2:11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2:11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</sheetData>
  <mergeCells count="1">
    <mergeCell ref="I1:J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H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3" width="16" style="21" customWidth="1"/>
    <col min="4" max="10" width="11.140625" style="21" customWidth="1"/>
    <col min="11" max="17" width="9.140625" style="21"/>
    <col min="18" max="18" width="10" style="21" bestFit="1" customWidth="1"/>
    <col min="19" max="20" width="9.140625" style="21"/>
    <col min="21" max="21" width="9.5703125" style="21" bestFit="1" customWidth="1"/>
    <col min="22" max="22" width="9.140625" style="21"/>
    <col min="23" max="23" width="9.140625" style="21" customWidth="1"/>
    <col min="24" max="16384" width="9.140625" style="21"/>
  </cols>
  <sheetData>
    <row r="1" spans="1:22">
      <c r="A1" s="7">
        <v>24</v>
      </c>
      <c r="B1" s="26" t="s">
        <v>12</v>
      </c>
      <c r="C1" s="26"/>
      <c r="D1" s="20"/>
      <c r="E1" s="20"/>
      <c r="F1" s="20"/>
      <c r="G1" s="20"/>
      <c r="H1" s="20"/>
      <c r="I1" s="1028" t="s">
        <v>24</v>
      </c>
      <c r="J1" s="1029"/>
      <c r="L1" s="1" t="s">
        <v>32</v>
      </c>
      <c r="M1" s="46" t="str">
        <f>VLOOKUP(A1,'Point Grid'!$L$8:$T$54,9,FALSE)</f>
        <v>Reserving - Chap 11: Frequency/Severity Methods</v>
      </c>
      <c r="N1"/>
      <c r="O1"/>
      <c r="P1"/>
      <c r="Q1"/>
      <c r="R1"/>
      <c r="S1"/>
      <c r="T1"/>
      <c r="U1"/>
      <c r="V1"/>
    </row>
    <row r="2" spans="1:22">
      <c r="A2" s="22"/>
      <c r="B2" s="19"/>
      <c r="C2" s="19"/>
      <c r="D2" s="19"/>
      <c r="E2" s="19"/>
      <c r="F2" s="19"/>
      <c r="G2" s="19"/>
      <c r="H2" s="19"/>
      <c r="I2" s="19"/>
      <c r="J2" s="23"/>
      <c r="L2" s="1"/>
      <c r="M2"/>
      <c r="N2"/>
      <c r="O2"/>
      <c r="P2"/>
      <c r="Q2"/>
      <c r="R2"/>
      <c r="S2"/>
      <c r="T2"/>
      <c r="U2"/>
      <c r="V2"/>
    </row>
    <row r="3" spans="1:22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 s="30"/>
      <c r="L3" s="41" t="s">
        <v>2</v>
      </c>
      <c r="M3" s="363" t="s">
        <v>284</v>
      </c>
      <c r="N3" s="364"/>
      <c r="O3" s="365"/>
      <c r="P3"/>
      <c r="Q3"/>
      <c r="R3"/>
      <c r="S3"/>
    </row>
    <row r="4" spans="1:22">
      <c r="A4" s="9">
        <f>INDEX('Point Grid'!B:B,MATCH(A1,'Point Grid'!A:A,0))</f>
        <v>4</v>
      </c>
      <c r="B4" s="17"/>
      <c r="C4" s="17"/>
      <c r="D4" s="17"/>
      <c r="E4" s="17"/>
      <c r="F4" s="17"/>
      <c r="G4" s="17"/>
      <c r="H4" s="17"/>
      <c r="I4" s="17"/>
      <c r="J4" s="18"/>
      <c r="K4" s="30"/>
      <c r="L4" s="41"/>
      <c r="M4" s="209"/>
      <c r="N4"/>
      <c r="O4"/>
      <c r="P4"/>
      <c r="Q4"/>
      <c r="R4"/>
      <c r="S4"/>
    </row>
    <row r="5" spans="1:22">
      <c r="A5" s="16"/>
      <c r="B5" s="17"/>
      <c r="C5" s="17"/>
      <c r="D5" s="17"/>
      <c r="E5" s="17"/>
      <c r="F5" s="17"/>
      <c r="G5" s="17"/>
      <c r="H5" s="17"/>
      <c r="I5" s="17"/>
      <c r="J5" s="18"/>
      <c r="K5" s="30"/>
      <c r="L5" s="41"/>
      <c r="M5" s="362" t="s">
        <v>288</v>
      </c>
      <c r="N5"/>
      <c r="O5"/>
      <c r="P5"/>
      <c r="Q5"/>
      <c r="R5"/>
      <c r="S5"/>
    </row>
    <row r="6" spans="1:22">
      <c r="A6" s="25" t="s">
        <v>2</v>
      </c>
      <c r="B6" s="17" t="s">
        <v>298</v>
      </c>
      <c r="C6" s="17"/>
      <c r="D6" s="17"/>
      <c r="E6" s="17"/>
      <c r="F6" s="17"/>
      <c r="G6" s="17"/>
      <c r="H6" s="17"/>
      <c r="I6" s="17"/>
      <c r="J6" s="18"/>
      <c r="K6" s="30"/>
      <c r="L6" s="41"/>
      <c r="M6" s="35"/>
      <c r="N6"/>
      <c r="O6"/>
      <c r="P6"/>
      <c r="Q6"/>
      <c r="R6"/>
      <c r="S6"/>
    </row>
    <row r="7" spans="1:22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7"/>
      <c r="J7" s="18"/>
      <c r="K7" s="30"/>
      <c r="L7" s="41"/>
      <c r="M7" s="35" t="s">
        <v>286</v>
      </c>
      <c r="N7"/>
      <c r="O7"/>
      <c r="P7"/>
      <c r="Q7"/>
      <c r="R7"/>
      <c r="S7"/>
    </row>
    <row r="8" spans="1:22" ht="15.75" thickBot="1">
      <c r="A8" s="5"/>
      <c r="B8" s="17"/>
      <c r="C8" s="17"/>
      <c r="D8" s="27"/>
      <c r="E8" s="27"/>
      <c r="F8" s="27"/>
      <c r="G8" s="27"/>
      <c r="H8" s="27"/>
      <c r="I8" s="27"/>
      <c r="J8" s="18"/>
      <c r="K8" s="30"/>
      <c r="L8"/>
      <c r="M8" s="273" t="s">
        <v>285</v>
      </c>
      <c r="N8"/>
      <c r="O8"/>
      <c r="P8"/>
      <c r="Q8"/>
      <c r="R8"/>
      <c r="S8"/>
    </row>
    <row r="9" spans="1:22">
      <c r="A9" s="25"/>
      <c r="B9" s="17"/>
      <c r="C9" s="17"/>
      <c r="D9" s="17"/>
      <c r="E9" s="17"/>
      <c r="F9" s="17"/>
      <c r="G9" s="17"/>
      <c r="H9" s="17"/>
      <c r="I9" s="17"/>
      <c r="J9" s="18"/>
      <c r="K9" s="30"/>
      <c r="L9" s="41"/>
      <c r="M9" s="35"/>
      <c r="N9"/>
      <c r="O9"/>
      <c r="P9"/>
      <c r="Q9"/>
      <c r="R9"/>
      <c r="S9"/>
    </row>
    <row r="10" spans="1:22">
      <c r="A10" s="25" t="s">
        <v>3</v>
      </c>
      <c r="B10" s="735" t="s">
        <v>729</v>
      </c>
      <c r="C10" s="735"/>
      <c r="D10" s="735"/>
      <c r="E10" s="246" t="s">
        <v>261</v>
      </c>
      <c r="F10" s="735" t="s">
        <v>730</v>
      </c>
      <c r="G10" s="735"/>
      <c r="H10" s="735"/>
      <c r="I10" s="735"/>
      <c r="J10" s="18"/>
      <c r="K10" s="30"/>
      <c r="L10"/>
      <c r="M10" s="35" t="s">
        <v>287</v>
      </c>
      <c r="N10"/>
      <c r="O10"/>
      <c r="P10"/>
      <c r="Q10"/>
      <c r="R10"/>
      <c r="S10"/>
    </row>
    <row r="11" spans="1:22" ht="15.75" thickBot="1">
      <c r="A11" s="9">
        <f>INDEX('Point Grid'!$C$8:$I$54,MATCH($A$1,'Point Grid'!$A$8:$A$54,0),MATCH(A10,'Point Grid'!$C$7:$I$7,0))</f>
        <v>3</v>
      </c>
      <c r="B11" s="735"/>
      <c r="C11" s="735"/>
      <c r="D11" s="735"/>
      <c r="E11" s="735"/>
      <c r="F11" s="735"/>
      <c r="G11" s="735"/>
      <c r="H11" s="735"/>
      <c r="I11" s="735"/>
      <c r="J11" s="18"/>
      <c r="K11" s="30"/>
      <c r="L11"/>
      <c r="M11"/>
      <c r="N11"/>
      <c r="O11"/>
      <c r="P11"/>
      <c r="Q11"/>
      <c r="R11"/>
      <c r="S11"/>
    </row>
    <row r="12" spans="1:22" ht="15.75" thickBot="1">
      <c r="A12" s="5"/>
      <c r="B12" s="736"/>
      <c r="C12" s="736"/>
      <c r="D12" s="736"/>
      <c r="E12" s="736"/>
      <c r="F12" s="736"/>
      <c r="G12" s="735"/>
      <c r="H12" s="735"/>
      <c r="I12" s="735"/>
      <c r="J12" s="18"/>
      <c r="K12" s="30"/>
      <c r="L12"/>
      <c r="M12" s="363" t="s">
        <v>263</v>
      </c>
      <c r="N12" s="364"/>
      <c r="O12" s="365"/>
      <c r="P12"/>
      <c r="Q12"/>
      <c r="R12"/>
      <c r="S12"/>
    </row>
    <row r="13" spans="1:22">
      <c r="A13" s="25"/>
      <c r="B13" s="736" t="s">
        <v>707</v>
      </c>
      <c r="C13" s="736"/>
      <c r="D13" s="736"/>
      <c r="E13" s="246">
        <v>2079</v>
      </c>
      <c r="F13" s="736"/>
      <c r="G13" s="735"/>
      <c r="H13" s="735"/>
      <c r="I13" s="735"/>
      <c r="J13" s="18"/>
      <c r="K13" s="30"/>
      <c r="L13" s="41"/>
      <c r="M13"/>
      <c r="N13"/>
      <c r="O13"/>
      <c r="P13"/>
      <c r="Q13"/>
      <c r="R13"/>
      <c r="S13"/>
    </row>
    <row r="14" spans="1:22">
      <c r="A14" s="25"/>
      <c r="B14" s="736"/>
      <c r="C14" s="736"/>
      <c r="D14" s="736"/>
      <c r="E14" s="736"/>
      <c r="F14" s="736"/>
      <c r="G14" s="735"/>
      <c r="H14" s="735"/>
      <c r="I14" s="735"/>
      <c r="J14" s="18"/>
      <c r="K14" s="30"/>
      <c r="L14"/>
      <c r="M14" t="s">
        <v>295</v>
      </c>
      <c r="N14"/>
      <c r="O14"/>
      <c r="P14"/>
      <c r="Q14"/>
      <c r="R14"/>
      <c r="S14"/>
    </row>
    <row r="15" spans="1:22">
      <c r="A15" s="25"/>
      <c r="B15" s="737"/>
      <c r="C15" s="738" t="s">
        <v>705</v>
      </c>
      <c r="D15" s="739"/>
      <c r="E15" s="739"/>
      <c r="F15" s="740"/>
      <c r="G15" s="735"/>
      <c r="H15" s="735"/>
      <c r="I15" s="735"/>
      <c r="J15" s="18"/>
      <c r="K15" s="30"/>
      <c r="L15"/>
      <c r="M15" t="s">
        <v>289</v>
      </c>
      <c r="N15"/>
      <c r="O15"/>
      <c r="P15"/>
      <c r="Q15"/>
      <c r="R15"/>
      <c r="S15"/>
    </row>
    <row r="16" spans="1:22">
      <c r="A16" s="25"/>
      <c r="B16" s="741"/>
      <c r="C16" s="742">
        <v>12</v>
      </c>
      <c r="D16" s="742">
        <v>24</v>
      </c>
      <c r="E16" s="742">
        <v>36</v>
      </c>
      <c r="F16" s="743">
        <v>48</v>
      </c>
      <c r="G16" s="735"/>
      <c r="H16" s="735"/>
      <c r="I16" s="735"/>
      <c r="J16" s="18"/>
      <c r="K16" s="30"/>
      <c r="L16" s="41"/>
      <c r="M16" s="35" t="s">
        <v>290</v>
      </c>
      <c r="N16"/>
      <c r="O16"/>
      <c r="P16"/>
      <c r="Q16"/>
      <c r="R16"/>
      <c r="S16"/>
    </row>
    <row r="17" spans="1:25">
      <c r="A17" s="25"/>
      <c r="B17" s="744">
        <v>2022</v>
      </c>
      <c r="C17" s="745">
        <v>735</v>
      </c>
      <c r="D17" s="745">
        <v>650</v>
      </c>
      <c r="E17" s="745">
        <v>750</v>
      </c>
      <c r="F17" s="746">
        <v>725</v>
      </c>
      <c r="G17" s="735"/>
      <c r="H17" s="735"/>
      <c r="I17" s="735"/>
      <c r="J17" s="18"/>
      <c r="K17" s="30"/>
      <c r="L17"/>
      <c r="M17"/>
      <c r="N17"/>
      <c r="O17"/>
      <c r="P17"/>
      <c r="Q17"/>
      <c r="R17"/>
      <c r="S17"/>
    </row>
    <row r="18" spans="1:25" ht="15" customHeight="1">
      <c r="A18" s="25"/>
      <c r="B18" s="744">
        <v>2023</v>
      </c>
      <c r="C18" s="745">
        <v>809</v>
      </c>
      <c r="D18" s="745">
        <v>883</v>
      </c>
      <c r="E18" s="745">
        <v>751</v>
      </c>
      <c r="F18" s="746"/>
      <c r="G18" s="735"/>
      <c r="H18" s="735"/>
      <c r="I18" s="735"/>
      <c r="J18" s="18"/>
      <c r="K18" s="30"/>
      <c r="L18"/>
      <c r="M18" t="s">
        <v>294</v>
      </c>
      <c r="N18"/>
      <c r="O18"/>
      <c r="P18"/>
      <c r="Q18"/>
      <c r="R18"/>
      <c r="S18"/>
    </row>
    <row r="19" spans="1:25" ht="15" customHeight="1">
      <c r="A19" s="25"/>
      <c r="B19" s="744">
        <v>2024</v>
      </c>
      <c r="C19" s="745">
        <v>921</v>
      </c>
      <c r="D19" s="745">
        <v>1018</v>
      </c>
      <c r="E19" s="745"/>
      <c r="F19" s="746"/>
      <c r="G19" s="735"/>
      <c r="H19" s="735"/>
      <c r="I19" s="735"/>
      <c r="J19" s="18"/>
      <c r="K19" s="30"/>
      <c r="L19"/>
      <c r="M19" s="35" t="s">
        <v>291</v>
      </c>
      <c r="N19"/>
      <c r="O19"/>
      <c r="P19"/>
      <c r="Q19"/>
      <c r="R19"/>
      <c r="S19"/>
    </row>
    <row r="20" spans="1:25" ht="15" customHeight="1">
      <c r="A20" s="25"/>
      <c r="B20" s="747">
        <v>2025</v>
      </c>
      <c r="C20" s="748">
        <v>1226</v>
      </c>
      <c r="D20" s="748"/>
      <c r="E20" s="748"/>
      <c r="F20" s="749"/>
      <c r="G20" s="735"/>
      <c r="H20" s="735"/>
      <c r="I20" s="735"/>
      <c r="J20" s="18"/>
      <c r="K20" s="30"/>
      <c r="L20"/>
      <c r="M20" s="1"/>
      <c r="N20"/>
      <c r="O20"/>
      <c r="P20"/>
      <c r="Q20"/>
      <c r="R20"/>
      <c r="S20"/>
    </row>
    <row r="21" spans="1:25" ht="15" customHeight="1">
      <c r="A21" s="25"/>
      <c r="B21" s="735"/>
      <c r="C21" s="735"/>
      <c r="D21" s="735"/>
      <c r="E21" s="735"/>
      <c r="F21" s="735"/>
      <c r="G21" s="735"/>
      <c r="H21" s="735"/>
      <c r="I21" s="735"/>
      <c r="J21" s="18"/>
      <c r="K21" s="30"/>
      <c r="L21"/>
      <c r="M21" s="35" t="s">
        <v>293</v>
      </c>
      <c r="N21"/>
      <c r="O21"/>
      <c r="P21"/>
      <c r="Q21"/>
      <c r="R21"/>
      <c r="S21"/>
    </row>
    <row r="22" spans="1:25" ht="15" customHeight="1">
      <c r="A22" s="25"/>
      <c r="B22" s="737"/>
      <c r="C22" s="739" t="s">
        <v>706</v>
      </c>
      <c r="D22" s="739"/>
      <c r="E22" s="739"/>
      <c r="F22" s="740"/>
      <c r="G22" s="735"/>
      <c r="H22" s="735"/>
      <c r="I22" s="735"/>
      <c r="J22" s="18"/>
      <c r="K22" s="30"/>
      <c r="L22"/>
      <c r="M22" s="35" t="s">
        <v>292</v>
      </c>
      <c r="N22"/>
      <c r="O22"/>
      <c r="P22"/>
      <c r="Q22"/>
      <c r="R22"/>
      <c r="S22"/>
    </row>
    <row r="23" spans="1:25" ht="15" customHeight="1">
      <c r="A23" s="25"/>
      <c r="B23" s="741" t="s">
        <v>83</v>
      </c>
      <c r="C23" s="742">
        <v>12</v>
      </c>
      <c r="D23" s="742">
        <v>24</v>
      </c>
      <c r="E23" s="742">
        <v>36</v>
      </c>
      <c r="F23" s="743">
        <v>48</v>
      </c>
      <c r="G23" s="736"/>
      <c r="H23" s="735"/>
      <c r="I23" s="735"/>
      <c r="J23" s="18"/>
      <c r="K23" s="30"/>
      <c r="L23"/>
    </row>
    <row r="24" spans="1:25" ht="15" customHeight="1">
      <c r="A24" s="25"/>
      <c r="B24" s="744">
        <v>2022</v>
      </c>
      <c r="C24" s="745">
        <v>4013</v>
      </c>
      <c r="D24" s="745">
        <v>3994</v>
      </c>
      <c r="E24" s="745">
        <v>3856</v>
      </c>
      <c r="F24" s="746">
        <v>3904</v>
      </c>
      <c r="G24" s="736"/>
      <c r="H24" s="735"/>
      <c r="I24" s="735"/>
      <c r="J24" s="18"/>
      <c r="K24" s="30"/>
      <c r="L24"/>
    </row>
    <row r="25" spans="1:25" ht="15" customHeight="1">
      <c r="A25" s="25"/>
      <c r="B25" s="744">
        <v>2023</v>
      </c>
      <c r="C25" s="745">
        <v>3931</v>
      </c>
      <c r="D25" s="745">
        <v>3976</v>
      </c>
      <c r="E25" s="745">
        <v>4220</v>
      </c>
      <c r="F25" s="746"/>
      <c r="G25" s="735"/>
      <c r="H25" s="735"/>
      <c r="I25" s="735"/>
      <c r="J25" s="18"/>
      <c r="K25" s="30"/>
      <c r="L25" s="523" t="s">
        <v>3</v>
      </c>
      <c r="M25" s="153" t="s">
        <v>119</v>
      </c>
      <c r="N25" s="510" t="s">
        <v>708</v>
      </c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510"/>
    </row>
    <row r="26" spans="1:25" ht="15" customHeight="1">
      <c r="A26" s="25"/>
      <c r="B26" s="744">
        <v>2024</v>
      </c>
      <c r="C26" s="745">
        <v>4924</v>
      </c>
      <c r="D26" s="745">
        <v>4774</v>
      </c>
      <c r="E26" s="745"/>
      <c r="F26" s="746"/>
      <c r="G26" s="735"/>
      <c r="H26" s="735"/>
      <c r="I26" s="735"/>
      <c r="J26" s="18"/>
      <c r="K26" s="30"/>
      <c r="L26"/>
      <c r="M26" s="522"/>
      <c r="N26" s="510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</row>
    <row r="27" spans="1:25" ht="15" customHeight="1">
      <c r="A27" s="25"/>
      <c r="B27" s="747">
        <v>2025</v>
      </c>
      <c r="C27" s="748">
        <v>5301</v>
      </c>
      <c r="D27" s="748"/>
      <c r="E27" s="748"/>
      <c r="F27" s="749"/>
      <c r="G27" s="735"/>
      <c r="H27" s="735"/>
      <c r="I27" s="735"/>
      <c r="J27" s="18"/>
      <c r="K27" s="30"/>
      <c r="L27"/>
      <c r="M27" s="522"/>
      <c r="N27" s="274" t="s">
        <v>233</v>
      </c>
      <c r="O27" s="1" t="s">
        <v>709</v>
      </c>
      <c r="P27" s="522"/>
      <c r="Q27" s="522"/>
      <c r="R27" s="522"/>
      <c r="S27" s="522"/>
      <c r="T27" s="522"/>
      <c r="U27" s="522"/>
      <c r="V27" s="522"/>
      <c r="W27" s="522"/>
      <c r="X27" s="522"/>
      <c r="Y27" s="522"/>
    </row>
    <row r="28" spans="1:25" ht="15" customHeight="1">
      <c r="A28" s="25"/>
      <c r="B28" s="17"/>
      <c r="C28" s="17"/>
      <c r="D28" s="27"/>
      <c r="E28" s="27"/>
      <c r="F28" s="27"/>
      <c r="G28" s="27"/>
      <c r="H28" s="27"/>
      <c r="I28" s="27"/>
      <c r="J28" s="18"/>
      <c r="K28" s="30"/>
      <c r="L28"/>
      <c r="M28" s="526"/>
      <c r="N28" s="522"/>
      <c r="O28" s="125" t="s">
        <v>83</v>
      </c>
      <c r="P28" s="275" t="str">
        <f>C16&amp;"-"&amp;D16</f>
        <v>12-24</v>
      </c>
      <c r="Q28" s="276" t="str">
        <f>D16&amp;"-"&amp;E16</f>
        <v>24-36</v>
      </c>
      <c r="R28" s="277" t="str">
        <f>E16&amp;"-"&amp;F16</f>
        <v>36-48</v>
      </c>
      <c r="S28" s="278" t="s">
        <v>235</v>
      </c>
      <c r="T28" s="522"/>
      <c r="U28" s="279" t="s">
        <v>236</v>
      </c>
      <c r="V28" s="162"/>
      <c r="W28" s="162"/>
      <c r="X28" s="162"/>
      <c r="Y28" s="163"/>
    </row>
    <row r="29" spans="1:25" ht="15" customHeight="1">
      <c r="A29" s="25"/>
      <c r="B29" s="17"/>
      <c r="C29" s="17"/>
      <c r="D29" s="27"/>
      <c r="E29" s="27"/>
      <c r="F29" s="27"/>
      <c r="G29" s="27"/>
      <c r="H29" s="27"/>
      <c r="I29" s="27"/>
      <c r="J29" s="18"/>
      <c r="K29" s="30"/>
      <c r="L29"/>
      <c r="M29" s="526"/>
      <c r="N29" s="522"/>
      <c r="O29" s="174">
        <f>B17</f>
        <v>2022</v>
      </c>
      <c r="P29" s="402">
        <f>D17/C17</f>
        <v>0.88435374149659862</v>
      </c>
      <c r="Q29" s="403">
        <f>E17/D17</f>
        <v>1.1538461538461537</v>
      </c>
      <c r="R29" s="404">
        <f>F17/E17</f>
        <v>0.96666666666666667</v>
      </c>
      <c r="S29" s="522"/>
      <c r="T29" s="522"/>
      <c r="U29" s="283" t="s">
        <v>237</v>
      </c>
      <c r="V29" s="135"/>
      <c r="W29" s="135"/>
      <c r="X29" s="135"/>
      <c r="Y29" s="136"/>
    </row>
    <row r="30" spans="1:25" ht="15" customHeight="1">
      <c r="A30" s="25"/>
      <c r="B30" s="17"/>
      <c r="C30" s="17"/>
      <c r="D30" s="27"/>
      <c r="E30" s="27"/>
      <c r="F30" s="27"/>
      <c r="G30" s="27"/>
      <c r="H30" s="27"/>
      <c r="I30" s="27"/>
      <c r="J30" s="18"/>
      <c r="K30" s="30"/>
      <c r="L30"/>
      <c r="M30" s="526"/>
      <c r="N30" s="526"/>
      <c r="O30" s="174">
        <f>O29+1</f>
        <v>2023</v>
      </c>
      <c r="P30" s="405">
        <f>D18/C18</f>
        <v>1.0914709517923362</v>
      </c>
      <c r="Q30" s="406">
        <f>E18/D18</f>
        <v>0.85050962627406568</v>
      </c>
      <c r="R30" s="407"/>
      <c r="S30" s="526"/>
      <c r="T30" s="526"/>
      <c r="U30" s="287" t="s">
        <v>238</v>
      </c>
      <c r="V30" s="531"/>
      <c r="W30" s="531"/>
      <c r="X30" s="531"/>
      <c r="Y30" s="139"/>
    </row>
    <row r="31" spans="1:25" ht="15" customHeight="1">
      <c r="A31" s="25"/>
      <c r="B31" s="17"/>
      <c r="C31" s="17"/>
      <c r="D31" s="27"/>
      <c r="E31" s="27"/>
      <c r="F31" s="27"/>
      <c r="G31" s="27"/>
      <c r="H31" s="27"/>
      <c r="I31" s="27"/>
      <c r="J31" s="18"/>
      <c r="K31" s="30"/>
      <c r="L31"/>
      <c r="M31" s="526"/>
      <c r="N31" s="526"/>
      <c r="O31" s="174">
        <f>O30+1</f>
        <v>2024</v>
      </c>
      <c r="P31" s="405">
        <f>D19/C19</f>
        <v>1.1053203040173725</v>
      </c>
      <c r="Q31" s="408"/>
      <c r="R31" s="407"/>
      <c r="S31" s="526"/>
      <c r="T31" s="526"/>
      <c r="U31" s="526"/>
      <c r="V31" s="526"/>
      <c r="W31" s="526"/>
      <c r="X31" s="526"/>
      <c r="Y31" s="526"/>
    </row>
    <row r="32" spans="1:25" ht="15" customHeight="1">
      <c r="A32" s="25"/>
      <c r="B32" s="17"/>
      <c r="C32" s="17"/>
      <c r="D32" s="27"/>
      <c r="E32" s="27"/>
      <c r="F32" s="27"/>
      <c r="G32" s="27"/>
      <c r="H32" s="27"/>
      <c r="I32" s="27"/>
      <c r="J32" s="18"/>
      <c r="K32" s="30"/>
      <c r="L32"/>
      <c r="M32" s="526"/>
      <c r="N32" s="526"/>
      <c r="O32" s="175">
        <f>O31+1</f>
        <v>2025</v>
      </c>
      <c r="P32" s="409"/>
      <c r="Q32" s="410"/>
      <c r="R32" s="411"/>
      <c r="S32" s="526"/>
      <c r="T32" s="526"/>
      <c r="U32" s="526"/>
      <c r="V32" s="526"/>
      <c r="W32" s="526"/>
      <c r="X32" s="526"/>
      <c r="Y32" s="526"/>
    </row>
    <row r="33" spans="1:27" ht="15" customHeight="1">
      <c r="A33" s="25"/>
      <c r="B33" s="17"/>
      <c r="C33" s="17"/>
      <c r="D33" s="27"/>
      <c r="E33" s="27"/>
      <c r="F33" s="27"/>
      <c r="G33" s="27"/>
      <c r="H33" s="27"/>
      <c r="I33" s="27"/>
      <c r="J33" s="18"/>
      <c r="K33" s="30"/>
      <c r="L33" s="41"/>
      <c r="M33" s="526"/>
      <c r="N33" s="274" t="s">
        <v>233</v>
      </c>
      <c r="O33" s="292" t="s">
        <v>240</v>
      </c>
      <c r="P33" s="293">
        <f>AVERAGE(P29:P31)</f>
        <v>1.0270483324354358</v>
      </c>
      <c r="Q33" s="294">
        <f>AVERAGE(Q29:Q31)</f>
        <v>1.0021778900601097</v>
      </c>
      <c r="R33" s="295">
        <f>AVERAGE(R29:R31)</f>
        <v>0.96666666666666667</v>
      </c>
      <c r="S33" s="296">
        <v>1</v>
      </c>
      <c r="T33" s="156"/>
      <c r="U33" s="525"/>
      <c r="V33" s="156"/>
      <c r="W33" s="525"/>
      <c r="X33" s="526"/>
      <c r="Y33" s="526"/>
    </row>
    <row r="34" spans="1:27" ht="15" customHeight="1">
      <c r="A34" s="25"/>
      <c r="B34" s="17"/>
      <c r="C34" s="17"/>
      <c r="D34" s="27"/>
      <c r="E34" s="27"/>
      <c r="F34" s="27"/>
      <c r="G34" s="27"/>
      <c r="H34" s="27"/>
      <c r="I34" s="27"/>
      <c r="J34" s="18"/>
      <c r="K34" s="30"/>
      <c r="L34"/>
      <c r="M34" s="526"/>
      <c r="N34" s="526"/>
      <c r="O34" s="522"/>
      <c r="P34" s="522"/>
      <c r="Q34" s="522"/>
      <c r="R34" s="522"/>
      <c r="S34" s="522"/>
      <c r="T34" s="526"/>
      <c r="U34" s="526"/>
      <c r="V34" s="526"/>
      <c r="W34" s="526"/>
      <c r="X34" s="526"/>
      <c r="Y34" s="526"/>
    </row>
    <row r="35" spans="1:27" ht="15" customHeight="1">
      <c r="A35" s="25"/>
      <c r="B35" s="17"/>
      <c r="C35" s="17"/>
      <c r="D35" s="27"/>
      <c r="E35" s="27"/>
      <c r="F35" s="27"/>
      <c r="G35" s="27"/>
      <c r="H35" s="27"/>
      <c r="I35" s="27"/>
      <c r="J35" s="18"/>
      <c r="K35" s="30"/>
      <c r="L35" s="41"/>
      <c r="M35" s="526"/>
      <c r="N35" s="274" t="s">
        <v>233</v>
      </c>
      <c r="O35" s="1" t="s">
        <v>242</v>
      </c>
      <c r="P35" s="1"/>
      <c r="Q35" s="522"/>
      <c r="R35" s="522"/>
      <c r="S35" s="522"/>
      <c r="T35" s="526"/>
      <c r="U35" s="216"/>
      <c r="V35" s="526"/>
      <c r="W35" s="526"/>
      <c r="X35" s="216"/>
      <c r="Y35" s="526"/>
    </row>
    <row r="36" spans="1:27" ht="15" customHeight="1">
      <c r="A36" s="25"/>
      <c r="B36" s="17"/>
      <c r="C36" s="17"/>
      <c r="D36" s="27"/>
      <c r="E36" s="27"/>
      <c r="F36" s="27"/>
      <c r="G36" s="27"/>
      <c r="H36" s="27"/>
      <c r="I36" s="27"/>
      <c r="J36" s="18"/>
      <c r="K36" s="30"/>
      <c r="L36" s="510"/>
      <c r="M36" s="526"/>
      <c r="N36" s="526"/>
      <c r="O36" s="297"/>
      <c r="P36" s="298" t="str">
        <f>C16&amp;"-ult"</f>
        <v>12-ult</v>
      </c>
      <c r="Q36" s="299" t="str">
        <f>D16&amp;"-ult"</f>
        <v>24-ult</v>
      </c>
      <c r="R36" s="299" t="str">
        <f>E16&amp;"-ult"</f>
        <v>36-ult</v>
      </c>
      <c r="S36" s="300" t="str">
        <f>F16&amp;"-ult"</f>
        <v>48-ult</v>
      </c>
      <c r="T36" s="526"/>
      <c r="U36" s="526"/>
      <c r="V36" s="526"/>
      <c r="W36" s="216"/>
      <c r="X36" s="526"/>
      <c r="Y36" s="526"/>
      <c r="AA36" s="510"/>
    </row>
    <row r="37" spans="1:27" ht="15" customHeight="1" thickBot="1">
      <c r="A37" s="24"/>
      <c r="B37" s="31"/>
      <c r="C37" s="31"/>
      <c r="D37" s="31"/>
      <c r="E37" s="31"/>
      <c r="F37" s="31"/>
      <c r="G37" s="31"/>
      <c r="H37" s="31"/>
      <c r="I37" s="31"/>
      <c r="J37" s="32"/>
      <c r="K37" s="30"/>
      <c r="L37" s="510"/>
      <c r="M37" s="526"/>
      <c r="N37" s="526"/>
      <c r="O37" s="301" t="s">
        <v>243</v>
      </c>
      <c r="P37" s="302">
        <f>Q37*P33</f>
        <v>0.99497562643023596</v>
      </c>
      <c r="Q37" s="302">
        <f>R37*Q33</f>
        <v>0.96877196039143942</v>
      </c>
      <c r="R37" s="302">
        <f>S37*R33</f>
        <v>0.96666666666666667</v>
      </c>
      <c r="S37" s="303">
        <f>S33</f>
        <v>1</v>
      </c>
      <c r="T37" s="304" t="s">
        <v>244</v>
      </c>
      <c r="U37" s="305" t="s">
        <v>245</v>
      </c>
      <c r="V37" s="207"/>
      <c r="W37" s="177"/>
      <c r="X37" s="526"/>
      <c r="Y37" s="526"/>
      <c r="AA37" s="510"/>
    </row>
    <row r="38" spans="1:27" ht="15" customHeight="1">
      <c r="K38" s="30"/>
      <c r="L38" s="510"/>
      <c r="M38" s="526"/>
      <c r="N38" s="526"/>
      <c r="O38" s="522"/>
      <c r="P38" s="522"/>
      <c r="Q38" s="522"/>
      <c r="R38" s="522"/>
      <c r="S38" s="522"/>
      <c r="T38" s="526"/>
      <c r="U38" s="306" t="s">
        <v>246</v>
      </c>
      <c r="V38" s="526"/>
      <c r="W38" s="526"/>
      <c r="X38" s="526"/>
      <c r="Y38" s="526"/>
      <c r="AA38" s="510"/>
    </row>
    <row r="39" spans="1:27" ht="15" customHeight="1">
      <c r="K39" s="30"/>
      <c r="L39" s="510"/>
      <c r="M39" s="526"/>
      <c r="N39" s="274" t="s">
        <v>233</v>
      </c>
      <c r="O39" s="1" t="s">
        <v>710</v>
      </c>
      <c r="P39" s="522"/>
      <c r="Q39" s="522"/>
      <c r="R39" s="522"/>
      <c r="S39" s="522"/>
      <c r="T39" s="526"/>
      <c r="U39" s="526"/>
      <c r="V39" s="526"/>
      <c r="W39" s="526"/>
      <c r="X39" s="526"/>
      <c r="Y39" s="526"/>
      <c r="AA39" s="510"/>
    </row>
    <row r="40" spans="1:27" ht="15" customHeight="1">
      <c r="K40" s="30"/>
      <c r="L40" s="510"/>
      <c r="M40" s="216"/>
      <c r="N40" s="526"/>
      <c r="O40" s="297"/>
      <c r="P40" s="307" t="str">
        <f>"'"&amp;RIGHT($C20,2)&amp;"@"&amp;C16</f>
        <v>'26@12</v>
      </c>
      <c r="Q40" s="308" t="str">
        <f>"'"&amp;RIGHT($C19,2)&amp;"@"&amp;D16</f>
        <v>'21@24</v>
      </c>
      <c r="R40" s="308" t="str">
        <f>"'"&amp;RIGHT($C18,2)&amp;"@"&amp;E16</f>
        <v>'09@36</v>
      </c>
      <c r="S40" s="309" t="str">
        <f>"'"&amp;RIGHT($C17,2)&amp;"@"&amp;F16</f>
        <v>'35@48</v>
      </c>
      <c r="T40" s="526"/>
      <c r="U40" s="526"/>
      <c r="V40" s="526"/>
      <c r="W40" s="526"/>
      <c r="X40" s="526"/>
      <c r="Y40" s="526"/>
      <c r="AA40" s="510"/>
    </row>
    <row r="41" spans="1:27" ht="15" customHeight="1">
      <c r="K41" s="30"/>
      <c r="L41" s="510"/>
      <c r="M41" s="89"/>
      <c r="N41" s="526"/>
      <c r="O41" s="310" t="s">
        <v>249</v>
      </c>
      <c r="P41" s="311">
        <f>C20</f>
        <v>1226</v>
      </c>
      <c r="Q41" s="311">
        <f>D19</f>
        <v>1018</v>
      </c>
      <c r="R41" s="311">
        <f>E18</f>
        <v>751</v>
      </c>
      <c r="S41" s="312">
        <f>F17</f>
        <v>725</v>
      </c>
      <c r="T41" s="526"/>
      <c r="U41" s="526"/>
      <c r="V41" s="526"/>
      <c r="W41" s="526"/>
      <c r="X41" s="526"/>
      <c r="Y41" s="526"/>
      <c r="AA41" s="510"/>
    </row>
    <row r="42" spans="1:27" ht="15" customHeight="1">
      <c r="K42" s="30"/>
      <c r="L42" s="510"/>
      <c r="M42" s="89"/>
      <c r="N42" s="526"/>
      <c r="O42" s="313" t="s">
        <v>250</v>
      </c>
      <c r="P42" s="751">
        <f>P41*P37</f>
        <v>1219.8401180034693</v>
      </c>
      <c r="Q42" s="752">
        <f>Q41*Q37</f>
        <v>986.20985567848538</v>
      </c>
      <c r="R42" s="752">
        <f>R41*R37</f>
        <v>725.9666666666667</v>
      </c>
      <c r="S42" s="498">
        <f>S41*S37</f>
        <v>725</v>
      </c>
      <c r="T42" s="304" t="s">
        <v>244</v>
      </c>
      <c r="U42" s="305" t="s">
        <v>251</v>
      </c>
      <c r="V42" s="207"/>
      <c r="W42" s="177"/>
      <c r="X42" s="526"/>
      <c r="Y42" s="526"/>
      <c r="AA42" s="510"/>
    </row>
    <row r="43" spans="1:27" ht="15" customHeight="1">
      <c r="K43" s="30"/>
      <c r="L43" s="510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AA43" s="510"/>
    </row>
    <row r="44" spans="1:27" ht="15" customHeight="1">
      <c r="K44" s="30"/>
      <c r="L44" s="510"/>
      <c r="M44" s="233" t="s">
        <v>211</v>
      </c>
      <c r="N44" s="89" t="s">
        <v>711</v>
      </c>
      <c r="O44" s="89"/>
      <c r="P44" s="89"/>
      <c r="Q44" s="178" t="s">
        <v>712</v>
      </c>
      <c r="R44" s="89"/>
      <c r="S44" s="89"/>
      <c r="T44" s="89"/>
      <c r="U44" s="89"/>
      <c r="V44" s="89"/>
      <c r="W44" s="89"/>
      <c r="X44" s="89"/>
      <c r="Y44" s="89"/>
      <c r="AA44" s="510"/>
    </row>
    <row r="45" spans="1:27" ht="15" customHeight="1">
      <c r="K45" s="30"/>
      <c r="L45" s="510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AA45" s="510"/>
    </row>
    <row r="46" spans="1:27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510"/>
      <c r="M46" s="89"/>
      <c r="N46" s="89"/>
      <c r="O46" s="385"/>
      <c r="P46" s="386" t="s">
        <v>713</v>
      </c>
      <c r="Q46" s="386"/>
      <c r="R46" s="386"/>
      <c r="S46" s="387"/>
      <c r="T46" s="89"/>
      <c r="U46" s="89"/>
      <c r="V46" s="89"/>
      <c r="W46" s="89"/>
      <c r="X46" s="89"/>
      <c r="Y46" s="89"/>
      <c r="AA46" s="510"/>
    </row>
    <row r="47" spans="1:27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510"/>
      <c r="M47" s="89"/>
      <c r="N47" s="89"/>
      <c r="O47" s="388" t="s">
        <v>83</v>
      </c>
      <c r="P47" s="389">
        <v>12</v>
      </c>
      <c r="Q47" s="389">
        <v>24</v>
      </c>
      <c r="R47" s="389">
        <v>36</v>
      </c>
      <c r="S47" s="390">
        <v>48</v>
      </c>
      <c r="T47" s="89"/>
      <c r="U47" s="89"/>
      <c r="V47" s="89"/>
      <c r="W47" s="89"/>
      <c r="X47" s="89"/>
      <c r="Y47" s="89"/>
      <c r="AA47" s="510"/>
    </row>
    <row r="48" spans="1:27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510"/>
      <c r="M48" s="89"/>
      <c r="N48" s="89"/>
      <c r="O48" s="366">
        <v>2022</v>
      </c>
      <c r="P48" s="395">
        <f>C24/C17*1000</f>
        <v>5459.8639455782313</v>
      </c>
      <c r="Q48" s="395">
        <f>D24/D17*1000</f>
        <v>6144.6153846153848</v>
      </c>
      <c r="R48" s="395">
        <f>E24/E17*1000</f>
        <v>5141.3333333333339</v>
      </c>
      <c r="S48" s="396">
        <f>F24/F17*1000</f>
        <v>5384.8275862068967</v>
      </c>
      <c r="T48" s="89"/>
      <c r="U48" s="89"/>
      <c r="V48" s="89"/>
      <c r="W48" s="89"/>
      <c r="X48" s="89"/>
      <c r="Y48" s="89"/>
      <c r="AA48" s="510"/>
    </row>
    <row r="49" spans="2:34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510"/>
      <c r="M49" s="89"/>
      <c r="N49" s="89"/>
      <c r="O49" s="366">
        <f>O48+1</f>
        <v>2023</v>
      </c>
      <c r="P49" s="395">
        <f>C25/C18*1000</f>
        <v>4859.0852904820767</v>
      </c>
      <c r="Q49" s="395">
        <f>D25/D18*1000</f>
        <v>4502.8312570781427</v>
      </c>
      <c r="R49" s="395">
        <f>E25/E18*1000</f>
        <v>5619.1744340878831</v>
      </c>
      <c r="S49" s="396"/>
      <c r="T49" s="89"/>
      <c r="U49" s="89"/>
      <c r="V49" s="89"/>
      <c r="W49" s="89"/>
      <c r="X49" s="89"/>
      <c r="Y49" s="89"/>
      <c r="AA49" s="510"/>
    </row>
    <row r="50" spans="2:34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510"/>
      <c r="M50" s="89"/>
      <c r="N50" s="89"/>
      <c r="O50" s="366">
        <f>O49+1</f>
        <v>2024</v>
      </c>
      <c r="P50" s="395">
        <f>C26/C19*1000</f>
        <v>5346.3626492942449</v>
      </c>
      <c r="Q50" s="395">
        <f>D26/D19*1000</f>
        <v>4689.5874263261294</v>
      </c>
      <c r="R50" s="395"/>
      <c r="S50" s="396"/>
      <c r="T50" s="89"/>
      <c r="U50" s="89"/>
      <c r="V50" s="89"/>
      <c r="W50" s="89"/>
      <c r="X50" s="89"/>
      <c r="Y50" s="89"/>
      <c r="AA50" s="510"/>
      <c r="AB50"/>
      <c r="AC50"/>
      <c r="AD50"/>
      <c r="AE50"/>
      <c r="AF50"/>
      <c r="AG50"/>
      <c r="AH50"/>
    </row>
    <row r="51" spans="2:34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510"/>
      <c r="M51" s="89"/>
      <c r="N51" s="89"/>
      <c r="O51" s="392">
        <f>O50+1</f>
        <v>2025</v>
      </c>
      <c r="P51" s="398">
        <f>C27/C20*1000</f>
        <v>4323.8172920065253</v>
      </c>
      <c r="Q51" s="398"/>
      <c r="R51" s="398"/>
      <c r="S51" s="399"/>
      <c r="T51" s="89"/>
      <c r="U51" s="89"/>
      <c r="V51" s="89"/>
      <c r="W51" s="89"/>
      <c r="X51" s="89"/>
      <c r="Y51" s="89"/>
      <c r="AA51" s="510"/>
      <c r="AB51"/>
      <c r="AC51"/>
      <c r="AD51"/>
      <c r="AE51"/>
      <c r="AF51"/>
      <c r="AG51"/>
      <c r="AH51"/>
    </row>
    <row r="52" spans="2:34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510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AA52" s="510"/>
      <c r="AB52"/>
      <c r="AC52"/>
      <c r="AD52"/>
      <c r="AE52"/>
      <c r="AF52"/>
      <c r="AG52"/>
      <c r="AH52"/>
    </row>
    <row r="53" spans="2:34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510"/>
      <c r="M53" s="233" t="s">
        <v>258</v>
      </c>
      <c r="N53" s="89" t="s">
        <v>714</v>
      </c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AA53" s="510"/>
      <c r="AB53"/>
      <c r="AC53"/>
      <c r="AD53"/>
      <c r="AE53"/>
      <c r="AF53"/>
      <c r="AG53"/>
      <c r="AH53"/>
    </row>
    <row r="54" spans="2:34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510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AA54" s="510"/>
      <c r="AB54"/>
      <c r="AC54"/>
      <c r="AD54"/>
      <c r="AE54"/>
      <c r="AF54"/>
      <c r="AG54"/>
      <c r="AH54"/>
    </row>
    <row r="55" spans="2:34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510"/>
      <c r="M55" s="89"/>
      <c r="N55" s="274" t="s">
        <v>233</v>
      </c>
      <c r="O55" s="1" t="s">
        <v>715</v>
      </c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AA55" s="510"/>
      <c r="AB55"/>
      <c r="AC55"/>
      <c r="AD55"/>
      <c r="AE55"/>
      <c r="AF55"/>
      <c r="AG55"/>
      <c r="AH55"/>
    </row>
    <row r="56" spans="2:34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510"/>
      <c r="M56" s="89"/>
      <c r="N56" s="522"/>
      <c r="O56" s="125" t="s">
        <v>83</v>
      </c>
      <c r="P56" s="275" t="str">
        <f>P28</f>
        <v>12-24</v>
      </c>
      <c r="Q56" s="276" t="str">
        <f>Q28</f>
        <v>24-36</v>
      </c>
      <c r="R56" s="277" t="str">
        <f>R28</f>
        <v>36-48</v>
      </c>
      <c r="S56" s="278" t="s">
        <v>235</v>
      </c>
      <c r="T56" s="522"/>
      <c r="U56" s="279" t="s">
        <v>236</v>
      </c>
      <c r="V56" s="162"/>
      <c r="W56" s="162"/>
      <c r="X56" s="162"/>
      <c r="Y56" s="163"/>
      <c r="AA56" s="510"/>
      <c r="AB56"/>
      <c r="AC56"/>
      <c r="AD56"/>
      <c r="AE56"/>
      <c r="AF56"/>
      <c r="AG56"/>
      <c r="AH56"/>
    </row>
    <row r="57" spans="2:34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510"/>
      <c r="M57" s="89"/>
      <c r="N57" s="522"/>
      <c r="O57" s="174">
        <f>B17</f>
        <v>2022</v>
      </c>
      <c r="P57" s="402">
        <f>Q48/P48</f>
        <v>1.1254154766240487</v>
      </c>
      <c r="Q57" s="403">
        <f>R48/Q48</f>
        <v>0.83672174929060261</v>
      </c>
      <c r="R57" s="404">
        <f>S48/R48</f>
        <v>1.0473601373587065</v>
      </c>
      <c r="S57" s="522"/>
      <c r="T57" s="522"/>
      <c r="U57" s="283" t="s">
        <v>237</v>
      </c>
      <c r="V57" s="135"/>
      <c r="W57" s="135"/>
      <c r="X57" s="135"/>
      <c r="Y57" s="136"/>
      <c r="AA57" s="510"/>
      <c r="AB57"/>
      <c r="AC57"/>
      <c r="AD57"/>
      <c r="AE57"/>
      <c r="AF57"/>
      <c r="AG57"/>
      <c r="AH57"/>
    </row>
    <row r="58" spans="2:34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M58" s="89"/>
      <c r="N58" s="526"/>
      <c r="O58" s="174">
        <f>O57+1</f>
        <v>2023</v>
      </c>
      <c r="P58" s="405">
        <f>Q49/P49</f>
        <v>0.92668290180010615</v>
      </c>
      <c r="Q58" s="406">
        <f>R49/Q49</f>
        <v>1.2479202779928573</v>
      </c>
      <c r="R58" s="407"/>
      <c r="S58" s="526"/>
      <c r="T58" s="526"/>
      <c r="U58" s="287" t="s">
        <v>238</v>
      </c>
      <c r="V58" s="531"/>
      <c r="W58" s="531"/>
      <c r="X58" s="531"/>
      <c r="Y58" s="139"/>
      <c r="AA58"/>
      <c r="AB58"/>
      <c r="AC58"/>
      <c r="AD58"/>
      <c r="AE58"/>
      <c r="AF58"/>
      <c r="AG58"/>
      <c r="AH58"/>
    </row>
    <row r="59" spans="2:34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M59" s="89"/>
      <c r="N59" s="526"/>
      <c r="O59" s="174">
        <f>O58+1</f>
        <v>2024</v>
      </c>
      <c r="P59" s="405">
        <f>Q50/P50</f>
        <v>0.87715475622387606</v>
      </c>
      <c r="Q59" s="408"/>
      <c r="R59" s="407"/>
      <c r="S59" s="526"/>
      <c r="T59" s="526"/>
      <c r="U59" s="526"/>
      <c r="V59" s="526"/>
      <c r="W59" s="526"/>
      <c r="X59" s="526"/>
      <c r="Y59" s="526"/>
      <c r="AA59"/>
      <c r="AB59"/>
      <c r="AC59"/>
      <c r="AD59"/>
      <c r="AE59"/>
      <c r="AF59"/>
      <c r="AG59"/>
      <c r="AH59"/>
    </row>
    <row r="60" spans="2:34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M60" s="89"/>
      <c r="N60" s="526"/>
      <c r="O60" s="175">
        <f>O59+1</f>
        <v>2025</v>
      </c>
      <c r="P60" s="409"/>
      <c r="Q60" s="410"/>
      <c r="R60" s="411"/>
      <c r="S60" s="526"/>
      <c r="T60" s="526"/>
      <c r="U60" s="526"/>
      <c r="V60" s="526"/>
      <c r="W60" s="526"/>
      <c r="X60" s="526"/>
      <c r="Y60" s="526"/>
      <c r="AA60"/>
      <c r="AB60"/>
      <c r="AC60"/>
      <c r="AD60"/>
      <c r="AE60"/>
      <c r="AF60"/>
      <c r="AG60"/>
      <c r="AH60"/>
    </row>
    <row r="61" spans="2:34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M61" s="89"/>
      <c r="N61" s="274" t="s">
        <v>233</v>
      </c>
      <c r="O61" s="292" t="s">
        <v>240</v>
      </c>
      <c r="P61" s="293">
        <f>AVERAGE(P57:P59)</f>
        <v>0.97641771154934365</v>
      </c>
      <c r="Q61" s="294">
        <f>AVERAGE(Q57:Q59)</f>
        <v>1.04232101364173</v>
      </c>
      <c r="R61" s="295">
        <f>AVERAGE(R57:R59)</f>
        <v>1.0473601373587065</v>
      </c>
      <c r="S61" s="296">
        <v>1</v>
      </c>
      <c r="T61" s="156"/>
      <c r="U61" s="525"/>
      <c r="V61" s="156"/>
      <c r="W61" s="525"/>
      <c r="X61" s="526"/>
      <c r="Y61" s="526"/>
      <c r="AA61"/>
      <c r="AB61"/>
      <c r="AC61"/>
      <c r="AD61"/>
      <c r="AE61"/>
      <c r="AF61"/>
      <c r="AG61"/>
      <c r="AH61"/>
    </row>
    <row r="62" spans="2:34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M62" s="89"/>
      <c r="N62" s="526"/>
      <c r="O62" s="522"/>
      <c r="P62" s="522"/>
      <c r="Q62" s="522"/>
      <c r="R62" s="522"/>
      <c r="S62" s="522"/>
      <c r="T62" s="526"/>
      <c r="U62" s="526"/>
      <c r="V62" s="526"/>
      <c r="W62" s="526"/>
      <c r="X62" s="526"/>
      <c r="Y62" s="526"/>
      <c r="AA62"/>
      <c r="AB62"/>
      <c r="AC62"/>
      <c r="AD62"/>
      <c r="AE62"/>
      <c r="AF62"/>
      <c r="AG62"/>
      <c r="AH62"/>
    </row>
    <row r="63" spans="2:34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M63" s="89"/>
      <c r="N63" s="274" t="s">
        <v>233</v>
      </c>
      <c r="O63" s="1" t="s">
        <v>242</v>
      </c>
      <c r="P63" s="1"/>
      <c r="Q63" s="522"/>
      <c r="R63" s="522"/>
      <c r="S63" s="522"/>
      <c r="T63" s="526"/>
      <c r="U63" s="216"/>
      <c r="V63" s="526"/>
      <c r="W63" s="526"/>
      <c r="X63" s="216"/>
      <c r="Y63" s="526"/>
      <c r="AA63"/>
      <c r="AB63"/>
      <c r="AC63"/>
      <c r="AD63"/>
      <c r="AE63"/>
      <c r="AF63"/>
      <c r="AG63"/>
      <c r="AH63"/>
    </row>
    <row r="64" spans="2:34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M64" s="89"/>
      <c r="N64" s="526"/>
      <c r="O64" s="297"/>
      <c r="P64" s="298" t="str">
        <f>P36</f>
        <v>12-ult</v>
      </c>
      <c r="Q64" s="299" t="str">
        <f>Q36</f>
        <v>24-ult</v>
      </c>
      <c r="R64" s="299" t="str">
        <f>R36</f>
        <v>36-ult</v>
      </c>
      <c r="S64" s="300" t="str">
        <f>S36</f>
        <v>48-ult</v>
      </c>
      <c r="T64" s="526"/>
      <c r="U64" s="526"/>
      <c r="V64" s="526"/>
      <c r="W64" s="216"/>
      <c r="X64" s="526"/>
      <c r="Y64" s="526"/>
      <c r="AA64"/>
      <c r="AB64"/>
      <c r="AC64"/>
      <c r="AD64"/>
      <c r="AE64"/>
      <c r="AF64"/>
      <c r="AG64"/>
      <c r="AH64"/>
    </row>
    <row r="65" spans="2:34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M65" s="89"/>
      <c r="N65" s="526"/>
      <c r="O65" s="301" t="s">
        <v>243</v>
      </c>
      <c r="P65" s="302">
        <f>Q65*P61</f>
        <v>1.0659410381324514</v>
      </c>
      <c r="Q65" s="302">
        <f>R65*Q61</f>
        <v>1.0916854800196685</v>
      </c>
      <c r="R65" s="302">
        <f>S65*R61</f>
        <v>1.0473601373587065</v>
      </c>
      <c r="S65" s="303">
        <f>S61</f>
        <v>1</v>
      </c>
      <c r="T65" s="304" t="s">
        <v>244</v>
      </c>
      <c r="U65" s="305" t="s">
        <v>245</v>
      </c>
      <c r="V65" s="207"/>
      <c r="W65" s="177"/>
      <c r="X65" s="526"/>
      <c r="Y65" s="526"/>
      <c r="AA65"/>
      <c r="AB65"/>
      <c r="AC65"/>
      <c r="AD65"/>
      <c r="AE65"/>
      <c r="AF65"/>
      <c r="AG65"/>
      <c r="AH65"/>
    </row>
    <row r="66" spans="2:34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M66" s="89"/>
      <c r="N66" s="526"/>
      <c r="O66" s="522"/>
      <c r="P66" s="522"/>
      <c r="Q66" s="522"/>
      <c r="R66" s="522"/>
      <c r="S66" s="522"/>
      <c r="T66" s="526"/>
      <c r="U66" s="306" t="s">
        <v>246</v>
      </c>
      <c r="V66" s="526"/>
      <c r="W66" s="526"/>
      <c r="X66" s="526"/>
      <c r="Y66" s="526"/>
      <c r="AA66"/>
      <c r="AB66"/>
      <c r="AC66"/>
      <c r="AD66"/>
      <c r="AE66"/>
      <c r="AF66"/>
      <c r="AG66"/>
      <c r="AH66"/>
    </row>
    <row r="67" spans="2:34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M67" s="89"/>
      <c r="N67" s="274" t="s">
        <v>233</v>
      </c>
      <c r="O67" s="1" t="s">
        <v>716</v>
      </c>
      <c r="P67" s="522"/>
      <c r="Q67" s="522"/>
      <c r="R67" s="522"/>
      <c r="S67" s="522"/>
      <c r="T67" s="526"/>
      <c r="U67" s="526"/>
      <c r="V67" s="526"/>
      <c r="W67" s="526"/>
      <c r="X67" s="526"/>
      <c r="Y67" s="526"/>
      <c r="AA67"/>
      <c r="AB67"/>
      <c r="AC67"/>
      <c r="AD67"/>
      <c r="AE67"/>
      <c r="AF67"/>
      <c r="AG67"/>
      <c r="AH67"/>
    </row>
    <row r="68" spans="2:34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M68" s="89"/>
      <c r="N68" s="526"/>
      <c r="O68" s="297"/>
      <c r="P68" s="307" t="str">
        <f>P40</f>
        <v>'26@12</v>
      </c>
      <c r="Q68" s="308" t="str">
        <f>Q40</f>
        <v>'21@24</v>
      </c>
      <c r="R68" s="308" t="str">
        <f>R40</f>
        <v>'09@36</v>
      </c>
      <c r="S68" s="309" t="str">
        <f>S40</f>
        <v>'35@48</v>
      </c>
      <c r="T68" s="526"/>
      <c r="U68" s="526"/>
      <c r="V68" s="526"/>
      <c r="W68" s="526"/>
      <c r="X68" s="526"/>
      <c r="Y68" s="526"/>
      <c r="AA68"/>
      <c r="AB68"/>
      <c r="AC68"/>
      <c r="AD68"/>
      <c r="AE68"/>
      <c r="AF68"/>
      <c r="AG68"/>
      <c r="AH68"/>
    </row>
    <row r="69" spans="2:3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M69" s="89"/>
      <c r="N69" s="526"/>
      <c r="O69" s="310" t="s">
        <v>249</v>
      </c>
      <c r="P69" s="311">
        <f>P51</f>
        <v>4323.8172920065253</v>
      </c>
      <c r="Q69" s="311">
        <f>Q50</f>
        <v>4689.5874263261294</v>
      </c>
      <c r="R69" s="311">
        <f>R49</f>
        <v>5619.1744340878831</v>
      </c>
      <c r="S69" s="312">
        <f>S48</f>
        <v>5384.8275862068967</v>
      </c>
      <c r="T69" s="526"/>
      <c r="U69" s="526"/>
      <c r="V69" s="526"/>
      <c r="W69" s="526"/>
      <c r="X69" s="526"/>
      <c r="Y69" s="526"/>
      <c r="AA69"/>
      <c r="AB69"/>
      <c r="AC69"/>
      <c r="AD69"/>
      <c r="AE69"/>
      <c r="AF69"/>
      <c r="AG69"/>
      <c r="AH69"/>
    </row>
    <row r="70" spans="2:34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M70" s="89"/>
      <c r="N70" s="526"/>
      <c r="O70" s="313" t="s">
        <v>250</v>
      </c>
      <c r="P70" s="751">
        <f>P69*P65</f>
        <v>4608.9342929364802</v>
      </c>
      <c r="Q70" s="752">
        <f>Q69*Q65</f>
        <v>5119.5545006030425</v>
      </c>
      <c r="R70" s="752">
        <f>R69*R65</f>
        <v>5885.2993071288174</v>
      </c>
      <c r="S70" s="498">
        <f>S69*S65</f>
        <v>5384.8275862068967</v>
      </c>
      <c r="T70" s="304" t="s">
        <v>244</v>
      </c>
      <c r="U70" s="305" t="s">
        <v>251</v>
      </c>
      <c r="V70" s="207"/>
      <c r="W70" s="177"/>
      <c r="X70" s="526"/>
      <c r="Y70" s="526"/>
      <c r="AA70"/>
      <c r="AB70"/>
      <c r="AC70"/>
      <c r="AD70"/>
      <c r="AE70"/>
      <c r="AF70"/>
      <c r="AG70"/>
      <c r="AH70"/>
    </row>
    <row r="71" spans="2:34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AA71"/>
      <c r="AB71"/>
      <c r="AC71"/>
      <c r="AD71"/>
      <c r="AE71"/>
      <c r="AF71"/>
      <c r="AG71"/>
      <c r="AH71"/>
    </row>
    <row r="72" spans="2:34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M72" s="206" t="s">
        <v>717</v>
      </c>
      <c r="N72" s="89" t="s">
        <v>718</v>
      </c>
      <c r="O72" s="89"/>
      <c r="P72" s="89"/>
      <c r="Q72" s="89" t="s">
        <v>719</v>
      </c>
      <c r="R72" s="89"/>
      <c r="S72" s="89"/>
      <c r="T72" s="89"/>
      <c r="U72" s="89"/>
      <c r="V72" s="89"/>
      <c r="W72" s="89"/>
      <c r="X72" s="89"/>
      <c r="Y72" s="89"/>
      <c r="AA72"/>
      <c r="AB72"/>
      <c r="AC72"/>
      <c r="AD72"/>
      <c r="AE72"/>
      <c r="AF72"/>
      <c r="AG72"/>
      <c r="AH72"/>
    </row>
    <row r="73" spans="2:34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AA73"/>
      <c r="AB73"/>
      <c r="AC73"/>
      <c r="AD73"/>
      <c r="AE73"/>
      <c r="AF73"/>
      <c r="AG73"/>
      <c r="AH73"/>
    </row>
    <row r="74" spans="2:34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M74" s="89"/>
      <c r="N74" s="89"/>
      <c r="O74" s="318" t="s">
        <v>720</v>
      </c>
      <c r="P74" s="89">
        <f>P42</f>
        <v>1219.8401180034693</v>
      </c>
      <c r="Q74" s="89">
        <f>Q42</f>
        <v>986.20985567848538</v>
      </c>
      <c r="R74" s="89">
        <f>R42</f>
        <v>725.9666666666667</v>
      </c>
      <c r="S74" s="89">
        <f>S42</f>
        <v>725</v>
      </c>
      <c r="T74" s="89" t="s">
        <v>721</v>
      </c>
      <c r="U74" s="89" t="s">
        <v>722</v>
      </c>
      <c r="V74" s="89"/>
      <c r="W74" s="89"/>
      <c r="X74" s="89"/>
      <c r="Y74" s="89"/>
      <c r="AA74"/>
      <c r="AB74"/>
      <c r="AC74"/>
      <c r="AD74"/>
      <c r="AE74"/>
      <c r="AF74"/>
      <c r="AG74"/>
      <c r="AH74"/>
    </row>
    <row r="75" spans="2:34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M75" s="89"/>
      <c r="N75" s="89"/>
      <c r="O75" s="318" t="s">
        <v>723</v>
      </c>
      <c r="P75" s="89">
        <f>P70</f>
        <v>4608.9342929364802</v>
      </c>
      <c r="Q75" s="89">
        <f>Q70</f>
        <v>5119.5545006030425</v>
      </c>
      <c r="R75" s="89">
        <f>R70</f>
        <v>5885.2993071288174</v>
      </c>
      <c r="S75" s="89">
        <f>S70</f>
        <v>5384.8275862068967</v>
      </c>
      <c r="T75" s="89" t="s">
        <v>721</v>
      </c>
      <c r="U75" s="89" t="s">
        <v>724</v>
      </c>
      <c r="V75" s="89"/>
      <c r="W75" s="89"/>
      <c r="X75" s="89"/>
      <c r="Y75" s="89"/>
      <c r="AA75"/>
      <c r="AB75"/>
      <c r="AC75"/>
      <c r="AD75"/>
      <c r="AE75"/>
      <c r="AF75"/>
      <c r="AG75"/>
      <c r="AH75"/>
    </row>
    <row r="76" spans="2:34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M76" s="89"/>
      <c r="N76" s="333"/>
      <c r="O76" s="753" t="s">
        <v>725</v>
      </c>
      <c r="P76" s="333">
        <f>P74*P75/1000</f>
        <v>5622.1629517658721</v>
      </c>
      <c r="Q76" s="333">
        <f>Q74*Q75/1000</f>
        <v>5048.9551051778672</v>
      </c>
      <c r="R76" s="333">
        <f>R74*R75/1000</f>
        <v>4272.5311203319507</v>
      </c>
      <c r="S76" s="333">
        <f>S74*S75/1000</f>
        <v>3904</v>
      </c>
      <c r="T76" s="89"/>
      <c r="U76" s="89"/>
      <c r="V76" s="89"/>
      <c r="W76" s="89"/>
      <c r="X76" s="89"/>
      <c r="Y76" s="89"/>
    </row>
    <row r="77" spans="2:34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</row>
    <row r="78" spans="2:34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M78" s="206" t="s">
        <v>304</v>
      </c>
      <c r="N78" s="89" t="s">
        <v>726</v>
      </c>
      <c r="O78" s="89"/>
      <c r="P78" s="89"/>
      <c r="Q78" s="161"/>
      <c r="R78" s="161" t="s">
        <v>727</v>
      </c>
      <c r="S78" s="89"/>
      <c r="T78" s="89"/>
      <c r="U78" s="89"/>
      <c r="V78" s="89"/>
      <c r="W78" s="89"/>
      <c r="X78" s="89"/>
      <c r="Y78" s="89"/>
    </row>
    <row r="79" spans="2:34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</row>
    <row r="80" spans="2:34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M80" s="89"/>
      <c r="N80" s="229" t="s">
        <v>261</v>
      </c>
      <c r="O80" s="229" t="s">
        <v>33</v>
      </c>
      <c r="P80" s="229" t="s">
        <v>250</v>
      </c>
      <c r="Q80" s="229" t="s">
        <v>123</v>
      </c>
      <c r="R80" s="89" t="s">
        <v>728</v>
      </c>
      <c r="S80" s="89"/>
      <c r="T80" s="89"/>
      <c r="U80" s="89"/>
      <c r="V80" s="89"/>
      <c r="W80" s="89"/>
      <c r="X80" s="89"/>
      <c r="Y80" s="89"/>
    </row>
    <row r="81" spans="2:25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M81" s="89"/>
      <c r="N81" s="89"/>
      <c r="O81" s="229" t="s">
        <v>33</v>
      </c>
      <c r="P81" s="229">
        <f>P76</f>
        <v>5622.1629517658721</v>
      </c>
      <c r="Q81" s="229" t="s">
        <v>123</v>
      </c>
      <c r="R81" s="229">
        <f>E13</f>
        <v>2079</v>
      </c>
      <c r="S81" s="89"/>
      <c r="T81" s="89"/>
      <c r="U81" s="89"/>
      <c r="V81" s="89"/>
      <c r="W81" s="89"/>
      <c r="X81" s="89"/>
      <c r="Y81" s="89"/>
    </row>
    <row r="82" spans="2:25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M82" s="89"/>
      <c r="N82" s="89"/>
      <c r="O82" s="229" t="s">
        <v>33</v>
      </c>
      <c r="P82" s="206">
        <f>P81-R81</f>
        <v>3543.1629517658721</v>
      </c>
      <c r="Q82" s="161" t="s">
        <v>308</v>
      </c>
      <c r="R82" s="89"/>
      <c r="S82" s="89"/>
      <c r="T82" s="89"/>
      <c r="U82" s="89"/>
      <c r="V82" s="89"/>
      <c r="W82" s="89"/>
      <c r="X82" s="89"/>
      <c r="Y82" s="89"/>
    </row>
    <row r="83" spans="2:25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2:25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2:25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</row>
    <row r="86" spans="2:25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</row>
    <row r="87" spans="2:25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</row>
    <row r="88" spans="2:25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</row>
    <row r="89" spans="2:25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</row>
    <row r="90" spans="2:25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</row>
    <row r="91" spans="2:25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2:25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2:25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2:25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</row>
    <row r="95" spans="2:25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</row>
    <row r="96" spans="2:25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</row>
    <row r="97" spans="2:11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</row>
    <row r="98" spans="2:11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</row>
    <row r="99" spans="2:11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</row>
    <row r="100" spans="2:11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2:11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</sheetData>
  <mergeCells count="1">
    <mergeCell ref="I1:J1"/>
  </mergeCells>
  <conditionalFormatting sqref="B1:C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:C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I100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30" ht="15" customHeight="1">
      <c r="A1" s="7">
        <v>25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Reserving - Chap 12: Case O/S Methods</v>
      </c>
      <c r="M1"/>
      <c r="N1"/>
      <c r="O1"/>
      <c r="P1"/>
      <c r="Q1"/>
      <c r="R1"/>
      <c r="S1"/>
      <c r="T1"/>
      <c r="U1"/>
    </row>
    <row r="2" spans="1:30" ht="15" customHeight="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 s="510"/>
      <c r="AA2" s="510"/>
      <c r="AB2" s="510"/>
      <c r="AC2" s="510"/>
      <c r="AD2" s="510"/>
    </row>
    <row r="3" spans="1:30" ht="15" customHeight="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2</v>
      </c>
      <c r="L3" s="319" t="s">
        <v>119</v>
      </c>
      <c r="M3" s="756" t="s">
        <v>738</v>
      </c>
      <c r="N3" s="756"/>
      <c r="O3" s="756" t="s">
        <v>739</v>
      </c>
      <c r="P3" s="756"/>
      <c r="Q3" s="756"/>
      <c r="R3" s="757"/>
      <c r="S3" s="757"/>
      <c r="T3" s="757"/>
      <c r="U3" s="757"/>
      <c r="V3" s="757"/>
      <c r="W3" s="757"/>
      <c r="X3" s="89"/>
      <c r="AA3" s="510"/>
      <c r="AB3" s="510"/>
      <c r="AC3" s="510"/>
      <c r="AD3" s="510"/>
    </row>
    <row r="4" spans="1:30" ht="15" customHeight="1">
      <c r="A4" s="9">
        <f>INDEX('Point Grid'!B:B,MATCH(A1,'Point Grid'!A:A,0))</f>
        <v>1.75</v>
      </c>
      <c r="B4" s="17"/>
      <c r="C4" s="17"/>
      <c r="D4" s="17"/>
      <c r="E4" s="17"/>
      <c r="F4" s="17"/>
      <c r="G4" s="17"/>
      <c r="H4" s="17"/>
      <c r="I4" s="18"/>
      <c r="J4" s="30"/>
      <c r="K4" s="41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AA4" s="510"/>
      <c r="AB4" s="510"/>
      <c r="AC4" s="510"/>
      <c r="AD4" s="510"/>
    </row>
    <row r="5" spans="1:30" ht="15" customHeight="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 s="89"/>
      <c r="M5" s="385"/>
      <c r="N5" s="386" t="s">
        <v>740</v>
      </c>
      <c r="O5" s="386"/>
      <c r="P5" s="386"/>
      <c r="Q5" s="387"/>
      <c r="R5" s="89"/>
      <c r="S5" s="758" t="s">
        <v>741</v>
      </c>
      <c r="T5" s="759"/>
      <c r="U5" s="759"/>
      <c r="V5" s="759"/>
      <c r="W5" s="760"/>
      <c r="X5" s="89"/>
      <c r="AA5" s="510"/>
      <c r="AB5" s="510"/>
      <c r="AC5" s="510"/>
      <c r="AD5" s="510"/>
    </row>
    <row r="6" spans="1:30" ht="15" customHeight="1">
      <c r="A6" s="25" t="s">
        <v>2</v>
      </c>
      <c r="B6" s="17" t="s">
        <v>731</v>
      </c>
      <c r="C6" s="17"/>
      <c r="D6" s="17"/>
      <c r="E6" s="754" t="s">
        <v>261</v>
      </c>
      <c r="F6" s="17" t="s">
        <v>732</v>
      </c>
      <c r="G6" s="754">
        <v>2025</v>
      </c>
      <c r="H6" s="17"/>
      <c r="I6" s="18"/>
      <c r="J6" s="30"/>
      <c r="K6" s="41"/>
      <c r="L6" s="89"/>
      <c r="M6" s="388" t="s">
        <v>83</v>
      </c>
      <c r="N6" s="389">
        <v>12</v>
      </c>
      <c r="O6" s="389">
        <v>24</v>
      </c>
      <c r="P6" s="389">
        <v>36</v>
      </c>
      <c r="Q6" s="390">
        <v>48</v>
      </c>
      <c r="R6" s="89"/>
      <c r="S6" s="761" t="s">
        <v>742</v>
      </c>
      <c r="T6" s="762"/>
      <c r="U6" s="762"/>
      <c r="V6" s="762"/>
      <c r="W6" s="763"/>
      <c r="X6" s="89"/>
      <c r="AA6" s="510"/>
      <c r="AB6" s="510"/>
      <c r="AC6" s="510"/>
      <c r="AD6" s="510"/>
    </row>
    <row r="7" spans="1:30" ht="15" customHeight="1" thickBot="1">
      <c r="A7" s="9">
        <f>INDEX('Point Grid'!$C$8:$I$54,MATCH($A$1,'Point Grid'!$A$8:$A$54,0),MATCH(A6,'Point Grid'!$C$7:$I$7,0))</f>
        <v>1.5</v>
      </c>
      <c r="B7" s="17"/>
      <c r="C7" s="17"/>
      <c r="D7" s="17"/>
      <c r="E7" s="17"/>
      <c r="F7" s="17"/>
      <c r="G7" s="17"/>
      <c r="H7" s="17"/>
      <c r="I7" s="18"/>
      <c r="J7" s="30"/>
      <c r="K7" s="41"/>
      <c r="L7" s="89"/>
      <c r="M7" s="366">
        <f>B11</f>
        <v>2022</v>
      </c>
      <c r="N7" s="395">
        <f>C11</f>
        <v>9454</v>
      </c>
      <c r="O7" s="395">
        <f>D11-C11</f>
        <v>15116</v>
      </c>
      <c r="P7" s="395">
        <f>E11-D11</f>
        <v>13244</v>
      </c>
      <c r="Q7" s="396">
        <f>F11-E11</f>
        <v>10858</v>
      </c>
      <c r="R7" s="89"/>
      <c r="S7" s="89"/>
      <c r="T7" s="89"/>
      <c r="U7" s="89"/>
      <c r="V7" s="89"/>
      <c r="W7" s="89"/>
      <c r="X7" s="89"/>
      <c r="AA7" s="510"/>
      <c r="AB7" s="510"/>
      <c r="AC7" s="510"/>
      <c r="AD7" s="510"/>
    </row>
    <row r="8" spans="1:30" ht="15" customHeight="1" thickBot="1">
      <c r="A8" s="5"/>
      <c r="B8" s="17"/>
      <c r="C8" s="17"/>
      <c r="D8" s="17"/>
      <c r="E8" s="17"/>
      <c r="F8" s="17"/>
      <c r="G8" s="17"/>
      <c r="H8" s="17"/>
      <c r="I8" s="18"/>
      <c r="J8" s="30"/>
      <c r="K8"/>
      <c r="L8" s="89"/>
      <c r="M8" s="366">
        <f>M7+1</f>
        <v>2023</v>
      </c>
      <c r="N8" s="395">
        <f>C12</f>
        <v>9547</v>
      </c>
      <c r="O8" s="395">
        <f>D12-C12</f>
        <v>13151</v>
      </c>
      <c r="P8" s="395">
        <f>E12-D12</f>
        <v>12870</v>
      </c>
      <c r="Q8" s="396"/>
      <c r="R8" s="89"/>
      <c r="S8" s="89"/>
      <c r="T8" s="89"/>
      <c r="U8" s="89"/>
      <c r="V8" s="89"/>
      <c r="W8" s="89"/>
      <c r="X8" s="89"/>
      <c r="AA8" s="510"/>
      <c r="AB8" s="510"/>
      <c r="AC8" s="510"/>
      <c r="AD8" s="510"/>
    </row>
    <row r="9" spans="1:30" ht="15" customHeight="1">
      <c r="A9" s="25"/>
      <c r="B9" s="412"/>
      <c r="C9" s="413" t="s">
        <v>735</v>
      </c>
      <c r="D9" s="413"/>
      <c r="E9" s="413"/>
      <c r="F9" s="414"/>
      <c r="G9" s="181"/>
      <c r="H9" s="17"/>
      <c r="I9" s="18"/>
      <c r="J9" s="30"/>
      <c r="K9" s="41"/>
      <c r="L9" s="89"/>
      <c r="M9" s="366">
        <f>M8+1</f>
        <v>2024</v>
      </c>
      <c r="N9" s="395">
        <f>C13</f>
        <v>9454</v>
      </c>
      <c r="O9" s="395">
        <f>D13-C13</f>
        <v>12776</v>
      </c>
      <c r="P9" s="395"/>
      <c r="Q9" s="396"/>
      <c r="R9" s="89"/>
      <c r="S9" s="89"/>
      <c r="T9" s="89"/>
      <c r="U9" s="89"/>
      <c r="V9" s="89"/>
      <c r="W9" s="89"/>
      <c r="X9" s="89"/>
      <c r="AA9" s="510"/>
      <c r="AB9" s="510"/>
      <c r="AC9" s="510"/>
      <c r="AD9" s="510"/>
    </row>
    <row r="10" spans="1:30" ht="15" customHeight="1">
      <c r="A10" s="25"/>
      <c r="B10" s="415" t="s">
        <v>83</v>
      </c>
      <c r="C10" s="416">
        <v>12</v>
      </c>
      <c r="D10" s="416">
        <v>24</v>
      </c>
      <c r="E10" s="416">
        <v>36</v>
      </c>
      <c r="F10" s="327">
        <v>48</v>
      </c>
      <c r="G10" s="325"/>
      <c r="H10" s="17"/>
      <c r="I10" s="18"/>
      <c r="J10" s="30"/>
      <c r="K10"/>
      <c r="L10" s="89"/>
      <c r="M10" s="392">
        <f>M9+1</f>
        <v>2025</v>
      </c>
      <c r="N10" s="398">
        <f>C14</f>
        <v>8892</v>
      </c>
      <c r="O10" s="398"/>
      <c r="P10" s="398"/>
      <c r="Q10" s="399"/>
      <c r="R10" s="89"/>
      <c r="S10" s="89"/>
      <c r="T10" s="89"/>
      <c r="U10" s="89"/>
      <c r="V10" s="89"/>
      <c r="W10" s="89"/>
      <c r="X10" s="89"/>
      <c r="AA10" s="510"/>
      <c r="AB10" s="510"/>
      <c r="AC10" s="510"/>
      <c r="AD10" s="510"/>
    </row>
    <row r="11" spans="1:30" ht="15" customHeight="1">
      <c r="A11" s="25"/>
      <c r="B11" s="417">
        <v>2022</v>
      </c>
      <c r="C11" s="353">
        <v>9454</v>
      </c>
      <c r="D11" s="353">
        <v>24570</v>
      </c>
      <c r="E11" s="353">
        <v>37814</v>
      </c>
      <c r="F11" s="356">
        <v>48672</v>
      </c>
      <c r="G11" s="57"/>
      <c r="H11" s="17"/>
      <c r="I11" s="18"/>
      <c r="J11" s="30"/>
      <c r="K11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AA11" s="510"/>
      <c r="AB11" s="510"/>
      <c r="AC11" s="510"/>
      <c r="AD11" s="510"/>
    </row>
    <row r="12" spans="1:30" ht="15" customHeight="1">
      <c r="A12" s="25"/>
      <c r="B12" s="417">
        <f>B11+1</f>
        <v>2023</v>
      </c>
      <c r="C12" s="353">
        <v>9547</v>
      </c>
      <c r="D12" s="353">
        <v>22698</v>
      </c>
      <c r="E12" s="353">
        <v>35568</v>
      </c>
      <c r="F12" s="356"/>
      <c r="G12" s="181"/>
      <c r="H12" s="17"/>
      <c r="I12" s="18"/>
      <c r="J12" s="30"/>
      <c r="K12"/>
      <c r="L12" s="205" t="s">
        <v>211</v>
      </c>
      <c r="M12" s="394" t="s">
        <v>743</v>
      </c>
      <c r="N12" s="256"/>
      <c r="O12" s="256"/>
      <c r="P12" s="256"/>
      <c r="Q12" s="256"/>
      <c r="R12" s="256"/>
      <c r="S12" s="256"/>
      <c r="T12" s="764"/>
      <c r="U12" s="764"/>
      <c r="V12" s="764"/>
      <c r="W12" s="256"/>
      <c r="X12" s="89"/>
      <c r="AA12" s="510"/>
      <c r="AB12" s="510"/>
      <c r="AC12" s="510"/>
      <c r="AD12" s="510"/>
    </row>
    <row r="13" spans="1:30" ht="15" customHeight="1">
      <c r="A13" s="25"/>
      <c r="B13" s="417">
        <f>B12+1</f>
        <v>2024</v>
      </c>
      <c r="C13" s="353">
        <v>9454</v>
      </c>
      <c r="D13" s="353">
        <v>22230</v>
      </c>
      <c r="E13" s="353"/>
      <c r="F13" s="356"/>
      <c r="G13" s="181"/>
      <c r="H13" s="17"/>
      <c r="I13" s="18"/>
      <c r="J13" s="30"/>
      <c r="K13"/>
      <c r="L13" s="89"/>
      <c r="M13" s="89"/>
      <c r="N13" s="89"/>
      <c r="O13" s="89"/>
      <c r="P13" s="89"/>
      <c r="Q13" s="89"/>
      <c r="R13" s="89"/>
      <c r="S13" s="161" t="s">
        <v>744</v>
      </c>
      <c r="T13" s="89"/>
      <c r="U13" s="89"/>
      <c r="V13" s="89"/>
      <c r="W13" s="89"/>
      <c r="X13" s="89"/>
      <c r="AA13" s="510"/>
      <c r="AB13" s="510"/>
      <c r="AC13" s="510"/>
      <c r="AD13" s="510"/>
    </row>
    <row r="14" spans="1:30" ht="15" customHeight="1">
      <c r="A14" s="25"/>
      <c r="B14" s="418">
        <f>B13+1</f>
        <v>2025</v>
      </c>
      <c r="C14" s="349">
        <v>8892</v>
      </c>
      <c r="D14" s="349"/>
      <c r="E14" s="349"/>
      <c r="F14" s="350"/>
      <c r="G14" s="181"/>
      <c r="H14" s="17"/>
      <c r="I14" s="18"/>
      <c r="J14" s="30"/>
      <c r="K14"/>
      <c r="L14" s="89"/>
      <c r="M14" s="385"/>
      <c r="N14" s="734" t="s">
        <v>745</v>
      </c>
      <c r="O14" s="386"/>
      <c r="P14" s="386"/>
      <c r="Q14" s="387"/>
      <c r="R14" s="89"/>
      <c r="S14" s="161"/>
      <c r="T14" s="510"/>
      <c r="U14" s="523" t="s">
        <v>523</v>
      </c>
      <c r="V14" s="523"/>
      <c r="W14" s="229" t="s">
        <v>746</v>
      </c>
      <c r="X14" s="89"/>
      <c r="AA14" s="510"/>
      <c r="AB14" s="510"/>
      <c r="AC14" s="510"/>
      <c r="AD14" s="510"/>
    </row>
    <row r="15" spans="1:30" ht="15" customHeight="1">
      <c r="A15" s="25"/>
      <c r="B15" s="57"/>
      <c r="C15" s="57"/>
      <c r="D15" s="57"/>
      <c r="E15" s="57"/>
      <c r="F15" s="57"/>
      <c r="G15" s="181"/>
      <c r="H15" s="17"/>
      <c r="I15" s="18"/>
      <c r="J15" s="30"/>
      <c r="K15" s="41"/>
      <c r="L15" s="89"/>
      <c r="M15" s="388" t="s">
        <v>83</v>
      </c>
      <c r="N15" s="765" t="s">
        <v>747</v>
      </c>
      <c r="O15" s="765" t="s">
        <v>748</v>
      </c>
      <c r="P15" s="765" t="s">
        <v>749</v>
      </c>
      <c r="Q15" s="766" t="s">
        <v>750</v>
      </c>
      <c r="R15" s="89"/>
      <c r="S15" s="161"/>
      <c r="T15" s="89"/>
      <c r="U15" s="271" t="s">
        <v>644</v>
      </c>
      <c r="V15" s="510"/>
      <c r="W15" s="271" t="s">
        <v>644</v>
      </c>
      <c r="X15" s="89"/>
      <c r="AA15" s="510"/>
      <c r="AB15" s="510"/>
      <c r="AC15" s="510"/>
      <c r="AD15" s="510"/>
    </row>
    <row r="16" spans="1:30" ht="15" customHeight="1">
      <c r="A16" s="25"/>
      <c r="B16" s="412"/>
      <c r="C16" s="419" t="s">
        <v>736</v>
      </c>
      <c r="D16" s="413"/>
      <c r="E16" s="413"/>
      <c r="F16" s="414"/>
      <c r="G16" s="181"/>
      <c r="H16" s="17"/>
      <c r="I16" s="18"/>
      <c r="J16" s="30"/>
      <c r="K16"/>
      <c r="L16" s="89"/>
      <c r="M16" s="366">
        <f>B11</f>
        <v>2022</v>
      </c>
      <c r="N16" s="767">
        <f>IFERROR(ROUND(D18/C18,3),"")</f>
        <v>0.86799999999999999</v>
      </c>
      <c r="O16" s="768">
        <f>IFERROR(ROUND(E18/D18,3),"")</f>
        <v>0.68500000000000005</v>
      </c>
      <c r="P16" s="769">
        <f>IFERROR(ROUND(F18/E18,3),"")</f>
        <v>0.495</v>
      </c>
      <c r="Q16" s="770"/>
      <c r="R16" s="771" t="s">
        <v>751</v>
      </c>
      <c r="S16" s="772">
        <f>IFERROR(ROUND(U16/W16,3),"")</f>
        <v>0.86799999999999999</v>
      </c>
      <c r="T16" s="229" t="s">
        <v>33</v>
      </c>
      <c r="U16" s="229">
        <f>D18</f>
        <v>15753</v>
      </c>
      <c r="V16" s="269" t="s">
        <v>35</v>
      </c>
      <c r="W16" s="229">
        <f>C18</f>
        <v>18158</v>
      </c>
      <c r="X16" s="89"/>
      <c r="AA16" s="510"/>
      <c r="AB16" s="510"/>
      <c r="AC16" s="510"/>
      <c r="AD16" s="510"/>
    </row>
    <row r="17" spans="1:35" ht="15" customHeight="1">
      <c r="A17" s="25"/>
      <c r="B17" s="415" t="s">
        <v>83</v>
      </c>
      <c r="C17" s="416">
        <v>12</v>
      </c>
      <c r="D17" s="416">
        <v>24</v>
      </c>
      <c r="E17" s="416">
        <v>36</v>
      </c>
      <c r="F17" s="327">
        <v>48</v>
      </c>
      <c r="G17" s="181"/>
      <c r="H17" s="17"/>
      <c r="I17" s="18"/>
      <c r="J17" s="30"/>
      <c r="K17"/>
      <c r="L17" s="89"/>
      <c r="M17" s="366">
        <f>M16+1</f>
        <v>2023</v>
      </c>
      <c r="N17" s="773">
        <f>ROUND(D19/C19,3)</f>
        <v>0.75</v>
      </c>
      <c r="O17" s="773">
        <f>ROUND(E19/D19,3)</f>
        <v>0.70699999999999996</v>
      </c>
      <c r="P17" s="773"/>
      <c r="Q17" s="770"/>
      <c r="R17" s="774" t="s">
        <v>752</v>
      </c>
      <c r="S17" s="775">
        <f>IFERROR(ROUND(U17/W17,3),"")</f>
        <v>0.68500000000000005</v>
      </c>
      <c r="T17" s="229" t="s">
        <v>33</v>
      </c>
      <c r="U17" s="229">
        <f>E18</f>
        <v>10783</v>
      </c>
      <c r="V17" s="269" t="s">
        <v>35</v>
      </c>
      <c r="W17" s="229">
        <f>D18</f>
        <v>15753</v>
      </c>
      <c r="X17" s="89"/>
      <c r="AA17" s="510"/>
      <c r="AB17" s="510"/>
      <c r="AC17" s="510"/>
      <c r="AD17" s="510"/>
    </row>
    <row r="18" spans="1:35" ht="15" customHeight="1">
      <c r="A18" s="25"/>
      <c r="B18" s="417">
        <v>2022</v>
      </c>
      <c r="C18" s="353">
        <v>18158</v>
      </c>
      <c r="D18" s="353">
        <v>15753</v>
      </c>
      <c r="E18" s="353">
        <v>10783</v>
      </c>
      <c r="F18" s="356">
        <v>5335</v>
      </c>
      <c r="G18" s="181"/>
      <c r="H18" s="17"/>
      <c r="I18" s="18"/>
      <c r="J18" s="30"/>
      <c r="K18"/>
      <c r="L18" s="89"/>
      <c r="M18" s="366">
        <f>M17+1</f>
        <v>2024</v>
      </c>
      <c r="N18" s="773">
        <f>ROUND(D20/C20,3)</f>
        <v>0.75</v>
      </c>
      <c r="O18" s="773"/>
      <c r="P18" s="773"/>
      <c r="Q18" s="770"/>
      <c r="R18" s="774" t="s">
        <v>753</v>
      </c>
      <c r="S18" s="776">
        <f>IFERROR(ROUND(U18/W18,3),"")</f>
        <v>0.495</v>
      </c>
      <c r="T18" s="229" t="s">
        <v>33</v>
      </c>
      <c r="U18" s="229">
        <f>F18</f>
        <v>5335</v>
      </c>
      <c r="V18" s="269" t="s">
        <v>35</v>
      </c>
      <c r="W18" s="229">
        <f>E18</f>
        <v>10783</v>
      </c>
      <c r="X18" s="89"/>
      <c r="AA18" s="510"/>
      <c r="AB18" s="510"/>
      <c r="AC18" s="510"/>
      <c r="AD18" s="510"/>
    </row>
    <row r="19" spans="1:35" ht="15" customHeight="1">
      <c r="A19" s="25"/>
      <c r="B19" s="417">
        <f>B18+1</f>
        <v>2023</v>
      </c>
      <c r="C19" s="353">
        <v>22015</v>
      </c>
      <c r="D19" s="353">
        <v>16511</v>
      </c>
      <c r="E19" s="353">
        <v>11681</v>
      </c>
      <c r="F19" s="356"/>
      <c r="G19" s="181"/>
      <c r="H19" s="17"/>
      <c r="I19" s="18"/>
      <c r="J19" s="30"/>
      <c r="K19"/>
      <c r="L19" s="89"/>
      <c r="M19" s="777">
        <f>M18+1</f>
        <v>2025</v>
      </c>
      <c r="N19" s="778">
        <f>IFERROR(ROUND(AVERAGE(N16:N18),3),0)</f>
        <v>0.78900000000000003</v>
      </c>
      <c r="O19" s="778">
        <f>IFERROR(ROUND(AVERAGE(O16:O18),3),0)</f>
        <v>0.69599999999999995</v>
      </c>
      <c r="P19" s="778">
        <f>IFERROR(ROUND(AVERAGE(P16:P18),3),0)</f>
        <v>0.495</v>
      </c>
      <c r="Q19" s="779">
        <f>IFERROR(ROUND(AVERAGE(Q16:Q18),3),0)</f>
        <v>0</v>
      </c>
      <c r="R19" s="161" t="s">
        <v>754</v>
      </c>
      <c r="S19" s="89"/>
      <c r="T19" s="89"/>
      <c r="U19" s="89"/>
      <c r="V19" s="89"/>
      <c r="W19" s="89"/>
      <c r="X19" s="89"/>
      <c r="AA19" s="510"/>
      <c r="AB19" s="510"/>
      <c r="AC19" s="510"/>
      <c r="AD19" s="510"/>
    </row>
    <row r="20" spans="1:35" ht="15" customHeight="1">
      <c r="A20" s="25"/>
      <c r="B20" s="417">
        <f>B19+1</f>
        <v>2024</v>
      </c>
      <c r="C20" s="353">
        <v>23138</v>
      </c>
      <c r="D20" s="353">
        <v>17353</v>
      </c>
      <c r="E20" s="353"/>
      <c r="F20" s="356"/>
      <c r="G20" s="181"/>
      <c r="H20" s="17"/>
      <c r="I20" s="18"/>
      <c r="J20" s="30"/>
      <c r="K20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AA20" s="510"/>
      <c r="AB20" s="510"/>
      <c r="AC20" s="510"/>
      <c r="AD20" s="510"/>
    </row>
    <row r="21" spans="1:35" ht="15" customHeight="1">
      <c r="A21" s="25"/>
      <c r="B21" s="418">
        <f>B20+1</f>
        <v>2025</v>
      </c>
      <c r="C21" s="349">
        <v>23138</v>
      </c>
      <c r="D21" s="349"/>
      <c r="E21" s="349"/>
      <c r="F21" s="350"/>
      <c r="G21" s="181"/>
      <c r="H21" s="17"/>
      <c r="I21" s="18"/>
      <c r="J21" s="30"/>
      <c r="K21"/>
      <c r="L21" s="205" t="s">
        <v>258</v>
      </c>
      <c r="M21" s="89" t="s">
        <v>755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AA21" s="510"/>
      <c r="AB21" s="510"/>
      <c r="AC21" s="510"/>
      <c r="AD21" s="510"/>
    </row>
    <row r="22" spans="1:35" ht="15" customHeight="1">
      <c r="A22" s="25"/>
      <c r="B22" s="181"/>
      <c r="C22" s="181"/>
      <c r="D22" s="181"/>
      <c r="E22" s="181"/>
      <c r="F22" s="181"/>
      <c r="G22" s="181"/>
      <c r="H22" s="17"/>
      <c r="I22" s="18"/>
      <c r="J22" s="30"/>
      <c r="K22"/>
      <c r="L22" s="89"/>
      <c r="M22" s="89"/>
      <c r="N22" s="89"/>
      <c r="O22" s="89"/>
      <c r="P22" s="89"/>
      <c r="Q22" s="89"/>
      <c r="R22" s="89"/>
      <c r="S22" s="161"/>
      <c r="T22" s="89"/>
      <c r="U22" s="89"/>
      <c r="V22" s="89"/>
      <c r="W22" s="89"/>
      <c r="X22" s="89"/>
      <c r="AA22" s="510"/>
      <c r="AB22" s="510"/>
      <c r="AC22" s="510"/>
      <c r="AD22" s="510"/>
    </row>
    <row r="23" spans="1:35" ht="15" customHeight="1">
      <c r="A23" s="25"/>
      <c r="B23" s="420" t="s">
        <v>734</v>
      </c>
      <c r="C23" s="421"/>
      <c r="D23" s="421"/>
      <c r="E23" s="421"/>
      <c r="F23" s="422"/>
      <c r="G23" s="755">
        <v>1.08</v>
      </c>
      <c r="H23" s="17"/>
      <c r="I23" s="18"/>
      <c r="J23" s="30"/>
      <c r="K23"/>
      <c r="L23" s="89"/>
      <c r="M23" s="385"/>
      <c r="N23" s="734" t="s">
        <v>756</v>
      </c>
      <c r="O23" s="386"/>
      <c r="P23" s="386"/>
      <c r="Q23" s="387"/>
      <c r="R23" s="89"/>
      <c r="S23" s="161" t="s">
        <v>757</v>
      </c>
      <c r="T23" s="89"/>
      <c r="U23" s="89"/>
      <c r="V23" s="89"/>
      <c r="W23" s="89"/>
      <c r="X23" s="89"/>
      <c r="AA23" s="510"/>
      <c r="AB23" s="510"/>
      <c r="AC23" s="510"/>
      <c r="AD23" s="510"/>
    </row>
    <row r="24" spans="1:35" ht="15" customHeight="1">
      <c r="A24" s="25"/>
      <c r="B24" s="361"/>
      <c r="C24" s="181"/>
      <c r="D24" s="181"/>
      <c r="E24" s="181"/>
      <c r="F24" s="181"/>
      <c r="G24" s="181"/>
      <c r="H24" s="17"/>
      <c r="I24" s="18"/>
      <c r="J24" s="30"/>
      <c r="K24"/>
      <c r="L24" s="89"/>
      <c r="M24" s="388" t="s">
        <v>83</v>
      </c>
      <c r="N24" s="389">
        <v>12</v>
      </c>
      <c r="O24" s="389">
        <v>24</v>
      </c>
      <c r="P24" s="389">
        <v>36</v>
      </c>
      <c r="Q24" s="390">
        <v>48</v>
      </c>
      <c r="R24" s="89"/>
      <c r="S24" s="161"/>
      <c r="T24" s="89"/>
      <c r="U24" s="89"/>
      <c r="V24" s="89"/>
      <c r="W24" s="229" t="s">
        <v>746</v>
      </c>
      <c r="X24" s="89"/>
      <c r="AA24" s="510"/>
      <c r="AB24" s="510"/>
      <c r="AC24" s="510"/>
      <c r="AD24" s="510"/>
    </row>
    <row r="25" spans="1:35" ht="15" customHeight="1">
      <c r="A25" s="25"/>
      <c r="B25" s="361" t="s">
        <v>737</v>
      </c>
      <c r="C25" s="181"/>
      <c r="D25" s="181"/>
      <c r="E25" s="181"/>
      <c r="F25" s="181"/>
      <c r="G25" s="181"/>
      <c r="H25" s="17"/>
      <c r="I25" s="18"/>
      <c r="J25" s="30"/>
      <c r="K25"/>
      <c r="L25" s="89"/>
      <c r="M25" s="366">
        <f>B11</f>
        <v>2022</v>
      </c>
      <c r="N25" s="395"/>
      <c r="O25" s="395"/>
      <c r="P25" s="395"/>
      <c r="Q25" s="399">
        <f>F18</f>
        <v>5335</v>
      </c>
      <c r="R25" s="89"/>
      <c r="S25" s="372" t="s">
        <v>758</v>
      </c>
      <c r="T25" s="89"/>
      <c r="U25" s="270" t="s">
        <v>759</v>
      </c>
      <c r="V25" s="89"/>
      <c r="W25" s="271" t="s">
        <v>644</v>
      </c>
      <c r="X25" s="89"/>
      <c r="AA25" s="510"/>
      <c r="AB25" s="510"/>
      <c r="AC25" s="510"/>
      <c r="AD25" s="510"/>
    </row>
    <row r="26" spans="1:35" ht="15" customHeight="1">
      <c r="A26" s="25"/>
      <c r="B26" s="17"/>
      <c r="C26" s="17"/>
      <c r="D26" s="17"/>
      <c r="E26" s="17"/>
      <c r="F26" s="17"/>
      <c r="G26" s="17"/>
      <c r="H26" s="17"/>
      <c r="I26" s="18"/>
      <c r="J26" s="30"/>
      <c r="K26"/>
      <c r="L26" s="89"/>
      <c r="M26" s="366">
        <f>M25+1</f>
        <v>2023</v>
      </c>
      <c r="N26" s="395"/>
      <c r="O26" s="395"/>
      <c r="P26" s="399">
        <f>E19</f>
        <v>11681</v>
      </c>
      <c r="Q26" s="780">
        <f>P26*P19</f>
        <v>5782.0950000000003</v>
      </c>
      <c r="R26" s="781" t="s">
        <v>760</v>
      </c>
      <c r="S26" s="233">
        <f>ROUND(U26*W26,0)</f>
        <v>18256</v>
      </c>
      <c r="T26" s="229" t="s">
        <v>33</v>
      </c>
      <c r="U26" s="782">
        <f>N19</f>
        <v>0.78900000000000003</v>
      </c>
      <c r="V26" s="229" t="s">
        <v>150</v>
      </c>
      <c r="W26" s="229">
        <f>N28</f>
        <v>23138</v>
      </c>
      <c r="X26" s="89"/>
      <c r="AA26" s="510"/>
      <c r="AB26" s="510"/>
      <c r="AC26" s="510"/>
      <c r="AD26" s="510"/>
    </row>
    <row r="27" spans="1:35" ht="15" customHeight="1">
      <c r="A27" s="25" t="s">
        <v>3</v>
      </c>
      <c r="B27" s="17" t="s">
        <v>784</v>
      </c>
      <c r="C27" s="17"/>
      <c r="D27" s="17"/>
      <c r="E27" s="17"/>
      <c r="F27" s="17"/>
      <c r="G27" s="17"/>
      <c r="H27" s="17"/>
      <c r="I27" s="18"/>
      <c r="J27" s="30"/>
      <c r="K27"/>
      <c r="L27" s="89"/>
      <c r="M27" s="366">
        <f>M26+1</f>
        <v>2024</v>
      </c>
      <c r="N27" s="395"/>
      <c r="O27" s="399">
        <f>D20</f>
        <v>17353</v>
      </c>
      <c r="P27" s="783">
        <f>ROUND(O27*O19,0)</f>
        <v>12078</v>
      </c>
      <c r="Q27" s="780">
        <f>ROUND(P27*P19,0)</f>
        <v>5979</v>
      </c>
      <c r="R27" s="781" t="s">
        <v>761</v>
      </c>
      <c r="S27" s="784">
        <f>ROUND(U27*W27,0)</f>
        <v>12706</v>
      </c>
      <c r="T27" s="229" t="s">
        <v>33</v>
      </c>
      <c r="U27" s="782">
        <f>O19</f>
        <v>0.69599999999999995</v>
      </c>
      <c r="V27" s="229" t="s">
        <v>150</v>
      </c>
      <c r="W27" s="233">
        <f>O28</f>
        <v>18256</v>
      </c>
      <c r="X27" s="89"/>
      <c r="AA27" s="510"/>
      <c r="AB27" s="510"/>
      <c r="AC27" s="510"/>
      <c r="AD27" s="510"/>
      <c r="AE27"/>
      <c r="AF27"/>
      <c r="AG27"/>
      <c r="AH27"/>
      <c r="AI27"/>
    </row>
    <row r="28" spans="1:35" ht="15" customHeight="1" thickBot="1">
      <c r="A28" s="9">
        <f>INDEX('Point Grid'!$C$8:$I$54,MATCH($A$1,'Point Grid'!$A$8:$A$54,0),MATCH(A27,'Point Grid'!$C$7:$I$7,0))</f>
        <v>0.25</v>
      </c>
      <c r="B28" s="17" t="s">
        <v>785</v>
      </c>
      <c r="C28" s="27"/>
      <c r="D28" s="27"/>
      <c r="E28" s="27"/>
      <c r="F28" s="27"/>
      <c r="G28" s="27"/>
      <c r="H28" s="27"/>
      <c r="I28" s="18"/>
      <c r="J28" s="30"/>
      <c r="K28"/>
      <c r="L28" s="89"/>
      <c r="M28" s="392">
        <f>M27+1</f>
        <v>2025</v>
      </c>
      <c r="N28" s="785">
        <f>C21</f>
        <v>23138</v>
      </c>
      <c r="O28" s="786">
        <f>ROUND(N28*N19,0)</f>
        <v>18256</v>
      </c>
      <c r="P28" s="787">
        <f>ROUND(O28*O19,0)</f>
        <v>12706</v>
      </c>
      <c r="Q28" s="788">
        <f>ROUND(P28*P19,0)</f>
        <v>6289</v>
      </c>
      <c r="R28" s="781" t="s">
        <v>762</v>
      </c>
      <c r="S28" s="397">
        <f>ROUND(U28*W28,0)</f>
        <v>6289</v>
      </c>
      <c r="T28" s="229" t="s">
        <v>33</v>
      </c>
      <c r="U28" s="782">
        <f>P19</f>
        <v>0.495</v>
      </c>
      <c r="V28" s="229" t="s">
        <v>150</v>
      </c>
      <c r="W28" s="784">
        <f>P28</f>
        <v>12706</v>
      </c>
      <c r="X28" s="89"/>
      <c r="AA28" s="510"/>
      <c r="AB28" s="510"/>
      <c r="AC28" s="510"/>
      <c r="AD28" s="510"/>
      <c r="AE28"/>
      <c r="AF28"/>
      <c r="AG28"/>
      <c r="AH28"/>
      <c r="AI28"/>
    </row>
    <row r="29" spans="1:35" ht="15" customHeight="1" thickBot="1">
      <c r="A29" s="5"/>
      <c r="B29" s="17"/>
      <c r="C29" s="27"/>
      <c r="D29" s="27"/>
      <c r="E29" s="27"/>
      <c r="F29" s="27"/>
      <c r="G29" s="27"/>
      <c r="H29" s="27"/>
      <c r="I29" s="18"/>
      <c r="J29" s="30"/>
      <c r="K2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AA29" s="510"/>
      <c r="AB29" s="510"/>
      <c r="AC29" s="510"/>
      <c r="AD29" s="510"/>
      <c r="AE29"/>
      <c r="AF29"/>
      <c r="AG29"/>
      <c r="AH29"/>
      <c r="AI29"/>
    </row>
    <row r="30" spans="1:35" ht="15" customHeight="1">
      <c r="A30" s="25"/>
      <c r="B30" s="17"/>
      <c r="C30" s="27"/>
      <c r="D30" s="27"/>
      <c r="E30" s="27"/>
      <c r="F30" s="27"/>
      <c r="G30" s="27"/>
      <c r="H30" s="27"/>
      <c r="I30" s="18"/>
      <c r="J30" s="30"/>
      <c r="K30"/>
      <c r="L30" s="784" t="s">
        <v>717</v>
      </c>
      <c r="M30" s="789" t="s">
        <v>763</v>
      </c>
      <c r="N30" s="681"/>
      <c r="O30" s="681"/>
      <c r="P30" s="681"/>
      <c r="Q30" s="681"/>
      <c r="R30" s="681"/>
      <c r="S30" s="790"/>
      <c r="T30" s="790"/>
      <c r="U30" s="790"/>
      <c r="V30" s="790"/>
      <c r="W30" s="681"/>
      <c r="X30" s="89"/>
      <c r="AA30" s="510"/>
      <c r="AB30" s="510"/>
      <c r="AC30" s="510"/>
      <c r="AD30" s="510"/>
      <c r="AE30"/>
      <c r="AF30"/>
      <c r="AG30"/>
      <c r="AH30"/>
      <c r="AI30"/>
    </row>
    <row r="31" spans="1:35" ht="15" customHeight="1">
      <c r="A31" s="25"/>
      <c r="B31" s="17"/>
      <c r="C31" s="27"/>
      <c r="D31" s="27"/>
      <c r="E31" s="27"/>
      <c r="F31" s="27"/>
      <c r="G31" s="27"/>
      <c r="H31" s="27"/>
      <c r="I31" s="18"/>
      <c r="J31" s="30"/>
      <c r="K31"/>
      <c r="L31" s="89"/>
      <c r="M31" s="89"/>
      <c r="N31" s="89"/>
      <c r="O31" s="89"/>
      <c r="P31" s="89"/>
      <c r="Q31" s="89"/>
      <c r="R31" s="89"/>
      <c r="S31" s="161" t="s">
        <v>744</v>
      </c>
      <c r="T31" s="89"/>
      <c r="U31" s="89"/>
      <c r="V31" s="89"/>
      <c r="W31" s="89"/>
      <c r="X31" s="89"/>
      <c r="AA31" s="510"/>
      <c r="AB31" s="510"/>
      <c r="AC31" s="510"/>
      <c r="AD31" s="510"/>
      <c r="AE31"/>
      <c r="AF31"/>
      <c r="AG31"/>
      <c r="AH31"/>
      <c r="AI31"/>
    </row>
    <row r="32" spans="1:35" ht="15" customHeight="1">
      <c r="A32" s="22"/>
      <c r="B32" s="17"/>
      <c r="C32" s="17"/>
      <c r="D32" s="17"/>
      <c r="E32" s="17"/>
      <c r="F32" s="17"/>
      <c r="G32" s="17"/>
      <c r="H32" s="17"/>
      <c r="I32" s="18"/>
      <c r="J32" s="30"/>
      <c r="K32" s="41"/>
      <c r="L32" s="89"/>
      <c r="M32" s="385"/>
      <c r="N32" s="734" t="s">
        <v>764</v>
      </c>
      <c r="O32" s="386"/>
      <c r="P32" s="386"/>
      <c r="Q32" s="387"/>
      <c r="R32" s="89"/>
      <c r="S32" s="161"/>
      <c r="T32" s="510"/>
      <c r="U32" s="523" t="s">
        <v>523</v>
      </c>
      <c r="V32" s="523"/>
      <c r="W32" s="229" t="s">
        <v>746</v>
      </c>
      <c r="X32" s="89"/>
      <c r="AA32" s="510"/>
      <c r="AB32" s="510"/>
      <c r="AC32" s="510"/>
      <c r="AD32" s="510"/>
      <c r="AE32"/>
      <c r="AF32"/>
      <c r="AG32"/>
      <c r="AH32"/>
      <c r="AI32"/>
    </row>
    <row r="33" spans="1:35" ht="15" customHeight="1" thickBot="1">
      <c r="A33" s="24"/>
      <c r="B33" s="31"/>
      <c r="C33" s="31"/>
      <c r="D33" s="31"/>
      <c r="E33" s="31"/>
      <c r="F33" s="31"/>
      <c r="G33" s="31"/>
      <c r="H33" s="31"/>
      <c r="I33" s="32"/>
      <c r="J33" s="30"/>
      <c r="K33"/>
      <c r="L33" s="89"/>
      <c r="M33" s="388" t="s">
        <v>83</v>
      </c>
      <c r="N33" s="765" t="s">
        <v>747</v>
      </c>
      <c r="O33" s="765" t="s">
        <v>748</v>
      </c>
      <c r="P33" s="765" t="s">
        <v>749</v>
      </c>
      <c r="Q33" s="766" t="s">
        <v>750</v>
      </c>
      <c r="R33" s="89"/>
      <c r="S33" s="161"/>
      <c r="T33" s="89"/>
      <c r="U33" s="271" t="s">
        <v>765</v>
      </c>
      <c r="V33" s="510"/>
      <c r="W33" s="271" t="s">
        <v>644</v>
      </c>
      <c r="X33" s="89"/>
      <c r="AA33" s="510"/>
      <c r="AB33" s="510"/>
      <c r="AC33" s="510"/>
      <c r="AD33" s="510"/>
      <c r="AE33"/>
      <c r="AF33"/>
      <c r="AG33"/>
      <c r="AH33"/>
      <c r="AI33"/>
    </row>
    <row r="34" spans="1:35" ht="15" customHeight="1">
      <c r="J34" s="30"/>
      <c r="K34" s="41"/>
      <c r="L34" s="89"/>
      <c r="M34" s="366">
        <f>B11</f>
        <v>2022</v>
      </c>
      <c r="N34" s="767">
        <f>IFERROR(O7/C18,"")</f>
        <v>0.83247053640268753</v>
      </c>
      <c r="O34" s="768">
        <f>IFERROR(P7/D18,"")</f>
        <v>0.84072875007935</v>
      </c>
      <c r="P34" s="769">
        <f>IFERROR(Q7/E18,"")</f>
        <v>1.0069553927478438</v>
      </c>
      <c r="Q34" s="770"/>
      <c r="R34" s="771" t="s">
        <v>751</v>
      </c>
      <c r="S34" s="772">
        <f>IFERROR(ROUND(U34/W34,3),"")</f>
        <v>0.83199999999999996</v>
      </c>
      <c r="T34" s="229" t="s">
        <v>33</v>
      </c>
      <c r="U34" s="229">
        <f>O7</f>
        <v>15116</v>
      </c>
      <c r="V34" s="269" t="s">
        <v>35</v>
      </c>
      <c r="W34" s="229">
        <f>C18</f>
        <v>18158</v>
      </c>
      <c r="X34" s="89"/>
      <c r="AA34" s="510"/>
      <c r="AB34" s="510"/>
      <c r="AC34" s="510"/>
      <c r="AD34" s="510"/>
      <c r="AE34"/>
      <c r="AF34"/>
      <c r="AG34"/>
      <c r="AH34"/>
      <c r="AI34"/>
    </row>
    <row r="35" spans="1:35" ht="15" customHeight="1">
      <c r="J35" s="30"/>
      <c r="K35"/>
      <c r="L35" s="89"/>
      <c r="M35" s="366">
        <f>M34+1</f>
        <v>2023</v>
      </c>
      <c r="N35" s="773">
        <f>O8/C19</f>
        <v>0.59736543265955033</v>
      </c>
      <c r="O35" s="773">
        <f>P8/D19</f>
        <v>0.77948034643570951</v>
      </c>
      <c r="P35" s="773"/>
      <c r="Q35" s="770"/>
      <c r="R35" s="774" t="s">
        <v>752</v>
      </c>
      <c r="S35" s="775">
        <f>IFERROR(ROUND(U35/W35,3),"")</f>
        <v>0.84099999999999997</v>
      </c>
      <c r="T35" s="229" t="s">
        <v>33</v>
      </c>
      <c r="U35" s="229">
        <f>P7</f>
        <v>13244</v>
      </c>
      <c r="V35" s="269" t="s">
        <v>35</v>
      </c>
      <c r="W35" s="229">
        <f>D18</f>
        <v>15753</v>
      </c>
      <c r="X35" s="89"/>
      <c r="AA35" s="510"/>
      <c r="AB35" s="510"/>
      <c r="AC35" s="510"/>
      <c r="AD35" s="510"/>
      <c r="AE35"/>
      <c r="AF35"/>
      <c r="AG35"/>
      <c r="AH35"/>
      <c r="AI35"/>
    </row>
    <row r="36" spans="1:35" ht="15" customHeight="1">
      <c r="J36" s="30"/>
      <c r="K36"/>
      <c r="L36" s="89"/>
      <c r="M36" s="366">
        <f>M35+1</f>
        <v>2024</v>
      </c>
      <c r="N36" s="773">
        <f>O9/C20</f>
        <v>0.55216526925404097</v>
      </c>
      <c r="O36" s="773"/>
      <c r="P36" s="773"/>
      <c r="Q36" s="770"/>
      <c r="R36" s="774" t="s">
        <v>753</v>
      </c>
      <c r="S36" s="776">
        <f>IFERROR(ROUND(U36/W36,3),"")</f>
        <v>1.0069999999999999</v>
      </c>
      <c r="T36" s="229" t="s">
        <v>33</v>
      </c>
      <c r="U36" s="229">
        <f>Q7</f>
        <v>10858</v>
      </c>
      <c r="V36" s="269" t="s">
        <v>35</v>
      </c>
      <c r="W36" s="229">
        <f>E18</f>
        <v>10783</v>
      </c>
      <c r="X36" s="89"/>
      <c r="AA36"/>
      <c r="AB36"/>
      <c r="AC36"/>
      <c r="AD36"/>
      <c r="AE36"/>
      <c r="AF36"/>
      <c r="AG36"/>
      <c r="AH36"/>
      <c r="AI36"/>
    </row>
    <row r="37" spans="1:35" ht="15" customHeight="1">
      <c r="J37" s="30"/>
      <c r="K37"/>
      <c r="L37" s="89"/>
      <c r="M37" s="777">
        <f>M36+1</f>
        <v>2025</v>
      </c>
      <c r="N37" s="778">
        <f>IFERROR(ROUND(AVERAGE(N34:N36),3),1)</f>
        <v>0.66100000000000003</v>
      </c>
      <c r="O37" s="778">
        <f>IFERROR(ROUND(AVERAGE(O34:O36),3),1)</f>
        <v>0.81</v>
      </c>
      <c r="P37" s="778">
        <f>IFERROR(ROUND(AVERAGE(P34:P36),3),1)</f>
        <v>1.0069999999999999</v>
      </c>
      <c r="Q37" s="779"/>
      <c r="R37" s="161" t="s">
        <v>754</v>
      </c>
      <c r="S37" s="89"/>
      <c r="T37" s="89"/>
      <c r="U37" s="89"/>
      <c r="V37" s="89"/>
      <c r="W37" s="89"/>
      <c r="X37" s="89"/>
      <c r="AA37"/>
      <c r="AB37"/>
      <c r="AC37"/>
      <c r="AD37"/>
      <c r="AE37"/>
      <c r="AF37"/>
      <c r="AG37"/>
      <c r="AH37"/>
      <c r="AI37"/>
    </row>
    <row r="38" spans="1:35" ht="15" customHeight="1">
      <c r="J38" s="30"/>
      <c r="K38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AA38"/>
      <c r="AB38"/>
      <c r="AC38"/>
      <c r="AD38"/>
      <c r="AE38"/>
      <c r="AF38"/>
      <c r="AG38"/>
      <c r="AH38"/>
      <c r="AI38"/>
    </row>
    <row r="39" spans="1:35" ht="15" customHeight="1">
      <c r="J39" s="30"/>
      <c r="K39"/>
      <c r="L39" s="784" t="s">
        <v>304</v>
      </c>
      <c r="M39" s="89" t="s">
        <v>766</v>
      </c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AA39"/>
      <c r="AB39"/>
      <c r="AC39"/>
      <c r="AD39"/>
      <c r="AE39"/>
      <c r="AF39"/>
      <c r="AG39"/>
      <c r="AH39"/>
      <c r="AI39"/>
    </row>
    <row r="40" spans="1:35" ht="15" customHeight="1">
      <c r="J40" s="30"/>
      <c r="K40"/>
      <c r="L40" s="89"/>
      <c r="M40" s="89"/>
      <c r="N40" s="89"/>
      <c r="O40" s="89"/>
      <c r="P40" s="89"/>
      <c r="Q40" s="89"/>
      <c r="R40" s="89"/>
      <c r="S40" s="89"/>
      <c r="T40" s="161" t="s">
        <v>757</v>
      </c>
      <c r="U40" s="89"/>
      <c r="V40" s="89"/>
      <c r="W40" s="89"/>
      <c r="X40" s="89"/>
      <c r="AA40"/>
      <c r="AB40"/>
      <c r="AC40"/>
      <c r="AD40"/>
      <c r="AE40"/>
      <c r="AF40"/>
      <c r="AG40"/>
      <c r="AH40"/>
      <c r="AI40"/>
    </row>
    <row r="41" spans="1:35" ht="15" customHeight="1">
      <c r="J41" s="30"/>
      <c r="K41"/>
      <c r="L41" s="89"/>
      <c r="M41" s="385"/>
      <c r="N41" s="386" t="s">
        <v>767</v>
      </c>
      <c r="O41" s="386"/>
      <c r="P41" s="386"/>
      <c r="Q41" s="386"/>
      <c r="R41" s="332"/>
      <c r="S41" s="510"/>
      <c r="T41" s="161"/>
      <c r="U41" s="89"/>
      <c r="V41" s="89"/>
      <c r="W41" s="89"/>
      <c r="X41" s="229" t="s">
        <v>746</v>
      </c>
      <c r="AA41"/>
      <c r="AB41"/>
      <c r="AC41"/>
      <c r="AD41"/>
      <c r="AE41"/>
      <c r="AF41"/>
      <c r="AG41"/>
      <c r="AH41"/>
      <c r="AI41"/>
    </row>
    <row r="42" spans="1:35" ht="15" customHeight="1">
      <c r="J42" s="30"/>
      <c r="K42"/>
      <c r="L42" s="89"/>
      <c r="M42" s="388" t="s">
        <v>83</v>
      </c>
      <c r="N42" s="389">
        <v>12</v>
      </c>
      <c r="O42" s="389">
        <v>24</v>
      </c>
      <c r="P42" s="389">
        <v>36</v>
      </c>
      <c r="Q42" s="389">
        <v>48</v>
      </c>
      <c r="R42" s="791">
        <v>60</v>
      </c>
      <c r="S42" s="510"/>
      <c r="T42" s="372" t="s">
        <v>758</v>
      </c>
      <c r="U42" s="89"/>
      <c r="V42" s="270" t="s">
        <v>768</v>
      </c>
      <c r="W42" s="89"/>
      <c r="X42" s="271" t="s">
        <v>644</v>
      </c>
      <c r="AA42"/>
      <c r="AB42"/>
      <c r="AC42"/>
      <c r="AD42"/>
      <c r="AE42"/>
      <c r="AF42"/>
      <c r="AG42"/>
      <c r="AH42"/>
      <c r="AI42"/>
    </row>
    <row r="43" spans="1:35" ht="15" customHeight="1">
      <c r="J43" s="30"/>
      <c r="K43"/>
      <c r="L43" s="89"/>
      <c r="M43" s="366">
        <f>B11</f>
        <v>2022</v>
      </c>
      <c r="N43" s="395"/>
      <c r="O43" s="395"/>
      <c r="P43" s="395"/>
      <c r="Q43" s="399"/>
      <c r="R43" s="792">
        <f>G23*Q25</f>
        <v>5761.8</v>
      </c>
      <c r="S43" s="781" t="s">
        <v>760</v>
      </c>
      <c r="T43" s="233">
        <f>ROUND(V43*X43,0)</f>
        <v>15294</v>
      </c>
      <c r="U43" s="229" t="s">
        <v>33</v>
      </c>
      <c r="V43" s="782">
        <f>N37</f>
        <v>0.66100000000000003</v>
      </c>
      <c r="W43" s="229" t="s">
        <v>150</v>
      </c>
      <c r="X43" s="229">
        <f>N28</f>
        <v>23138</v>
      </c>
      <c r="AA43"/>
      <c r="AB43"/>
      <c r="AC43"/>
      <c r="AD43"/>
      <c r="AE43"/>
      <c r="AF43"/>
      <c r="AG43"/>
      <c r="AH43"/>
      <c r="AI43"/>
    </row>
    <row r="44" spans="1:35" ht="15" customHeight="1">
      <c r="J44" s="30"/>
      <c r="K44"/>
      <c r="L44" s="89"/>
      <c r="M44" s="366">
        <f>M43+1</f>
        <v>2023</v>
      </c>
      <c r="N44" s="395"/>
      <c r="O44" s="395"/>
      <c r="P44" s="399"/>
      <c r="Q44" s="783">
        <f>ROUND(P37*P26,0)</f>
        <v>11763</v>
      </c>
      <c r="R44" s="792">
        <f>ROUND(G23*Q26,0)</f>
        <v>6245</v>
      </c>
      <c r="S44" s="781" t="s">
        <v>761</v>
      </c>
      <c r="T44" s="784">
        <f>ROUND(V44*X44,0)</f>
        <v>14787</v>
      </c>
      <c r="U44" s="229" t="s">
        <v>33</v>
      </c>
      <c r="V44" s="782">
        <f>O37</f>
        <v>0.81</v>
      </c>
      <c r="W44" s="229" t="s">
        <v>150</v>
      </c>
      <c r="X44" s="793">
        <f>O28</f>
        <v>18256</v>
      </c>
      <c r="AA44"/>
      <c r="AB44"/>
      <c r="AC44"/>
      <c r="AD44"/>
      <c r="AE44"/>
      <c r="AF44"/>
      <c r="AG44"/>
      <c r="AH44"/>
      <c r="AI44"/>
    </row>
    <row r="45" spans="1:35" ht="15" customHeight="1">
      <c r="B45" s="30"/>
      <c r="C45" s="30"/>
      <c r="D45" s="30"/>
      <c r="E45" s="30"/>
      <c r="F45" s="30"/>
      <c r="G45" s="30"/>
      <c r="H45" s="30"/>
      <c r="I45" s="30"/>
      <c r="J45" s="30"/>
      <c r="K45"/>
      <c r="L45" s="89"/>
      <c r="M45" s="366">
        <f>M44+1</f>
        <v>2024</v>
      </c>
      <c r="N45" s="395"/>
      <c r="O45" s="399"/>
      <c r="P45" s="783">
        <f>ROUND(O37*O27,0)</f>
        <v>14056</v>
      </c>
      <c r="Q45" s="783">
        <f>ROUND(P37*P27,0)</f>
        <v>12163</v>
      </c>
      <c r="R45" s="792">
        <f>ROUND(G23*Q27,0)</f>
        <v>6457</v>
      </c>
      <c r="S45" s="781" t="s">
        <v>762</v>
      </c>
      <c r="T45" s="397">
        <f>ROUND(V45*X45,0)</f>
        <v>12795</v>
      </c>
      <c r="U45" s="229" t="s">
        <v>33</v>
      </c>
      <c r="V45" s="782">
        <f>P37</f>
        <v>1.0069999999999999</v>
      </c>
      <c r="W45" s="229" t="s">
        <v>150</v>
      </c>
      <c r="X45" s="794">
        <f>P28</f>
        <v>12706</v>
      </c>
      <c r="AA45"/>
      <c r="AB45"/>
      <c r="AC45"/>
      <c r="AD45"/>
      <c r="AE45"/>
      <c r="AF45"/>
      <c r="AG45"/>
      <c r="AH45"/>
      <c r="AI45"/>
    </row>
    <row r="46" spans="1:35" ht="15" customHeight="1">
      <c r="B46" s="30"/>
      <c r="C46" s="30"/>
      <c r="D46" s="30"/>
      <c r="E46" s="30"/>
      <c r="F46" s="30"/>
      <c r="G46" s="30"/>
      <c r="H46" s="30"/>
      <c r="I46" s="30"/>
      <c r="J46" s="30"/>
      <c r="K46"/>
      <c r="L46" s="89"/>
      <c r="M46" s="392">
        <f>M45+1</f>
        <v>2025</v>
      </c>
      <c r="N46" s="785"/>
      <c r="O46" s="786">
        <f>ROUND(N37*N28,0)</f>
        <v>15294</v>
      </c>
      <c r="P46" s="787">
        <f>ROUND(O37*O28,0)</f>
        <v>14787</v>
      </c>
      <c r="Q46" s="795">
        <f>ROUND(P37*P28,0)</f>
        <v>12795</v>
      </c>
      <c r="R46" s="791">
        <f>Q28*G23</f>
        <v>6792.1200000000008</v>
      </c>
      <c r="S46" s="781" t="s">
        <v>769</v>
      </c>
      <c r="T46" s="250">
        <f>ROUND(V46*X46,0)</f>
        <v>6792</v>
      </c>
      <c r="U46" s="229" t="s">
        <v>33</v>
      </c>
      <c r="V46" s="796">
        <f>G23</f>
        <v>1.08</v>
      </c>
      <c r="W46" s="229" t="s">
        <v>150</v>
      </c>
      <c r="X46" s="797">
        <f>Q28</f>
        <v>6289</v>
      </c>
      <c r="AA46"/>
      <c r="AB46"/>
      <c r="AC46"/>
      <c r="AD46"/>
      <c r="AE46"/>
      <c r="AF46"/>
      <c r="AG46"/>
      <c r="AH46"/>
      <c r="AI46"/>
    </row>
    <row r="47" spans="1:35" ht="15" customHeight="1">
      <c r="B47" s="30"/>
      <c r="C47" s="30"/>
      <c r="D47" s="30"/>
      <c r="E47" s="30"/>
      <c r="F47" s="30"/>
      <c r="G47" s="30"/>
      <c r="H47" s="30"/>
      <c r="I47" s="30"/>
      <c r="J47" s="30"/>
      <c r="K47"/>
      <c r="L47" s="89"/>
      <c r="M47" s="89"/>
      <c r="N47" s="89"/>
      <c r="O47" s="89"/>
      <c r="P47" s="89"/>
      <c r="Q47" s="89"/>
      <c r="R47" s="89"/>
      <c r="S47" s="89"/>
      <c r="T47" s="510"/>
      <c r="U47" s="510"/>
      <c r="V47" s="559"/>
      <c r="W47" s="510"/>
      <c r="X47" s="510"/>
      <c r="AA47"/>
      <c r="AB47"/>
      <c r="AC47"/>
      <c r="AD47"/>
      <c r="AE47"/>
      <c r="AF47"/>
      <c r="AG47"/>
      <c r="AH47"/>
      <c r="AI47"/>
    </row>
    <row r="48" spans="1:35" ht="15" customHeight="1">
      <c r="B48" s="30"/>
      <c r="C48" s="30"/>
      <c r="D48" s="30"/>
      <c r="E48" s="30"/>
      <c r="F48" s="30"/>
      <c r="G48" s="30"/>
      <c r="H48" s="30"/>
      <c r="I48" s="30"/>
      <c r="J48" s="30"/>
      <c r="K48"/>
      <c r="L48" s="89"/>
      <c r="M48" s="798" t="s">
        <v>635</v>
      </c>
      <c r="N48" s="161" t="s">
        <v>770</v>
      </c>
      <c r="O48" s="89"/>
      <c r="P48" s="89"/>
      <c r="Q48" s="89"/>
      <c r="R48" s="89"/>
      <c r="S48" s="89"/>
      <c r="T48" s="161" t="s">
        <v>771</v>
      </c>
      <c r="U48" s="89"/>
      <c r="V48" s="559"/>
      <c r="W48" s="89"/>
      <c r="X48" s="89"/>
      <c r="AA48"/>
      <c r="AB48"/>
      <c r="AC48"/>
      <c r="AD48"/>
      <c r="AE48"/>
      <c r="AF48"/>
      <c r="AG48"/>
      <c r="AH48"/>
      <c r="AI48"/>
    </row>
    <row r="49" spans="2:35" ht="15" customHeight="1">
      <c r="B49" s="30"/>
      <c r="C49" s="30"/>
      <c r="D49" s="30"/>
      <c r="E49" s="30"/>
      <c r="F49" s="30"/>
      <c r="G49" s="30"/>
      <c r="H49" s="30"/>
      <c r="I49" s="30"/>
      <c r="J49" s="30"/>
      <c r="K49"/>
      <c r="L49" s="89"/>
      <c r="M49" s="89"/>
      <c r="N49" s="161" t="s">
        <v>772</v>
      </c>
      <c r="O49" s="89"/>
      <c r="P49" s="89"/>
      <c r="Q49" s="89"/>
      <c r="R49" s="89"/>
      <c r="S49" s="89"/>
      <c r="T49" s="799" t="s">
        <v>773</v>
      </c>
      <c r="U49" s="89"/>
      <c r="V49" s="229"/>
      <c r="W49" s="89"/>
      <c r="X49" s="89"/>
      <c r="AA49"/>
      <c r="AB49"/>
      <c r="AC49"/>
      <c r="AD49"/>
      <c r="AE49"/>
      <c r="AF49"/>
      <c r="AG49"/>
      <c r="AH49"/>
      <c r="AI49"/>
    </row>
    <row r="50" spans="2:35" ht="15" customHeight="1">
      <c r="B50" s="30"/>
      <c r="C50" s="30"/>
      <c r="D50" s="30"/>
      <c r="E50" s="30"/>
      <c r="F50" s="30"/>
      <c r="G50" s="30"/>
      <c r="H50" s="30"/>
      <c r="I50" s="30"/>
      <c r="J50" s="30"/>
      <c r="L50" s="89"/>
      <c r="M50" s="89"/>
      <c r="N50" s="161" t="s">
        <v>774</v>
      </c>
      <c r="O50" s="89"/>
      <c r="P50" s="89"/>
      <c r="Q50" s="89"/>
      <c r="R50" s="89"/>
      <c r="S50" s="89"/>
      <c r="T50" s="89"/>
      <c r="U50" s="89"/>
      <c r="V50" s="229"/>
      <c r="W50" s="89"/>
      <c r="X50" s="89"/>
      <c r="AA50"/>
      <c r="AB50"/>
      <c r="AC50"/>
      <c r="AD50"/>
      <c r="AE50"/>
      <c r="AF50"/>
      <c r="AG50"/>
      <c r="AH50"/>
      <c r="AI50"/>
    </row>
    <row r="51" spans="2:35" ht="15" customHeight="1">
      <c r="B51" s="30"/>
      <c r="C51" s="30"/>
      <c r="D51" s="30"/>
      <c r="E51" s="30"/>
      <c r="F51" s="30"/>
      <c r="G51" s="30"/>
      <c r="H51" s="30"/>
      <c r="I51" s="30"/>
      <c r="J51" s="30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AA51"/>
      <c r="AB51"/>
      <c r="AC51"/>
      <c r="AD51"/>
      <c r="AE51"/>
      <c r="AF51"/>
      <c r="AG51"/>
      <c r="AH51"/>
      <c r="AI51"/>
    </row>
    <row r="52" spans="2:35" ht="15" customHeight="1">
      <c r="B52" s="30"/>
      <c r="C52" s="30"/>
      <c r="D52" s="30"/>
      <c r="E52" s="30"/>
      <c r="F52" s="30"/>
      <c r="G52" s="30"/>
      <c r="H52" s="30"/>
      <c r="I52" s="30"/>
      <c r="J52" s="30"/>
      <c r="L52" s="206" t="s">
        <v>260</v>
      </c>
      <c r="M52" s="510" t="s">
        <v>775</v>
      </c>
      <c r="N52" s="510"/>
      <c r="O52" s="510"/>
      <c r="P52" s="510"/>
      <c r="Q52" s="42" t="s">
        <v>776</v>
      </c>
      <c r="R52" s="523" t="s">
        <v>33</v>
      </c>
      <c r="S52" s="510" t="s">
        <v>777</v>
      </c>
      <c r="T52" s="510"/>
      <c r="U52" s="510"/>
      <c r="V52" s="510"/>
      <c r="W52" s="510"/>
      <c r="X52" s="89"/>
      <c r="AA52"/>
      <c r="AB52"/>
      <c r="AC52"/>
      <c r="AD52"/>
      <c r="AE52"/>
      <c r="AF52"/>
      <c r="AG52"/>
      <c r="AH52"/>
      <c r="AI52"/>
    </row>
    <row r="53" spans="2:35" ht="15" customHeight="1">
      <c r="B53" s="30"/>
      <c r="C53" s="30"/>
      <c r="D53" s="30"/>
      <c r="E53" s="30"/>
      <c r="F53" s="30"/>
      <c r="G53" s="30"/>
      <c r="H53" s="30"/>
      <c r="I53" s="30"/>
      <c r="J53" s="30"/>
      <c r="L53" s="89"/>
      <c r="M53" s="510"/>
      <c r="N53" s="510"/>
      <c r="O53" s="510"/>
      <c r="P53" s="510"/>
      <c r="Q53" s="510" t="s">
        <v>778</v>
      </c>
      <c r="R53" s="523" t="s">
        <v>33</v>
      </c>
      <c r="S53" s="510" t="s">
        <v>779</v>
      </c>
      <c r="T53" s="510"/>
      <c r="U53" s="510"/>
      <c r="V53" s="510"/>
      <c r="W53" s="510"/>
      <c r="X53" s="89"/>
      <c r="AA53"/>
      <c r="AB53"/>
      <c r="AC53"/>
      <c r="AD53"/>
      <c r="AE53"/>
      <c r="AF53"/>
      <c r="AG53"/>
      <c r="AH53"/>
      <c r="AI53"/>
    </row>
    <row r="54" spans="2:35" ht="15" customHeight="1">
      <c r="B54" s="30"/>
      <c r="C54" s="30"/>
      <c r="D54" s="30"/>
      <c r="E54" s="30"/>
      <c r="F54" s="30"/>
      <c r="G54" s="30"/>
      <c r="H54" s="30"/>
      <c r="I54" s="30"/>
      <c r="J54" s="30"/>
      <c r="L54" s="89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89"/>
      <c r="AA54"/>
      <c r="AB54"/>
      <c r="AC54"/>
      <c r="AD54"/>
      <c r="AE54"/>
      <c r="AF54"/>
      <c r="AG54"/>
      <c r="AH54"/>
      <c r="AI54"/>
    </row>
    <row r="55" spans="2:35" ht="15" customHeight="1">
      <c r="B55" s="30"/>
      <c r="C55" s="30"/>
      <c r="D55" s="30"/>
      <c r="E55" s="30"/>
      <c r="F55" s="30"/>
      <c r="G55" s="30"/>
      <c r="H55" s="30"/>
      <c r="I55" s="30"/>
      <c r="J55" s="30"/>
      <c r="L55" s="89"/>
      <c r="M55" s="723" t="s">
        <v>83</v>
      </c>
      <c r="N55" s="800" t="s">
        <v>250</v>
      </c>
      <c r="O55" s="724" t="s">
        <v>261</v>
      </c>
      <c r="P55" s="89"/>
      <c r="Q55" s="89"/>
      <c r="R55" s="89"/>
      <c r="S55" s="89"/>
      <c r="T55" s="89"/>
      <c r="U55" s="89"/>
      <c r="V55" s="89"/>
      <c r="W55" s="89"/>
      <c r="X55" s="89"/>
      <c r="AA55"/>
      <c r="AB55"/>
      <c r="AC55"/>
      <c r="AD55"/>
      <c r="AE55"/>
      <c r="AF55"/>
      <c r="AG55"/>
      <c r="AH55"/>
      <c r="AI55"/>
    </row>
    <row r="56" spans="2:35" ht="15" customHeight="1">
      <c r="B56" s="30"/>
      <c r="C56" s="30"/>
      <c r="D56" s="30"/>
      <c r="E56" s="30"/>
      <c r="F56" s="30"/>
      <c r="G56" s="30"/>
      <c r="H56" s="30"/>
      <c r="I56" s="30"/>
      <c r="J56" s="30"/>
      <c r="L56" s="89"/>
      <c r="M56" s="725">
        <f>B11</f>
        <v>2022</v>
      </c>
      <c r="N56" s="801">
        <f>SUM(N7:Q7)+SUM(N43:R43)</f>
        <v>54433.8</v>
      </c>
      <c r="O56" s="802">
        <f>SUM(N43:R43)</f>
        <v>5761.8</v>
      </c>
      <c r="P56" s="89"/>
      <c r="Q56" s="758" t="s">
        <v>780</v>
      </c>
      <c r="R56" s="333"/>
      <c r="S56" s="333"/>
      <c r="T56" s="333"/>
      <c r="U56" s="333"/>
      <c r="V56" s="333"/>
      <c r="W56" s="332"/>
      <c r="X56" s="89"/>
      <c r="AA56"/>
      <c r="AB56"/>
      <c r="AC56"/>
      <c r="AD56"/>
      <c r="AE56"/>
      <c r="AF56"/>
      <c r="AG56"/>
      <c r="AH56"/>
      <c r="AI56"/>
    </row>
    <row r="57" spans="2:35" ht="15" customHeight="1">
      <c r="B57" s="30"/>
      <c r="C57" s="30"/>
      <c r="D57" s="30"/>
      <c r="E57" s="30"/>
      <c r="F57" s="30"/>
      <c r="G57" s="30"/>
      <c r="H57" s="30"/>
      <c r="I57" s="30"/>
      <c r="J57" s="30"/>
      <c r="L57" s="89"/>
      <c r="M57" s="725">
        <f>M56+1</f>
        <v>2023</v>
      </c>
      <c r="N57" s="801">
        <f>SUM(N8:Q8)+SUM(N44:R44)</f>
        <v>53576</v>
      </c>
      <c r="O57" s="802">
        <f>SUM(N44:R44)</f>
        <v>18008</v>
      </c>
      <c r="P57" s="89"/>
      <c r="Q57" s="761" t="s">
        <v>781</v>
      </c>
      <c r="R57" s="270"/>
      <c r="S57" s="270"/>
      <c r="T57" s="270"/>
      <c r="U57" s="270"/>
      <c r="V57" s="270"/>
      <c r="W57" s="706"/>
      <c r="X57" s="89"/>
      <c r="AA57"/>
      <c r="AB57"/>
      <c r="AC57"/>
      <c r="AD57"/>
      <c r="AE57"/>
      <c r="AF57"/>
      <c r="AG57"/>
      <c r="AH57"/>
      <c r="AI57"/>
    </row>
    <row r="58" spans="2:35" ht="15" customHeight="1">
      <c r="B58" s="30"/>
      <c r="C58" s="30"/>
      <c r="D58" s="30"/>
      <c r="E58" s="30"/>
      <c r="F58" s="30"/>
      <c r="G58" s="30"/>
      <c r="H58" s="30"/>
      <c r="I58" s="30"/>
      <c r="J58" s="30"/>
      <c r="L58" s="89"/>
      <c r="M58" s="725">
        <f>M57+1</f>
        <v>2024</v>
      </c>
      <c r="N58" s="801">
        <f>SUM(N9:Q9)+SUM(N45:R45)</f>
        <v>54906</v>
      </c>
      <c r="O58" s="802">
        <f>SUM(N45:R45)</f>
        <v>32676</v>
      </c>
      <c r="P58" s="89"/>
      <c r="Q58" s="89"/>
      <c r="R58" s="89"/>
      <c r="S58" s="89"/>
      <c r="T58" s="89"/>
      <c r="U58" s="89"/>
      <c r="V58" s="89"/>
      <c r="W58" s="89"/>
      <c r="X58" s="89"/>
      <c r="AA58"/>
      <c r="AB58"/>
      <c r="AC58"/>
      <c r="AD58"/>
      <c r="AE58"/>
      <c r="AF58"/>
      <c r="AG58"/>
      <c r="AH58"/>
      <c r="AI58"/>
    </row>
    <row r="59" spans="2:35" ht="15" customHeight="1">
      <c r="B59" s="30"/>
      <c r="C59" s="30"/>
      <c r="D59" s="30"/>
      <c r="E59" s="30"/>
      <c r="F59" s="30"/>
      <c r="G59" s="30"/>
      <c r="H59" s="30"/>
      <c r="I59" s="30"/>
      <c r="J59" s="30"/>
      <c r="L59" s="89"/>
      <c r="M59" s="726">
        <f>M58+1</f>
        <v>2025</v>
      </c>
      <c r="N59" s="271">
        <f>SUM(N10:Q10)+SUM(N46:R46)</f>
        <v>58560.12</v>
      </c>
      <c r="O59" s="329">
        <f>SUM(N46:R46)</f>
        <v>49668.12</v>
      </c>
      <c r="P59" s="89"/>
      <c r="Q59" s="89"/>
      <c r="R59" s="89"/>
      <c r="S59" s="89"/>
      <c r="T59" s="89"/>
      <c r="U59" s="89"/>
      <c r="V59" s="89"/>
      <c r="W59" s="89"/>
      <c r="X59" s="89"/>
      <c r="AA59"/>
      <c r="AB59"/>
      <c r="AC59"/>
      <c r="AD59"/>
      <c r="AE59"/>
      <c r="AF59"/>
      <c r="AG59"/>
      <c r="AH59"/>
      <c r="AI59"/>
    </row>
    <row r="60" spans="2:35" ht="15" customHeight="1">
      <c r="B60" s="30"/>
      <c r="C60" s="30"/>
      <c r="D60" s="30"/>
      <c r="E60" s="30"/>
      <c r="F60" s="30"/>
      <c r="G60" s="30"/>
      <c r="H60" s="30"/>
      <c r="I60" s="30"/>
      <c r="J60" s="30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AA60"/>
      <c r="AB60"/>
      <c r="AC60"/>
      <c r="AD60"/>
      <c r="AE60"/>
      <c r="AF60"/>
      <c r="AG60"/>
      <c r="AH60"/>
      <c r="AI60"/>
    </row>
    <row r="61" spans="2:35" ht="15" customHeight="1">
      <c r="B61" s="30"/>
      <c r="C61" s="30"/>
      <c r="D61" s="30"/>
      <c r="E61" s="30"/>
      <c r="F61" s="30"/>
      <c r="G61" s="30"/>
      <c r="H61" s="30"/>
      <c r="I61" s="30"/>
      <c r="J61" s="30"/>
      <c r="L61" s="510"/>
      <c r="M61" s="89" t="s">
        <v>782</v>
      </c>
      <c r="N61" s="391" t="str">
        <f>E6</f>
        <v>unpaid</v>
      </c>
      <c r="O61" s="229" t="s">
        <v>257</v>
      </c>
      <c r="P61" s="371">
        <f>G6</f>
        <v>2025</v>
      </c>
      <c r="Q61" s="229" t="s">
        <v>783</v>
      </c>
      <c r="R61" s="206">
        <f>VLOOKUP(P61,M56:O59,IF(N61="ultimate",2,3),FALSE)</f>
        <v>49668.12</v>
      </c>
      <c r="S61" s="161" t="s">
        <v>308</v>
      </c>
      <c r="T61" s="89"/>
      <c r="U61" s="89"/>
      <c r="V61" s="89"/>
      <c r="W61" s="89"/>
      <c r="X61" s="510"/>
      <c r="Y61"/>
      <c r="Z61"/>
      <c r="AA61"/>
      <c r="AB61"/>
      <c r="AC61"/>
      <c r="AD61"/>
      <c r="AE61"/>
      <c r="AF61"/>
      <c r="AG61"/>
      <c r="AH61"/>
      <c r="AI61"/>
    </row>
    <row r="62" spans="2:35" ht="15" customHeight="1">
      <c r="B62" s="30"/>
      <c r="C62" s="30"/>
      <c r="D62" s="30"/>
      <c r="E62" s="30"/>
      <c r="F62" s="30"/>
      <c r="G62" s="30"/>
      <c r="H62" s="30"/>
      <c r="I62" s="30"/>
      <c r="J62" s="30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2:35" ht="15" customHeight="1">
      <c r="B63" s="30"/>
      <c r="C63" s="30"/>
      <c r="D63" s="30"/>
      <c r="E63" s="30"/>
      <c r="F63" s="30"/>
      <c r="G63" s="30"/>
      <c r="H63" s="30"/>
      <c r="I63" s="30"/>
      <c r="J63" s="30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2:35" ht="15" customHeight="1">
      <c r="B64" s="30"/>
      <c r="C64" s="30"/>
      <c r="D64" s="30"/>
      <c r="E64" s="30"/>
      <c r="F64" s="30"/>
      <c r="G64" s="30"/>
      <c r="H64" s="30"/>
      <c r="I64" s="30"/>
      <c r="J64" s="30"/>
      <c r="L64" s="238" t="s">
        <v>3</v>
      </c>
      <c r="M64" s="727" t="s">
        <v>489</v>
      </c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2:35" ht="15" customHeight="1">
      <c r="B65" s="30"/>
      <c r="C65" s="30"/>
      <c r="D65" s="30"/>
      <c r="E65" s="30"/>
      <c r="F65" s="30"/>
      <c r="G65" s="30"/>
      <c r="H65" s="30"/>
      <c r="I65" s="30"/>
      <c r="J65" s="30"/>
      <c r="M65" s="21" t="s">
        <v>787</v>
      </c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2:35" ht="15" customHeight="1">
      <c r="B66" s="30"/>
      <c r="C66" s="30"/>
      <c r="D66" s="30"/>
      <c r="E66" s="30"/>
      <c r="F66" s="30"/>
      <c r="G66" s="30"/>
      <c r="H66" s="30"/>
      <c r="I66" s="30"/>
      <c r="J66" s="30"/>
      <c r="M66" s="21" t="s">
        <v>786</v>
      </c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2:35" ht="15" customHeight="1">
      <c r="B67" s="30"/>
      <c r="C67" s="30"/>
      <c r="D67" s="30"/>
      <c r="E67" s="30"/>
      <c r="F67" s="30"/>
      <c r="G67" s="30"/>
      <c r="H67" s="30"/>
      <c r="I67" s="30"/>
      <c r="J67" s="30"/>
      <c r="M67" s="21" t="s">
        <v>788</v>
      </c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2:35" ht="15" customHeight="1">
      <c r="B68" s="30"/>
      <c r="C68" s="30"/>
      <c r="D68" s="30"/>
      <c r="E68" s="30"/>
      <c r="F68" s="30"/>
      <c r="G68" s="30"/>
      <c r="H68" s="30"/>
      <c r="I68" s="30"/>
      <c r="J68" s="30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2:35" ht="15" customHeight="1">
      <c r="B69" s="30"/>
      <c r="C69" s="30"/>
      <c r="D69" s="30"/>
      <c r="E69" s="30"/>
      <c r="F69" s="30"/>
      <c r="G69" s="30"/>
      <c r="H69" s="30"/>
      <c r="I69" s="30"/>
      <c r="J69" s="30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2:35" ht="15" customHeight="1">
      <c r="B70" s="30"/>
      <c r="C70" s="30"/>
      <c r="D70" s="30"/>
      <c r="E70" s="30"/>
      <c r="F70" s="30"/>
      <c r="G70" s="30"/>
      <c r="H70" s="30"/>
      <c r="I70" s="30"/>
      <c r="J70" s="3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2:35" ht="15" customHeight="1">
      <c r="B71" s="30"/>
      <c r="C71" s="30"/>
      <c r="D71" s="30"/>
      <c r="E71" s="30"/>
      <c r="F71" s="30"/>
      <c r="G71" s="30"/>
      <c r="H71" s="30"/>
      <c r="I71" s="30"/>
      <c r="J71" s="30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2:35" ht="15" customHeight="1">
      <c r="B72" s="30"/>
      <c r="C72" s="30"/>
      <c r="D72" s="30"/>
      <c r="E72" s="30"/>
      <c r="F72" s="30"/>
      <c r="G72" s="30"/>
      <c r="H72" s="30"/>
      <c r="I72" s="30"/>
      <c r="J72" s="30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2:35" ht="15" customHeight="1">
      <c r="B73" s="30"/>
      <c r="C73" s="30"/>
      <c r="D73" s="30"/>
      <c r="E73" s="30"/>
      <c r="F73" s="30"/>
      <c r="G73" s="30"/>
      <c r="H73" s="30"/>
      <c r="I73" s="30"/>
      <c r="J73" s="30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2:35" ht="15" customHeight="1">
      <c r="B74" s="30"/>
      <c r="C74" s="30"/>
      <c r="D74" s="30"/>
      <c r="E74" s="30"/>
      <c r="F74" s="30"/>
      <c r="G74" s="30"/>
      <c r="H74" s="30"/>
      <c r="I74" s="30"/>
      <c r="J74" s="30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2:35" ht="15" customHeight="1">
      <c r="B75" s="30"/>
      <c r="C75" s="30"/>
      <c r="D75" s="30"/>
      <c r="E75" s="30"/>
      <c r="F75" s="30"/>
      <c r="G75" s="30"/>
      <c r="H75" s="30"/>
      <c r="I75" s="30"/>
      <c r="J75" s="30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2:35" ht="15" customHeight="1">
      <c r="B76" s="30"/>
      <c r="C76" s="30"/>
      <c r="D76" s="30"/>
      <c r="E76" s="30"/>
      <c r="F76" s="30"/>
      <c r="G76" s="30"/>
      <c r="H76" s="30"/>
      <c r="I76" s="30"/>
      <c r="J76" s="30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ht="15" customHeight="1">
      <c r="B77" s="30"/>
      <c r="C77" s="30"/>
      <c r="D77" s="30"/>
      <c r="E77" s="30"/>
      <c r="F77" s="30"/>
      <c r="G77" s="30"/>
      <c r="H77" s="30"/>
      <c r="I77" s="30"/>
      <c r="J77" s="30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2:35" ht="15" customHeight="1">
      <c r="B78" s="30"/>
      <c r="C78" s="30"/>
      <c r="D78" s="30"/>
      <c r="E78" s="30"/>
      <c r="F78" s="30"/>
      <c r="G78" s="30"/>
      <c r="H78" s="30"/>
      <c r="I78" s="30"/>
      <c r="J78" s="30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2:35" ht="15" customHeight="1">
      <c r="B79" s="30"/>
      <c r="C79" s="30"/>
      <c r="D79" s="30"/>
      <c r="E79" s="30"/>
      <c r="F79" s="30"/>
      <c r="G79" s="30"/>
      <c r="H79" s="30"/>
      <c r="I79" s="30"/>
      <c r="J79" s="30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2:35" ht="15" customHeight="1">
      <c r="B80" s="30"/>
      <c r="C80" s="30"/>
      <c r="D80" s="30"/>
      <c r="E80" s="30"/>
      <c r="F80" s="30"/>
      <c r="G80" s="30"/>
      <c r="H80" s="30"/>
      <c r="I80" s="30"/>
      <c r="J80" s="3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2:35" ht="15" customHeight="1">
      <c r="B81" s="30"/>
      <c r="C81" s="30"/>
      <c r="D81" s="30"/>
      <c r="E81" s="30"/>
      <c r="F81" s="30"/>
      <c r="G81" s="30"/>
      <c r="H81" s="30"/>
      <c r="I81" s="30"/>
      <c r="J81" s="30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2:35" ht="15" customHeight="1">
      <c r="B82" s="30"/>
      <c r="C82" s="30"/>
      <c r="D82" s="30"/>
      <c r="E82" s="30"/>
      <c r="F82" s="30"/>
      <c r="G82" s="30"/>
      <c r="H82" s="30"/>
      <c r="I82" s="30"/>
      <c r="J82" s="30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2:35" ht="15" customHeight="1">
      <c r="B83" s="30"/>
      <c r="C83" s="30"/>
      <c r="D83" s="30"/>
      <c r="E83" s="30"/>
      <c r="F83" s="30"/>
      <c r="G83" s="30"/>
      <c r="H83" s="30"/>
      <c r="I83" s="30"/>
      <c r="J83" s="30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2:35" ht="15" customHeight="1">
      <c r="B84" s="30"/>
      <c r="C84" s="30"/>
      <c r="D84" s="30"/>
      <c r="E84" s="30"/>
      <c r="F84" s="30"/>
      <c r="G84" s="30"/>
      <c r="H84" s="30"/>
      <c r="I84" s="30"/>
      <c r="J84" s="30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2:35" ht="15" customHeight="1">
      <c r="B85" s="30"/>
      <c r="C85" s="30"/>
      <c r="D85" s="30"/>
      <c r="E85" s="30"/>
      <c r="F85" s="30"/>
      <c r="G85" s="30"/>
      <c r="H85" s="30"/>
      <c r="I85" s="30"/>
      <c r="J85" s="30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2:35" ht="15" customHeight="1">
      <c r="B86" s="30"/>
      <c r="C86" s="30"/>
      <c r="D86" s="30"/>
      <c r="E86" s="30"/>
      <c r="F86" s="30"/>
      <c r="G86" s="30"/>
      <c r="H86" s="30"/>
      <c r="I86" s="30"/>
      <c r="J86" s="30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2:35" ht="15" customHeight="1">
      <c r="B87" s="30"/>
      <c r="C87" s="30"/>
      <c r="D87" s="30"/>
      <c r="E87" s="30"/>
      <c r="F87" s="30"/>
      <c r="G87" s="30"/>
      <c r="H87" s="30"/>
      <c r="I87" s="30"/>
      <c r="J87" s="30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2:35" ht="15" customHeight="1">
      <c r="B88" s="30"/>
      <c r="C88" s="30"/>
      <c r="D88" s="30"/>
      <c r="E88" s="30"/>
      <c r="F88" s="30"/>
      <c r="G88" s="30"/>
      <c r="H88" s="30"/>
      <c r="I88" s="30"/>
      <c r="J88" s="30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2:35" ht="15" customHeight="1">
      <c r="B89" s="30"/>
      <c r="C89" s="30"/>
      <c r="D89" s="30"/>
      <c r="E89" s="30"/>
      <c r="F89" s="30"/>
      <c r="G89" s="30"/>
      <c r="H89" s="30"/>
      <c r="I89" s="30"/>
      <c r="J89" s="30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ht="15" customHeight="1">
      <c r="B90" s="30"/>
      <c r="C90" s="30"/>
      <c r="D90" s="30"/>
      <c r="E90" s="30"/>
      <c r="F90" s="30"/>
      <c r="G90" s="30"/>
      <c r="H90" s="30"/>
      <c r="I90" s="30"/>
      <c r="J90" s="3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ht="15" customHeight="1">
      <c r="B91" s="30"/>
      <c r="C91" s="30"/>
      <c r="D91" s="30"/>
      <c r="E91" s="30"/>
      <c r="F91" s="30"/>
      <c r="G91" s="30"/>
      <c r="H91" s="30"/>
      <c r="I91" s="30"/>
      <c r="J91" s="30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ht="15" customHeight="1">
      <c r="B92" s="30"/>
      <c r="C92" s="30"/>
      <c r="D92" s="30"/>
      <c r="E92" s="30"/>
      <c r="F92" s="30"/>
      <c r="G92" s="30"/>
      <c r="H92" s="30"/>
      <c r="I92" s="30"/>
      <c r="J92" s="30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ht="15" customHeight="1">
      <c r="B93" s="30"/>
      <c r="C93" s="30"/>
      <c r="D93" s="30"/>
      <c r="E93" s="30"/>
      <c r="F93" s="30"/>
      <c r="G93" s="30"/>
      <c r="H93" s="30"/>
      <c r="I93" s="30"/>
      <c r="J93" s="30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15" customHeight="1">
      <c r="B94" s="30"/>
      <c r="C94" s="30"/>
      <c r="D94" s="30"/>
      <c r="E94" s="30"/>
      <c r="F94" s="30"/>
      <c r="G94" s="30"/>
      <c r="H94" s="30"/>
      <c r="I94" s="30"/>
      <c r="J94" s="30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ht="15" customHeight="1">
      <c r="B95" s="30"/>
      <c r="C95" s="30"/>
      <c r="D95" s="30"/>
      <c r="E95" s="30"/>
      <c r="F95" s="30"/>
      <c r="G95" s="30"/>
      <c r="H95" s="30"/>
      <c r="I95" s="30"/>
      <c r="J95" s="30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ht="15" customHeight="1">
      <c r="B96" s="30"/>
      <c r="C96" s="30"/>
      <c r="D96" s="30"/>
      <c r="E96" s="30"/>
      <c r="F96" s="30"/>
      <c r="G96" s="30"/>
      <c r="H96" s="30"/>
      <c r="I96" s="30"/>
      <c r="J96" s="30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2:35" ht="15" customHeight="1">
      <c r="B97" s="30"/>
      <c r="C97" s="30"/>
      <c r="D97" s="30"/>
      <c r="E97" s="30"/>
      <c r="F97" s="30"/>
      <c r="G97" s="30"/>
      <c r="H97" s="30"/>
      <c r="I97" s="30"/>
      <c r="J97" s="30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2:35" ht="15" customHeight="1">
      <c r="B98" s="30"/>
      <c r="C98" s="30"/>
      <c r="D98" s="30"/>
      <c r="E98" s="30"/>
      <c r="F98" s="30"/>
      <c r="G98" s="30"/>
      <c r="H98" s="30"/>
      <c r="I98" s="30"/>
      <c r="J98" s="30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2:35" ht="15" customHeight="1">
      <c r="B99" s="30"/>
      <c r="C99" s="30"/>
      <c r="D99" s="30"/>
      <c r="E99" s="30"/>
      <c r="F99" s="30"/>
      <c r="G99" s="30"/>
      <c r="H99" s="30"/>
      <c r="I99" s="30"/>
      <c r="J99" s="30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2:35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101"/>
  <sheetViews>
    <sheetView workbookViewId="0"/>
  </sheetViews>
  <sheetFormatPr defaultColWidth="9.140625" defaultRowHeight="15"/>
  <cols>
    <col min="1" max="1" width="9.140625" style="21"/>
    <col min="2" max="6" width="10.7109375" style="21" customWidth="1"/>
    <col min="7" max="7" width="8.7109375" style="21" customWidth="1"/>
    <col min="8" max="12" width="10.7109375" style="21" customWidth="1"/>
    <col min="13" max="13" width="11.140625" style="21" customWidth="1"/>
    <col min="14" max="25" width="9.140625" style="21"/>
    <col min="26" max="26" width="10.7109375" style="21" customWidth="1"/>
    <col min="27" max="16384" width="9.140625" style="21"/>
  </cols>
  <sheetData>
    <row r="1" spans="1:38">
      <c r="A1" s="7">
        <v>26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1028" t="s">
        <v>24</v>
      </c>
      <c r="M1" s="1029"/>
      <c r="O1" s="1" t="s">
        <v>32</v>
      </c>
      <c r="P1" s="46" t="str">
        <f>VLOOKUP(A1,'Point Grid'!$L$8:$T$54,9,FALSE)</f>
        <v>Reserving - Chap 13: Berquist-Sherman Methods</v>
      </c>
      <c r="Q1"/>
      <c r="R1"/>
      <c r="S1"/>
      <c r="T1"/>
      <c r="U1"/>
      <c r="V1"/>
      <c r="W1"/>
      <c r="X1"/>
      <c r="Y1"/>
    </row>
    <row r="2" spans="1:38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  <c r="AF2" s="510"/>
      <c r="AG2" s="510"/>
      <c r="AH2" s="510"/>
      <c r="AI2" s="510"/>
      <c r="AJ2" s="510"/>
      <c r="AK2" s="510"/>
      <c r="AL2" s="510"/>
    </row>
    <row r="3" spans="1:38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238" t="s">
        <v>2</v>
      </c>
      <c r="P3" s="157" t="s">
        <v>232</v>
      </c>
      <c r="Q3" s="274" t="s">
        <v>233</v>
      </c>
      <c r="R3" s="1" t="s">
        <v>234</v>
      </c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10"/>
      <c r="AD3" s="510"/>
      <c r="AE3" s="510"/>
      <c r="AF3" s="510"/>
      <c r="AG3" s="510"/>
      <c r="AH3" s="510"/>
      <c r="AI3" s="510"/>
      <c r="AJ3" s="510"/>
      <c r="AK3" s="510"/>
      <c r="AL3" s="510"/>
    </row>
    <row r="4" spans="1:38">
      <c r="A4" s="9">
        <f>INDEX('Point Grid'!B:B,MATCH(A1,'Point Grid'!A:A,0))</f>
        <v>3.75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0"/>
      <c r="P4" s="522"/>
      <c r="Q4" s="522"/>
      <c r="R4" s="125" t="s">
        <v>83</v>
      </c>
      <c r="S4" s="275" t="str">
        <f>D10&amp;"-"&amp;E10</f>
        <v>12-24</v>
      </c>
      <c r="T4" s="276" t="str">
        <f>E10&amp;"-"&amp;F10</f>
        <v>24-36</v>
      </c>
      <c r="U4" s="277" t="str">
        <f>F10&amp;"-"&amp;G10</f>
        <v>36-48</v>
      </c>
      <c r="V4" s="278" t="s">
        <v>235</v>
      </c>
      <c r="W4" s="522"/>
      <c r="X4" s="522"/>
      <c r="Y4" s="522"/>
      <c r="Z4" s="522"/>
      <c r="AA4" s="522"/>
      <c r="AB4" s="522"/>
      <c r="AC4" s="510"/>
      <c r="AD4" s="510"/>
      <c r="AE4" s="510"/>
      <c r="AF4" s="510"/>
      <c r="AG4" s="510"/>
      <c r="AH4" s="510"/>
      <c r="AI4" s="510"/>
      <c r="AJ4" s="510"/>
      <c r="AK4" s="510"/>
      <c r="AL4" s="510"/>
    </row>
    <row r="5" spans="1:38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0"/>
      <c r="P5" s="522"/>
      <c r="Q5" s="522"/>
      <c r="R5" s="174">
        <f>C11</f>
        <v>2022</v>
      </c>
      <c r="S5" s="280">
        <f>E11/D11</f>
        <v>2.5</v>
      </c>
      <c r="T5" s="281">
        <f>F11/E11</f>
        <v>2</v>
      </c>
      <c r="U5" s="282">
        <f>G11/F11</f>
        <v>1.1000000000000001</v>
      </c>
      <c r="V5" s="522"/>
      <c r="W5" s="522"/>
      <c r="X5" s="522"/>
      <c r="Y5" s="522"/>
      <c r="Z5" s="522"/>
      <c r="AA5" s="522"/>
      <c r="AB5" s="522"/>
      <c r="AC5" s="510"/>
      <c r="AD5" s="510"/>
      <c r="AE5" s="510"/>
      <c r="AF5" s="510"/>
      <c r="AG5" s="510"/>
      <c r="AH5" s="510"/>
      <c r="AI5" s="510"/>
      <c r="AJ5" s="510"/>
      <c r="AK5" s="510"/>
      <c r="AL5" s="510"/>
    </row>
    <row r="6" spans="1:38">
      <c r="A6" s="25" t="s">
        <v>2</v>
      </c>
      <c r="B6" s="17" t="s">
        <v>789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30"/>
      <c r="P6" s="526"/>
      <c r="Q6" s="526"/>
      <c r="R6" s="174">
        <f>R5+1</f>
        <v>2023</v>
      </c>
      <c r="S6" s="284">
        <f>E12/D12</f>
        <v>4</v>
      </c>
      <c r="T6" s="285">
        <f>F12/E12</f>
        <v>1.25</v>
      </c>
      <c r="U6" s="286"/>
      <c r="V6" s="526"/>
      <c r="W6" s="526"/>
      <c r="X6" s="522"/>
      <c r="Y6" s="522"/>
      <c r="Z6" s="522"/>
      <c r="AA6" s="522"/>
      <c r="AB6" s="522"/>
      <c r="AC6" s="510"/>
      <c r="AD6" s="510"/>
      <c r="AE6" s="510"/>
      <c r="AF6" s="510"/>
      <c r="AG6" s="510"/>
      <c r="AH6" s="510"/>
      <c r="AI6" s="510"/>
      <c r="AJ6" s="510"/>
      <c r="AK6" s="510"/>
      <c r="AL6" s="510"/>
    </row>
    <row r="7" spans="1:38" ht="15.75" thickBot="1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0"/>
      <c r="P7" s="526"/>
      <c r="Q7" s="526"/>
      <c r="R7" s="174">
        <f>R6+1</f>
        <v>2024</v>
      </c>
      <c r="S7" s="284">
        <f>E13/D13</f>
        <v>1.6</v>
      </c>
      <c r="T7" s="288"/>
      <c r="U7" s="286"/>
      <c r="V7" s="526"/>
      <c r="W7" s="526"/>
      <c r="X7" s="526"/>
      <c r="Y7" s="526"/>
      <c r="Z7" s="526"/>
      <c r="AA7" s="526"/>
      <c r="AB7" s="526"/>
      <c r="AC7" s="510"/>
      <c r="AD7" s="510"/>
      <c r="AE7" s="510"/>
      <c r="AF7" s="510"/>
      <c r="AG7" s="510"/>
      <c r="AH7" s="510"/>
      <c r="AI7" s="510"/>
      <c r="AJ7" s="510"/>
      <c r="AK7" s="510"/>
      <c r="AL7" s="510"/>
    </row>
    <row r="8" spans="1:38" ht="15.75" thickBot="1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30"/>
      <c r="P8" s="526"/>
      <c r="Q8" s="526"/>
      <c r="R8" s="175">
        <f>R7+1</f>
        <v>2025</v>
      </c>
      <c r="S8" s="289"/>
      <c r="T8" s="290"/>
      <c r="U8" s="291"/>
      <c r="V8" s="526"/>
      <c r="W8" s="526"/>
      <c r="X8" s="526"/>
      <c r="Y8" s="526"/>
      <c r="Z8" s="526"/>
      <c r="AA8" s="526"/>
      <c r="AB8" s="526"/>
      <c r="AC8" s="510"/>
      <c r="AD8" s="510"/>
      <c r="AE8" s="510"/>
      <c r="AF8" s="510"/>
      <c r="AG8" s="510"/>
      <c r="AH8" s="510"/>
      <c r="AI8" s="510"/>
      <c r="AJ8" s="510"/>
      <c r="AK8" s="510"/>
      <c r="AL8" s="510"/>
    </row>
    <row r="9" spans="1:38">
      <c r="A9" s="25"/>
      <c r="B9" s="17"/>
      <c r="C9" s="412"/>
      <c r="D9" s="413" t="s">
        <v>735</v>
      </c>
      <c r="E9" s="413"/>
      <c r="F9" s="413"/>
      <c r="G9" s="414"/>
      <c r="H9" s="17"/>
      <c r="I9" s="17"/>
      <c r="J9" s="17"/>
      <c r="K9" s="17"/>
      <c r="L9" s="17"/>
      <c r="M9" s="18"/>
      <c r="N9" s="30"/>
      <c r="P9" s="157" t="s">
        <v>239</v>
      </c>
      <c r="Q9" s="274" t="s">
        <v>233</v>
      </c>
      <c r="R9" s="292" t="s">
        <v>240</v>
      </c>
      <c r="S9" s="293">
        <f>AVERAGE(S5:S7)</f>
        <v>2.6999999999999997</v>
      </c>
      <c r="T9" s="294">
        <f>AVERAGE(T5:T7)</f>
        <v>1.625</v>
      </c>
      <c r="U9" s="295">
        <f>AVERAGE(U5:U7)</f>
        <v>1.1000000000000001</v>
      </c>
      <c r="V9" s="296">
        <f>F16</f>
        <v>1.091</v>
      </c>
      <c r="W9" s="156"/>
      <c r="X9" s="525"/>
      <c r="Y9" s="156"/>
      <c r="Z9" s="525"/>
      <c r="AA9" s="526"/>
      <c r="AB9" s="526"/>
      <c r="AC9" s="510"/>
      <c r="AD9" s="510"/>
      <c r="AE9" s="510"/>
      <c r="AF9" s="510"/>
      <c r="AG9" s="510"/>
      <c r="AH9" s="510"/>
      <c r="AI9" s="510"/>
      <c r="AJ9" s="510"/>
      <c r="AK9" s="510"/>
      <c r="AL9" s="510"/>
    </row>
    <row r="10" spans="1:38">
      <c r="A10" s="25"/>
      <c r="B10" s="17"/>
      <c r="C10" s="415" t="s">
        <v>83</v>
      </c>
      <c r="D10" s="416">
        <v>12</v>
      </c>
      <c r="E10" s="416">
        <v>24</v>
      </c>
      <c r="F10" s="416">
        <v>36</v>
      </c>
      <c r="G10" s="327">
        <v>48</v>
      </c>
      <c r="H10" s="17"/>
      <c r="I10" s="17"/>
      <c r="J10" s="17"/>
      <c r="K10" s="17"/>
      <c r="L10" s="17"/>
      <c r="M10" s="18"/>
      <c r="N10" s="30"/>
      <c r="P10" s="526"/>
      <c r="Q10" s="526"/>
      <c r="R10" s="522"/>
      <c r="S10" s="522"/>
      <c r="T10" s="522"/>
      <c r="U10" s="522"/>
      <c r="V10" s="522"/>
      <c r="W10" s="526"/>
      <c r="X10" s="526"/>
      <c r="Y10" s="526"/>
      <c r="Z10" s="526"/>
      <c r="AA10" s="526"/>
      <c r="AB10" s="526"/>
      <c r="AC10" s="510"/>
      <c r="AD10" s="510"/>
      <c r="AE10" s="510"/>
      <c r="AF10" s="510"/>
      <c r="AG10" s="510"/>
      <c r="AH10" s="510"/>
      <c r="AI10" s="510"/>
      <c r="AJ10" s="510"/>
      <c r="AK10" s="510"/>
      <c r="AL10" s="510"/>
    </row>
    <row r="11" spans="1:38">
      <c r="A11" s="25"/>
      <c r="B11" s="17"/>
      <c r="C11" s="417">
        <v>2022</v>
      </c>
      <c r="D11" s="803">
        <v>72000</v>
      </c>
      <c r="E11" s="803">
        <v>180000</v>
      </c>
      <c r="F11" s="803">
        <v>360000</v>
      </c>
      <c r="G11" s="804">
        <v>396000</v>
      </c>
      <c r="H11" s="17"/>
      <c r="I11" s="17"/>
      <c r="J11" s="17"/>
      <c r="K11" s="17"/>
      <c r="L11" s="17"/>
      <c r="M11" s="18"/>
      <c r="N11" s="30"/>
      <c r="P11" s="157" t="s">
        <v>241</v>
      </c>
      <c r="Q11" s="274" t="s">
        <v>233</v>
      </c>
      <c r="R11" s="1" t="s">
        <v>242</v>
      </c>
      <c r="S11" s="1"/>
      <c r="T11" s="522"/>
      <c r="U11" s="522"/>
      <c r="V11" s="522"/>
      <c r="W11" s="526"/>
      <c r="X11" s="216"/>
      <c r="Y11" s="526"/>
      <c r="Z11" s="526"/>
      <c r="AA11" s="216"/>
      <c r="AB11" s="526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</row>
    <row r="12" spans="1:38">
      <c r="A12" s="25"/>
      <c r="B12" s="17"/>
      <c r="C12" s="417">
        <f>C11+1</f>
        <v>2023</v>
      </c>
      <c r="D12" s="803">
        <v>72000</v>
      </c>
      <c r="E12" s="803">
        <v>288000</v>
      </c>
      <c r="F12" s="803">
        <v>360000</v>
      </c>
      <c r="G12" s="356"/>
      <c r="H12" s="17"/>
      <c r="I12" s="17"/>
      <c r="J12" s="17"/>
      <c r="K12" s="17"/>
      <c r="L12" s="17"/>
      <c r="M12" s="18"/>
      <c r="N12" s="30"/>
      <c r="P12" s="526"/>
      <c r="Q12" s="526"/>
      <c r="R12" s="297"/>
      <c r="S12" s="298" t="str">
        <f>D10&amp;"-ult"</f>
        <v>12-ult</v>
      </c>
      <c r="T12" s="299" t="str">
        <f>E10&amp;"-ult"</f>
        <v>24-ult</v>
      </c>
      <c r="U12" s="299" t="str">
        <f>F10&amp;"-ult"</f>
        <v>36-ult</v>
      </c>
      <c r="V12" s="300" t="str">
        <f>G10&amp;"-ult"</f>
        <v>48-ult</v>
      </c>
      <c r="W12" s="526"/>
      <c r="X12" s="526"/>
      <c r="Y12" s="526"/>
      <c r="Z12" s="216"/>
      <c r="AA12" s="526"/>
      <c r="AB12" s="526"/>
      <c r="AC12" s="510"/>
      <c r="AD12" s="510"/>
      <c r="AE12" s="510"/>
      <c r="AF12" s="510"/>
      <c r="AG12" s="510"/>
      <c r="AH12" s="510"/>
      <c r="AI12" s="510"/>
      <c r="AJ12" s="510"/>
      <c r="AK12" s="510"/>
      <c r="AL12" s="510"/>
    </row>
    <row r="13" spans="1:38">
      <c r="A13" s="25"/>
      <c r="B13" s="17"/>
      <c r="C13" s="417">
        <f>C12+1</f>
        <v>2024</v>
      </c>
      <c r="D13" s="803">
        <v>180000</v>
      </c>
      <c r="E13" s="803">
        <v>288000</v>
      </c>
      <c r="F13" s="353"/>
      <c r="G13" s="356"/>
      <c r="H13" s="17"/>
      <c r="I13" s="17"/>
      <c r="J13" s="17"/>
      <c r="K13" s="17"/>
      <c r="L13" s="17"/>
      <c r="M13" s="18"/>
      <c r="N13" s="30"/>
      <c r="P13" s="526"/>
      <c r="Q13" s="526"/>
      <c r="R13" s="301" t="s">
        <v>243</v>
      </c>
      <c r="S13" s="302">
        <f>T13*S9</f>
        <v>5.2654387500000004</v>
      </c>
      <c r="T13" s="302">
        <f>U13*T9</f>
        <v>1.9501625000000002</v>
      </c>
      <c r="U13" s="302">
        <f>V13*U9</f>
        <v>1.2001000000000002</v>
      </c>
      <c r="V13" s="303">
        <f>V9</f>
        <v>1.091</v>
      </c>
      <c r="W13" s="304" t="s">
        <v>244</v>
      </c>
      <c r="X13" s="305" t="s">
        <v>245</v>
      </c>
      <c r="Y13" s="207"/>
      <c r="Z13" s="177"/>
      <c r="AA13" s="526"/>
      <c r="AB13" s="526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</row>
    <row r="14" spans="1:38">
      <c r="A14" s="25"/>
      <c r="B14" s="17"/>
      <c r="C14" s="418">
        <f>C13+1</f>
        <v>2025</v>
      </c>
      <c r="D14" s="805">
        <v>180000</v>
      </c>
      <c r="E14" s="349"/>
      <c r="F14" s="349"/>
      <c r="G14" s="350"/>
      <c r="H14" s="17"/>
      <c r="I14" s="17"/>
      <c r="J14" s="17"/>
      <c r="K14" s="17"/>
      <c r="L14" s="17"/>
      <c r="M14" s="18"/>
      <c r="N14" s="30"/>
      <c r="P14" s="526"/>
      <c r="Q14" s="526"/>
      <c r="R14" s="522"/>
      <c r="S14" s="522"/>
      <c r="T14" s="522"/>
      <c r="U14" s="522"/>
      <c r="V14" s="522"/>
      <c r="W14" s="526"/>
      <c r="X14" s="306" t="s">
        <v>246</v>
      </c>
      <c r="Y14" s="526"/>
      <c r="Z14" s="526"/>
      <c r="AA14" s="526"/>
      <c r="AB14" s="526"/>
      <c r="AC14" s="510"/>
      <c r="AD14" s="510"/>
      <c r="AE14" s="510"/>
      <c r="AF14" s="510"/>
      <c r="AG14" s="510"/>
      <c r="AH14" s="510"/>
      <c r="AI14" s="510"/>
      <c r="AJ14" s="510"/>
      <c r="AK14" s="510"/>
      <c r="AL14" s="510"/>
    </row>
    <row r="15" spans="1:38">
      <c r="A15" s="2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30"/>
      <c r="P15" s="157" t="s">
        <v>247</v>
      </c>
      <c r="Q15" s="274" t="s">
        <v>233</v>
      </c>
      <c r="R15" s="1" t="s">
        <v>248</v>
      </c>
      <c r="S15" s="522"/>
      <c r="T15" s="522"/>
      <c r="U15" s="522"/>
      <c r="V15" s="522"/>
      <c r="W15" s="526"/>
      <c r="X15" s="526"/>
      <c r="Y15" s="526"/>
      <c r="Z15" s="526"/>
      <c r="AA15" s="526"/>
      <c r="AB15" s="526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</row>
    <row r="16" spans="1:38">
      <c r="A16" s="25"/>
      <c r="B16" s="17"/>
      <c r="C16" s="17" t="s">
        <v>794</v>
      </c>
      <c r="D16" s="17"/>
      <c r="E16" s="17"/>
      <c r="F16" s="807">
        <v>1.091</v>
      </c>
      <c r="G16" s="867" t="s">
        <v>858</v>
      </c>
      <c r="H16" s="17" t="s">
        <v>859</v>
      </c>
      <c r="I16" s="17"/>
      <c r="J16" s="17"/>
      <c r="K16" s="17"/>
      <c r="L16" s="17"/>
      <c r="M16" s="18"/>
      <c r="N16" s="30"/>
      <c r="P16" s="526"/>
      <c r="Q16" s="526"/>
      <c r="R16" s="297"/>
      <c r="S16" s="307" t="str">
        <f>"'"&amp;RIGHT($C14,2)&amp;"@"&amp;D10</f>
        <v>'25@12</v>
      </c>
      <c r="T16" s="308" t="str">
        <f>"'"&amp;RIGHT($C13,2)&amp;"@"&amp;E10</f>
        <v>'24@24</v>
      </c>
      <c r="U16" s="308" t="str">
        <f>"'"&amp;RIGHT($C12,2)&amp;"@"&amp;F10</f>
        <v>'23@36</v>
      </c>
      <c r="V16" s="309" t="str">
        <f>"'"&amp;RIGHT($C11,2)&amp;"@"&amp;G10</f>
        <v>'22@48</v>
      </c>
      <c r="W16" s="526"/>
      <c r="X16" s="526"/>
      <c r="Y16" s="526"/>
      <c r="Z16" s="526"/>
      <c r="AA16" s="526"/>
      <c r="AB16" s="526"/>
      <c r="AC16" s="510"/>
      <c r="AD16" s="510"/>
      <c r="AE16" s="510"/>
      <c r="AF16" s="510"/>
      <c r="AG16" s="510"/>
      <c r="AH16" s="510"/>
      <c r="AI16" s="510"/>
      <c r="AJ16" s="510"/>
      <c r="AK16" s="510"/>
      <c r="AL16" s="510"/>
    </row>
    <row r="17" spans="1:38">
      <c r="A17" s="2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30"/>
      <c r="P17" s="526"/>
      <c r="Q17" s="526"/>
      <c r="R17" s="310" t="s">
        <v>249</v>
      </c>
      <c r="S17" s="311">
        <f>D14</f>
        <v>180000</v>
      </c>
      <c r="T17" s="311">
        <f>E13</f>
        <v>288000</v>
      </c>
      <c r="U17" s="311">
        <f>F12</f>
        <v>360000</v>
      </c>
      <c r="V17" s="312">
        <f>G11</f>
        <v>396000</v>
      </c>
      <c r="W17" s="526"/>
      <c r="X17" s="526"/>
      <c r="Y17" s="526"/>
      <c r="Z17" s="526"/>
      <c r="AA17" s="526"/>
      <c r="AB17" s="526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</row>
    <row r="18" spans="1:38" ht="15" customHeight="1">
      <c r="A18" s="25" t="s">
        <v>3</v>
      </c>
      <c r="B18" s="17" t="s">
        <v>842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P18" s="216"/>
      <c r="Q18" s="526"/>
      <c r="R18" s="313" t="s">
        <v>250</v>
      </c>
      <c r="S18" s="314">
        <f>S17*S13</f>
        <v>947778.97500000009</v>
      </c>
      <c r="T18" s="315">
        <f>T17*T13</f>
        <v>561646.80000000005</v>
      </c>
      <c r="U18" s="126">
        <f>U17*U13</f>
        <v>432036.00000000006</v>
      </c>
      <c r="V18" s="127">
        <f>V17*V13</f>
        <v>432036</v>
      </c>
      <c r="W18" s="304" t="s">
        <v>244</v>
      </c>
      <c r="X18" s="305" t="s">
        <v>251</v>
      </c>
      <c r="Y18" s="207"/>
      <c r="Z18" s="177"/>
      <c r="AA18" s="526"/>
      <c r="AB18" s="526"/>
      <c r="AC18" s="510"/>
      <c r="AD18" s="510"/>
      <c r="AE18" s="510"/>
      <c r="AF18" s="510"/>
      <c r="AG18" s="510"/>
      <c r="AH18" s="510"/>
      <c r="AI18" s="510"/>
      <c r="AJ18" s="510"/>
      <c r="AK18" s="510"/>
      <c r="AL18" s="510"/>
    </row>
    <row r="19" spans="1:38" ht="15" customHeight="1" thickBot="1">
      <c r="A19" s="9">
        <f>INDEX('Point Grid'!$C$8:$I$54,MATCH($A$1,'Point Grid'!$A$8:$A$54,0),MATCH(A18,'Point Grid'!$C$7:$I$7,0))</f>
        <v>0.25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O19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0"/>
      <c r="AF19" s="510"/>
      <c r="AG19" s="510"/>
      <c r="AH19" s="510"/>
      <c r="AI19" s="510"/>
      <c r="AJ19" s="510"/>
      <c r="AK19" s="510"/>
      <c r="AL19" s="510"/>
    </row>
    <row r="20" spans="1:38" ht="15" customHeight="1" thickBot="1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O20"/>
      <c r="P20" s="157" t="s">
        <v>790</v>
      </c>
      <c r="Q20" s="274" t="s">
        <v>233</v>
      </c>
      <c r="R20" s="510" t="s">
        <v>791</v>
      </c>
      <c r="S20" s="510"/>
      <c r="T20" s="510"/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  <c r="AF20" s="510"/>
      <c r="AG20" s="510"/>
      <c r="AH20" s="510"/>
      <c r="AI20" s="510"/>
      <c r="AJ20" s="510"/>
      <c r="AK20" s="510"/>
      <c r="AL20" s="510"/>
    </row>
    <row r="21" spans="1:38" ht="15" customHeight="1">
      <c r="A21" s="2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  <c r="O21"/>
      <c r="P21" s="510"/>
      <c r="Q21" s="510"/>
      <c r="R21" s="806" t="s">
        <v>33</v>
      </c>
      <c r="S21" s="523" t="s">
        <v>250</v>
      </c>
      <c r="T21" s="559" t="s">
        <v>123</v>
      </c>
      <c r="U21" s="510" t="s">
        <v>792</v>
      </c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0"/>
      <c r="AG21" s="510"/>
      <c r="AH21" s="510"/>
      <c r="AI21" s="510"/>
      <c r="AJ21" s="510"/>
      <c r="AK21" s="510"/>
      <c r="AL21" s="510"/>
    </row>
    <row r="22" spans="1:38" ht="15" customHeight="1">
      <c r="A22" s="25" t="s">
        <v>4</v>
      </c>
      <c r="B22" s="17" t="s">
        <v>796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O22"/>
      <c r="P22" s="510"/>
      <c r="Q22" s="510"/>
      <c r="R22" s="806" t="s">
        <v>33</v>
      </c>
      <c r="S22" s="89">
        <f>S18</f>
        <v>947778.97500000009</v>
      </c>
      <c r="T22" s="559" t="s">
        <v>123</v>
      </c>
      <c r="U22" s="89">
        <f>D14</f>
        <v>180000</v>
      </c>
      <c r="V22" s="510"/>
      <c r="W22" s="510"/>
      <c r="X22" s="510"/>
      <c r="Y22" s="510"/>
      <c r="Z22" s="510"/>
      <c r="AA22" s="510"/>
      <c r="AB22" s="510"/>
      <c r="AC22" s="510"/>
      <c r="AD22" s="510"/>
      <c r="AE22" s="510"/>
      <c r="AF22" s="510"/>
      <c r="AG22" s="510"/>
      <c r="AH22" s="510"/>
      <c r="AI22" s="510"/>
      <c r="AJ22" s="510"/>
      <c r="AK22" s="510"/>
      <c r="AL22" s="510"/>
    </row>
    <row r="23" spans="1:38" ht="15" customHeight="1" thickBot="1">
      <c r="A23" s="9">
        <f>INDEX('Point Grid'!$C$8:$I$54,MATCH($A$1,'Point Grid'!$A$8:$A$54,0),MATCH(A22,'Point Grid'!$C$7:$I$7,0))</f>
        <v>2.5</v>
      </c>
      <c r="B23" s="423" t="s">
        <v>841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O23"/>
      <c r="P23" s="216" t="s">
        <v>793</v>
      </c>
      <c r="Q23" s="526"/>
      <c r="R23" s="806" t="s">
        <v>33</v>
      </c>
      <c r="S23" s="268">
        <f>S22-U22</f>
        <v>767778.97500000009</v>
      </c>
      <c r="T23" s="510"/>
      <c r="U23" s="510"/>
      <c r="V23" s="510"/>
      <c r="W23" s="510"/>
      <c r="X23" s="510"/>
      <c r="Y23" s="510"/>
      <c r="Z23" s="510"/>
      <c r="AA23" s="510"/>
      <c r="AB23" s="510"/>
      <c r="AC23" s="510"/>
      <c r="AD23" s="510"/>
      <c r="AE23" s="510"/>
      <c r="AF23" s="510"/>
      <c r="AG23" s="510"/>
      <c r="AH23" s="510"/>
      <c r="AI23" s="510"/>
      <c r="AJ23" s="510"/>
      <c r="AK23" s="510"/>
      <c r="AL23" s="510"/>
    </row>
    <row r="24" spans="1:38" ht="15" customHeight="1" thickBot="1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O24"/>
      <c r="P24" s="510"/>
      <c r="Q24" s="510"/>
      <c r="R24" s="510"/>
      <c r="S24" s="510"/>
      <c r="T24" s="510"/>
      <c r="U24" s="510"/>
      <c r="V24" s="510"/>
      <c r="W24" s="510"/>
      <c r="X24" s="510"/>
      <c r="Y24" s="510"/>
      <c r="Z24" s="510"/>
      <c r="AA24" s="510"/>
      <c r="AB24" s="510"/>
      <c r="AC24" s="510"/>
      <c r="AD24" s="510"/>
      <c r="AE24" s="510"/>
      <c r="AF24" s="510"/>
      <c r="AG24" s="510"/>
      <c r="AH24" s="510"/>
      <c r="AI24" s="510"/>
      <c r="AJ24" s="510"/>
      <c r="AK24" s="510"/>
      <c r="AL24" s="510"/>
    </row>
    <row r="25" spans="1:38" ht="15" customHeight="1">
      <c r="A25" s="22"/>
      <c r="B25" s="412"/>
      <c r="C25" s="413" t="s">
        <v>425</v>
      </c>
      <c r="D25" s="413"/>
      <c r="E25" s="413"/>
      <c r="F25" s="414"/>
      <c r="G25" s="326" t="s">
        <v>130</v>
      </c>
      <c r="H25" s="181"/>
      <c r="I25" s="854" t="s">
        <v>797</v>
      </c>
      <c r="J25" s="421"/>
      <c r="K25" s="421"/>
      <c r="L25" s="422"/>
      <c r="M25" s="18"/>
      <c r="O25" s="523" t="s">
        <v>3</v>
      </c>
      <c r="P25" s="510" t="s">
        <v>860</v>
      </c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0"/>
      <c r="AG25" s="510"/>
      <c r="AH25" s="510"/>
      <c r="AI25" s="510"/>
      <c r="AJ25" s="510"/>
      <c r="AK25" s="510"/>
      <c r="AL25" s="510"/>
    </row>
    <row r="26" spans="1:38" ht="15" customHeight="1">
      <c r="A26" s="22"/>
      <c r="B26" s="415" t="s">
        <v>83</v>
      </c>
      <c r="C26" s="416">
        <v>12</v>
      </c>
      <c r="D26" s="416">
        <v>24</v>
      </c>
      <c r="E26" s="416">
        <v>36</v>
      </c>
      <c r="F26" s="327">
        <v>48</v>
      </c>
      <c r="G26" s="809" t="s">
        <v>798</v>
      </c>
      <c r="H26" s="325"/>
      <c r="I26" s="325"/>
      <c r="J26" s="325"/>
      <c r="K26" s="325"/>
      <c r="L26" s="325"/>
      <c r="M26" s="18"/>
      <c r="O26"/>
      <c r="P26" s="510" t="s">
        <v>795</v>
      </c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510"/>
      <c r="AF26" s="510"/>
      <c r="AG26" s="510"/>
      <c r="AH26" s="510"/>
      <c r="AI26" s="510"/>
      <c r="AJ26" s="510"/>
      <c r="AK26" s="510"/>
      <c r="AL26" s="510"/>
    </row>
    <row r="27" spans="1:38" ht="15" customHeight="1">
      <c r="A27" s="22"/>
      <c r="B27" s="417">
        <v>2022</v>
      </c>
      <c r="C27" s="803">
        <v>200</v>
      </c>
      <c r="D27" s="803">
        <v>500</v>
      </c>
      <c r="E27" s="803">
        <v>1000</v>
      </c>
      <c r="F27" s="804">
        <v>1100</v>
      </c>
      <c r="G27" s="356">
        <v>1200</v>
      </c>
      <c r="H27" s="57"/>
      <c r="I27" s="808"/>
      <c r="J27" s="57"/>
      <c r="K27" s="57"/>
      <c r="L27" s="57"/>
      <c r="M27" s="18"/>
      <c r="O27"/>
      <c r="P27" s="510" t="s">
        <v>861</v>
      </c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0"/>
      <c r="AF27" s="510"/>
      <c r="AG27" s="510"/>
      <c r="AH27" s="510"/>
      <c r="AI27" s="510"/>
      <c r="AJ27" s="510"/>
      <c r="AK27" s="510"/>
      <c r="AL27" s="510"/>
    </row>
    <row r="28" spans="1:38" ht="15" customHeight="1">
      <c r="A28" s="22"/>
      <c r="B28" s="417">
        <v>2023</v>
      </c>
      <c r="C28" s="803">
        <v>200</v>
      </c>
      <c r="D28" s="803">
        <v>800</v>
      </c>
      <c r="E28" s="803">
        <v>1000</v>
      </c>
      <c r="F28" s="804"/>
      <c r="G28" s="356">
        <v>1200</v>
      </c>
      <c r="H28" s="181"/>
      <c r="I28" s="808"/>
      <c r="J28" s="181"/>
      <c r="K28" s="181"/>
      <c r="L28" s="181"/>
      <c r="M28" s="18"/>
      <c r="AA28" s="510"/>
      <c r="AB28" s="510"/>
      <c r="AC28" s="510"/>
      <c r="AD28" s="510"/>
      <c r="AE28" s="510"/>
      <c r="AF28" s="510"/>
      <c r="AG28" s="510"/>
      <c r="AH28" s="510"/>
      <c r="AI28" s="510"/>
      <c r="AJ28" s="510"/>
      <c r="AK28" s="510"/>
      <c r="AL28" s="510"/>
    </row>
    <row r="29" spans="1:38" ht="15" customHeight="1">
      <c r="A29" s="22"/>
      <c r="B29" s="417">
        <v>2024</v>
      </c>
      <c r="C29" s="803">
        <v>500</v>
      </c>
      <c r="D29" s="803">
        <v>800</v>
      </c>
      <c r="E29" s="803"/>
      <c r="F29" s="804"/>
      <c r="G29" s="356">
        <v>1200</v>
      </c>
      <c r="H29" s="181"/>
      <c r="I29" s="181"/>
      <c r="J29" s="181"/>
      <c r="K29" s="181"/>
      <c r="L29" s="181"/>
      <c r="M29" s="18"/>
      <c r="AA29" s="510"/>
      <c r="AB29" s="510"/>
      <c r="AC29" s="510"/>
      <c r="AD29" s="510"/>
      <c r="AE29" s="510"/>
      <c r="AF29" s="510"/>
      <c r="AG29" s="510"/>
      <c r="AH29" s="510"/>
      <c r="AI29" s="510"/>
      <c r="AJ29" s="510"/>
      <c r="AK29" s="510"/>
      <c r="AL29" s="510"/>
    </row>
    <row r="30" spans="1:38" ht="15" customHeight="1">
      <c r="A30" s="22"/>
      <c r="B30" s="418">
        <v>2025</v>
      </c>
      <c r="C30" s="805">
        <v>500</v>
      </c>
      <c r="D30" s="805"/>
      <c r="E30" s="805"/>
      <c r="F30" s="810"/>
      <c r="G30" s="350">
        <v>1200</v>
      </c>
      <c r="H30" s="181"/>
      <c r="I30" s="181"/>
      <c r="J30" s="181"/>
      <c r="K30" s="181"/>
      <c r="L30" s="181"/>
      <c r="M30" s="18"/>
      <c r="O30" s="238" t="s">
        <v>4</v>
      </c>
      <c r="P30" s="21" t="s">
        <v>862</v>
      </c>
      <c r="AC30" s="510"/>
      <c r="AD30" s="510"/>
      <c r="AE30" s="510"/>
      <c r="AF30" s="510"/>
      <c r="AG30" s="510"/>
      <c r="AH30" s="510"/>
      <c r="AI30" s="510"/>
      <c r="AJ30" s="510"/>
      <c r="AK30" s="510"/>
      <c r="AL30" s="510"/>
    </row>
    <row r="31" spans="1:38" ht="15" customHeight="1">
      <c r="A31" s="22"/>
      <c r="B31" s="57"/>
      <c r="C31" s="57"/>
      <c r="D31" s="57"/>
      <c r="E31" s="57"/>
      <c r="F31" s="57"/>
      <c r="G31" s="57"/>
      <c r="H31" s="181"/>
      <c r="I31" s="181"/>
      <c r="J31" s="181"/>
      <c r="K31" s="181"/>
      <c r="L31" s="181"/>
      <c r="M31" s="18"/>
      <c r="AC31" s="510"/>
      <c r="AD31" s="510"/>
      <c r="AE31" s="510"/>
      <c r="AF31" s="510"/>
      <c r="AG31" s="510"/>
      <c r="AH31" s="510"/>
      <c r="AI31" s="510"/>
      <c r="AJ31" s="510"/>
      <c r="AK31" s="510"/>
      <c r="AL31" s="510"/>
    </row>
    <row r="32" spans="1:38" ht="15" customHeight="1">
      <c r="A32" s="22"/>
      <c r="B32" s="412"/>
      <c r="C32" s="413" t="s">
        <v>733</v>
      </c>
      <c r="D32" s="413"/>
      <c r="E32" s="413"/>
      <c r="F32" s="414"/>
      <c r="G32" s="57"/>
      <c r="H32" s="854" t="s">
        <v>797</v>
      </c>
      <c r="I32" s="421"/>
      <c r="J32" s="421"/>
      <c r="K32" s="422"/>
      <c r="L32" s="181"/>
      <c r="M32" s="18"/>
      <c r="P32" s="319" t="s">
        <v>301</v>
      </c>
      <c r="Q32" s="89" t="s">
        <v>809</v>
      </c>
      <c r="R32" s="89"/>
      <c r="S32" s="89" t="s">
        <v>810</v>
      </c>
      <c r="T32" s="161" t="s">
        <v>811</v>
      </c>
      <c r="U32" s="89"/>
      <c r="V32" s="89"/>
      <c r="W32" s="89"/>
      <c r="X32" s="89"/>
      <c r="Y32" s="89"/>
      <c r="Z32" s="89"/>
      <c r="AA32" s="89"/>
      <c r="AB32" s="89"/>
      <c r="AE32" s="510"/>
      <c r="AF32" s="510"/>
      <c r="AG32" s="510"/>
      <c r="AH32" s="510"/>
      <c r="AI32" s="510"/>
      <c r="AJ32" s="510"/>
      <c r="AK32" s="510"/>
      <c r="AL32" s="510"/>
    </row>
    <row r="33" spans="1:38" ht="15" customHeight="1">
      <c r="A33" s="22"/>
      <c r="B33" s="415" t="s">
        <v>83</v>
      </c>
      <c r="C33" s="416">
        <v>12</v>
      </c>
      <c r="D33" s="416">
        <v>24</v>
      </c>
      <c r="E33" s="416">
        <v>36</v>
      </c>
      <c r="F33" s="327">
        <v>48</v>
      </c>
      <c r="G33" s="181"/>
      <c r="H33" s="181"/>
      <c r="I33" s="181"/>
      <c r="J33" s="181"/>
      <c r="K33" s="181"/>
      <c r="L33" s="181"/>
      <c r="M33" s="18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E33" s="510"/>
      <c r="AF33" s="510"/>
      <c r="AG33" s="510"/>
      <c r="AH33" s="510"/>
      <c r="AI33" s="510"/>
      <c r="AJ33" s="510"/>
      <c r="AK33" s="510"/>
      <c r="AL33" s="510"/>
    </row>
    <row r="34" spans="1:38" ht="15" customHeight="1">
      <c r="A34" s="22"/>
      <c r="B34" s="417">
        <v>2022</v>
      </c>
      <c r="C34" s="803">
        <v>72000</v>
      </c>
      <c r="D34" s="803">
        <v>180000</v>
      </c>
      <c r="E34" s="803">
        <v>360000</v>
      </c>
      <c r="F34" s="804">
        <v>396000</v>
      </c>
      <c r="G34" s="181"/>
      <c r="H34" s="848" t="s">
        <v>839</v>
      </c>
      <c r="I34" s="849"/>
      <c r="J34" s="849"/>
      <c r="K34" s="850"/>
      <c r="L34" s="181"/>
      <c r="M34" s="18"/>
      <c r="P34" s="89"/>
      <c r="Q34" s="385"/>
      <c r="R34" s="386" t="s">
        <v>812</v>
      </c>
      <c r="S34" s="386"/>
      <c r="T34" s="386"/>
      <c r="U34" s="387"/>
      <c r="V34" s="89"/>
      <c r="W34" s="758" t="s">
        <v>813</v>
      </c>
      <c r="X34" s="333"/>
      <c r="Y34" s="333"/>
      <c r="Z34" s="333"/>
      <c r="AA34" s="332"/>
      <c r="AB34" s="89"/>
      <c r="AE34" s="510"/>
      <c r="AF34" s="510"/>
      <c r="AG34" s="510"/>
      <c r="AH34" s="510"/>
      <c r="AI34" s="510"/>
      <c r="AJ34" s="510"/>
      <c r="AK34" s="510"/>
      <c r="AL34" s="510"/>
    </row>
    <row r="35" spans="1:38" ht="15" customHeight="1">
      <c r="A35" s="22"/>
      <c r="B35" s="417">
        <v>2023</v>
      </c>
      <c r="C35" s="803">
        <v>72000</v>
      </c>
      <c r="D35" s="803">
        <v>288000</v>
      </c>
      <c r="E35" s="803">
        <v>360000</v>
      </c>
      <c r="F35" s="356"/>
      <c r="G35" s="181"/>
      <c r="H35" s="851" t="s">
        <v>840</v>
      </c>
      <c r="I35" s="852"/>
      <c r="J35" s="852"/>
      <c r="K35" s="853"/>
      <c r="L35" s="181"/>
      <c r="M35" s="18"/>
      <c r="P35" s="89"/>
      <c r="Q35" s="388" t="s">
        <v>83</v>
      </c>
      <c r="R35" s="389">
        <v>12</v>
      </c>
      <c r="S35" s="389">
        <v>24</v>
      </c>
      <c r="T35" s="389">
        <v>36</v>
      </c>
      <c r="U35" s="390">
        <v>48</v>
      </c>
      <c r="V35" s="89"/>
      <c r="W35" s="825" t="s">
        <v>814</v>
      </c>
      <c r="X35" s="708"/>
      <c r="Y35" s="708"/>
      <c r="Z35" s="708"/>
      <c r="AA35" s="688"/>
      <c r="AB35" s="89"/>
      <c r="AE35" s="510"/>
      <c r="AF35" s="510"/>
      <c r="AG35" s="510"/>
      <c r="AH35" s="510"/>
      <c r="AI35" s="510"/>
      <c r="AJ35" s="510"/>
      <c r="AK35" s="510"/>
      <c r="AL35" s="510"/>
    </row>
    <row r="36" spans="1:38" ht="15" customHeight="1">
      <c r="A36" s="22"/>
      <c r="B36" s="417">
        <v>2024</v>
      </c>
      <c r="C36" s="803">
        <v>180000</v>
      </c>
      <c r="D36" s="803">
        <v>288000</v>
      </c>
      <c r="E36" s="353"/>
      <c r="F36" s="356"/>
      <c r="G36" s="181"/>
      <c r="H36" s="181"/>
      <c r="I36" s="181"/>
      <c r="J36" s="181"/>
      <c r="K36" s="181"/>
      <c r="L36" s="181"/>
      <c r="M36" s="18"/>
      <c r="P36" s="89"/>
      <c r="Q36" s="366">
        <f>B27</f>
        <v>2022</v>
      </c>
      <c r="R36" s="773">
        <f>IFERROR(ROUND(C27/G27,3),"")</f>
        <v>0.16700000000000001</v>
      </c>
      <c r="S36" s="773">
        <f>IFERROR(ROUND(D27/G27,3),"")</f>
        <v>0.41699999999999998</v>
      </c>
      <c r="T36" s="773">
        <f>IFERROR(ROUND(E27/G27,3),"")</f>
        <v>0.83299999999999996</v>
      </c>
      <c r="U36" s="826">
        <f>IFERROR(ROUND(F27/G27,3),"")</f>
        <v>0.91700000000000004</v>
      </c>
      <c r="V36" s="89"/>
      <c r="W36" s="825" t="s">
        <v>815</v>
      </c>
      <c r="X36" s="708"/>
      <c r="Y36" s="708"/>
      <c r="Z36" s="708"/>
      <c r="AA36" s="688"/>
      <c r="AB36" s="89"/>
      <c r="AE36" s="510"/>
      <c r="AF36" s="510"/>
      <c r="AG36" s="510"/>
      <c r="AH36" s="510"/>
      <c r="AI36" s="510"/>
      <c r="AJ36" s="510"/>
      <c r="AK36" s="510"/>
      <c r="AL36" s="510"/>
    </row>
    <row r="37" spans="1:38" ht="15" customHeight="1">
      <c r="A37" s="22"/>
      <c r="B37" s="418">
        <v>2025</v>
      </c>
      <c r="C37" s="805">
        <v>180000</v>
      </c>
      <c r="D37" s="349"/>
      <c r="E37" s="349"/>
      <c r="F37" s="350"/>
      <c r="G37" s="57"/>
      <c r="H37" s="181"/>
      <c r="I37" s="57"/>
      <c r="J37" s="181"/>
      <c r="K37" s="181"/>
      <c r="L37" s="181"/>
      <c r="M37" s="18"/>
      <c r="P37" s="89"/>
      <c r="Q37" s="366">
        <f>Q36+1</f>
        <v>2023</v>
      </c>
      <c r="R37" s="773">
        <f>ROUND(C28/G28,3)</f>
        <v>0.16700000000000001</v>
      </c>
      <c r="S37" s="773">
        <f>ROUND(D28/G28,3)</f>
        <v>0.66700000000000004</v>
      </c>
      <c r="T37" s="827">
        <f>ROUND(E28/G28,3)</f>
        <v>0.83299999999999996</v>
      </c>
      <c r="U37" s="770"/>
      <c r="V37" s="89"/>
      <c r="W37" s="761" t="s">
        <v>816</v>
      </c>
      <c r="X37" s="270"/>
      <c r="Y37" s="270"/>
      <c r="Z37" s="270"/>
      <c r="AA37" s="706"/>
      <c r="AB37" s="89"/>
      <c r="AE37" s="510"/>
      <c r="AF37" s="510"/>
      <c r="AG37" s="510"/>
      <c r="AH37" s="510"/>
      <c r="AI37" s="510"/>
      <c r="AJ37" s="510"/>
      <c r="AK37" s="510"/>
      <c r="AL37" s="510"/>
    </row>
    <row r="38" spans="1:38" ht="15" customHeight="1">
      <c r="A38" s="22"/>
      <c r="B38" s="57"/>
      <c r="C38" s="57"/>
      <c r="D38" s="57"/>
      <c r="E38" s="57"/>
      <c r="F38" s="57"/>
      <c r="G38" s="57"/>
      <c r="H38" s="181"/>
      <c r="I38" s="181"/>
      <c r="J38" s="181"/>
      <c r="K38" s="181"/>
      <c r="L38" s="181"/>
      <c r="M38" s="18"/>
      <c r="P38" s="89"/>
      <c r="Q38" s="366">
        <f>Q37+1</f>
        <v>2024</v>
      </c>
      <c r="R38" s="773">
        <f>ROUND(C29/G29,3)</f>
        <v>0.41699999999999998</v>
      </c>
      <c r="S38" s="827">
        <f>ROUND(D29/G29,3)</f>
        <v>0.66700000000000004</v>
      </c>
      <c r="T38" s="773"/>
      <c r="U38" s="770"/>
      <c r="V38" s="89"/>
      <c r="W38" s="510"/>
      <c r="X38" s="510"/>
      <c r="Y38" s="510"/>
      <c r="Z38" s="510"/>
      <c r="AA38" s="510"/>
      <c r="AB38" s="89"/>
      <c r="AE38" s="510"/>
      <c r="AF38" s="510"/>
      <c r="AG38" s="510"/>
      <c r="AH38" s="510"/>
      <c r="AI38" s="510"/>
      <c r="AJ38" s="510"/>
      <c r="AK38" s="510"/>
      <c r="AL38" s="510"/>
    </row>
    <row r="39" spans="1:38" ht="15" customHeight="1">
      <c r="A39" s="22"/>
      <c r="B39" s="811"/>
      <c r="C39" s="375" t="s">
        <v>808</v>
      </c>
      <c r="D39" s="376"/>
      <c r="E39" s="376"/>
      <c r="F39" s="376"/>
      <c r="G39" s="376"/>
      <c r="H39" s="812"/>
      <c r="I39" s="812"/>
      <c r="J39" s="812"/>
      <c r="K39" s="812"/>
      <c r="L39" s="813"/>
      <c r="M39" s="18"/>
      <c r="P39" s="89"/>
      <c r="Q39" s="392">
        <f>Q38+1</f>
        <v>2025</v>
      </c>
      <c r="R39" s="828">
        <f>ROUND(C30/G30,3)</f>
        <v>0.41699999999999998</v>
      </c>
      <c r="S39" s="829"/>
      <c r="T39" s="829"/>
      <c r="U39" s="830"/>
      <c r="V39" s="89"/>
      <c r="W39" s="89"/>
      <c r="X39" s="89"/>
      <c r="Y39" s="89"/>
      <c r="Z39" s="89"/>
      <c r="AA39" s="89"/>
      <c r="AB39" s="89"/>
      <c r="AE39" s="510"/>
      <c r="AF39" s="510"/>
      <c r="AG39" s="510"/>
      <c r="AH39" s="510"/>
      <c r="AI39" s="510"/>
      <c r="AJ39" s="510"/>
      <c r="AK39" s="510"/>
      <c r="AL39" s="510"/>
    </row>
    <row r="40" spans="1:38" ht="15" customHeight="1">
      <c r="A40" s="22"/>
      <c r="B40" s="814"/>
      <c r="C40" s="1040" t="s">
        <v>799</v>
      </c>
      <c r="D40" s="1041"/>
      <c r="E40" s="1042" t="s">
        <v>800</v>
      </c>
      <c r="F40" s="1041"/>
      <c r="G40" s="1043" t="s">
        <v>801</v>
      </c>
      <c r="H40" s="1041"/>
      <c r="I40" s="1043" t="s">
        <v>802</v>
      </c>
      <c r="J40" s="1041"/>
      <c r="K40" s="1043" t="s">
        <v>803</v>
      </c>
      <c r="L40" s="1041"/>
      <c r="M40" s="18"/>
      <c r="P40" s="510"/>
      <c r="Q40" s="777" t="s">
        <v>817</v>
      </c>
      <c r="R40" s="831">
        <f>R39</f>
        <v>0.41699999999999998</v>
      </c>
      <c r="S40" s="831">
        <f>S38</f>
        <v>0.66700000000000004</v>
      </c>
      <c r="T40" s="831">
        <f>T37</f>
        <v>0.83299999999999996</v>
      </c>
      <c r="U40" s="832">
        <f>U36</f>
        <v>0.91700000000000004</v>
      </c>
      <c r="V40" s="161" t="s">
        <v>818</v>
      </c>
      <c r="W40" s="89"/>
      <c r="X40" s="89"/>
      <c r="Y40" s="89"/>
      <c r="Z40" s="89"/>
      <c r="AA40" s="89"/>
      <c r="AB40" s="510"/>
      <c r="AE40" s="510"/>
      <c r="AF40" s="510"/>
      <c r="AG40" s="510"/>
      <c r="AH40" s="510"/>
      <c r="AI40" s="510"/>
      <c r="AJ40" s="510"/>
      <c r="AK40" s="510"/>
      <c r="AL40" s="510"/>
    </row>
    <row r="41" spans="1:38" ht="15" customHeight="1">
      <c r="A41" s="22"/>
      <c r="B41" s="415" t="s">
        <v>83</v>
      </c>
      <c r="C41" s="817" t="s">
        <v>804</v>
      </c>
      <c r="D41" s="818" t="s">
        <v>805</v>
      </c>
      <c r="E41" s="817" t="s">
        <v>804</v>
      </c>
      <c r="F41" s="818" t="s">
        <v>805</v>
      </c>
      <c r="G41" s="817" t="s">
        <v>804</v>
      </c>
      <c r="H41" s="818" t="s">
        <v>805</v>
      </c>
      <c r="I41" s="817" t="s">
        <v>804</v>
      </c>
      <c r="J41" s="818" t="s">
        <v>805</v>
      </c>
      <c r="K41" s="817" t="s">
        <v>804</v>
      </c>
      <c r="L41" s="818" t="s">
        <v>805</v>
      </c>
      <c r="M41" s="18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89"/>
      <c r="AE41" s="510"/>
      <c r="AF41" s="510"/>
      <c r="AG41" s="510"/>
      <c r="AH41" s="510"/>
      <c r="AI41" s="510"/>
      <c r="AJ41" s="510"/>
      <c r="AK41" s="510"/>
      <c r="AL41" s="510"/>
    </row>
    <row r="42" spans="1:38" ht="15" customHeight="1">
      <c r="A42" s="22"/>
      <c r="B42" s="417">
        <v>2022</v>
      </c>
      <c r="C42" s="819" t="s">
        <v>806</v>
      </c>
      <c r="D42" s="696"/>
      <c r="E42" s="353">
        <v>39088</v>
      </c>
      <c r="F42" s="820">
        <v>3.0599999999999998E-3</v>
      </c>
      <c r="G42" s="353">
        <v>90000</v>
      </c>
      <c r="H42" s="820">
        <v>1.39E-3</v>
      </c>
      <c r="I42" s="353">
        <v>138796</v>
      </c>
      <c r="J42" s="820">
        <v>9.5E-4</v>
      </c>
      <c r="K42" s="821" t="s">
        <v>807</v>
      </c>
      <c r="L42" s="822"/>
      <c r="M42" s="18"/>
      <c r="P42" s="319" t="s">
        <v>303</v>
      </c>
      <c r="Q42" s="510" t="s">
        <v>819</v>
      </c>
      <c r="R42" s="510"/>
      <c r="S42" s="510"/>
      <c r="T42" s="510"/>
      <c r="U42" s="510"/>
      <c r="V42" s="510"/>
      <c r="W42" s="833" t="s">
        <v>820</v>
      </c>
      <c r="X42" s="833"/>
      <c r="Y42" s="833"/>
      <c r="Z42" s="833"/>
      <c r="AA42" s="89"/>
      <c r="AB42" s="89"/>
      <c r="AE42" s="510"/>
      <c r="AF42" s="510"/>
      <c r="AG42" s="510"/>
      <c r="AH42" s="510"/>
      <c r="AI42" s="510"/>
      <c r="AJ42" s="510"/>
      <c r="AK42" s="510"/>
      <c r="AL42" s="510"/>
    </row>
    <row r="43" spans="1:38" ht="15" customHeight="1">
      <c r="A43" s="22"/>
      <c r="B43" s="417">
        <v>2023</v>
      </c>
      <c r="C43" s="819" t="s">
        <v>806</v>
      </c>
      <c r="D43" s="696"/>
      <c r="E43" s="353">
        <v>45357</v>
      </c>
      <c r="F43" s="820">
        <v>2.31E-3</v>
      </c>
      <c r="G43" s="353">
        <v>117965</v>
      </c>
      <c r="H43" s="820">
        <v>1.1199999999999999E-3</v>
      </c>
      <c r="I43" s="353"/>
      <c r="J43" s="356"/>
      <c r="K43" s="711"/>
      <c r="L43" s="324"/>
      <c r="M43" s="18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89"/>
      <c r="AE43" s="510"/>
      <c r="AF43" s="510"/>
      <c r="AG43" s="510"/>
      <c r="AH43" s="510"/>
      <c r="AI43" s="510"/>
      <c r="AJ43" s="510"/>
      <c r="AK43" s="510"/>
      <c r="AL43" s="510"/>
    </row>
    <row r="44" spans="1:38" ht="15" customHeight="1">
      <c r="A44" s="22"/>
      <c r="B44" s="417">
        <v>2024</v>
      </c>
      <c r="C44" s="819" t="s">
        <v>806</v>
      </c>
      <c r="D44" s="696"/>
      <c r="E44" s="353">
        <v>82238</v>
      </c>
      <c r="F44" s="820">
        <v>1.57E-3</v>
      </c>
      <c r="G44" s="353"/>
      <c r="H44" s="356"/>
      <c r="I44" s="353"/>
      <c r="J44" s="356"/>
      <c r="K44" s="711"/>
      <c r="L44" s="324"/>
      <c r="M44" s="18"/>
      <c r="P44" s="510"/>
      <c r="Q44" s="385"/>
      <c r="R44" s="386" t="s">
        <v>821</v>
      </c>
      <c r="S44" s="386"/>
      <c r="T44" s="386"/>
      <c r="U44" s="387"/>
      <c r="V44" s="559" t="s">
        <v>822</v>
      </c>
      <c r="W44" s="385"/>
      <c r="X44" s="734" t="s">
        <v>823</v>
      </c>
      <c r="Y44" s="386"/>
      <c r="Z44" s="386"/>
      <c r="AA44" s="387"/>
      <c r="AB44" s="89"/>
      <c r="AE44" s="510"/>
      <c r="AF44" s="510"/>
      <c r="AG44" s="510"/>
      <c r="AH44" s="510"/>
      <c r="AI44" s="510"/>
      <c r="AJ44" s="510"/>
      <c r="AK44" s="510"/>
      <c r="AL44" s="510"/>
    </row>
    <row r="45" spans="1:38" ht="15" customHeight="1">
      <c r="A45" s="22"/>
      <c r="B45" s="418">
        <v>2025</v>
      </c>
      <c r="C45" s="823" t="s">
        <v>806</v>
      </c>
      <c r="D45" s="824"/>
      <c r="E45" s="349"/>
      <c r="F45" s="350"/>
      <c r="G45" s="349"/>
      <c r="H45" s="350"/>
      <c r="I45" s="349"/>
      <c r="J45" s="350"/>
      <c r="K45" s="513"/>
      <c r="L45" s="383"/>
      <c r="M45" s="18"/>
      <c r="P45" s="510"/>
      <c r="Q45" s="388" t="s">
        <v>83</v>
      </c>
      <c r="R45" s="389">
        <v>12</v>
      </c>
      <c r="S45" s="389">
        <v>24</v>
      </c>
      <c r="T45" s="389">
        <v>36</v>
      </c>
      <c r="U45" s="390">
        <v>48</v>
      </c>
      <c r="V45" s="559"/>
      <c r="W45" s="388" t="s">
        <v>83</v>
      </c>
      <c r="X45" s="389">
        <v>12</v>
      </c>
      <c r="Y45" s="389">
        <v>24</v>
      </c>
      <c r="Z45" s="389">
        <v>36</v>
      </c>
      <c r="AA45" s="390">
        <v>48</v>
      </c>
      <c r="AB45" s="89"/>
      <c r="AE45" s="510"/>
      <c r="AF45" s="510"/>
      <c r="AG45" s="510"/>
      <c r="AH45" s="510"/>
      <c r="AI45" s="510"/>
      <c r="AJ45" s="510"/>
      <c r="AK45" s="510"/>
      <c r="AL45" s="510"/>
    </row>
    <row r="46" spans="1:38" ht="15" customHeight="1">
      <c r="A46" s="2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8"/>
      <c r="P46" s="510"/>
      <c r="Q46" s="366">
        <f>B34</f>
        <v>2022</v>
      </c>
      <c r="R46" s="834">
        <f>ROUND(G27*R40,0)</f>
        <v>500</v>
      </c>
      <c r="S46" s="783">
        <f>ROUND(G27*S40,0)</f>
        <v>800</v>
      </c>
      <c r="T46" s="783">
        <f>ROUND(G27*T40,0)</f>
        <v>1000</v>
      </c>
      <c r="U46" s="780">
        <f>ROUND(G27*U40,0)</f>
        <v>1100</v>
      </c>
      <c r="V46" s="559"/>
      <c r="W46" s="366">
        <f>B27</f>
        <v>2022</v>
      </c>
      <c r="X46" s="835" t="str">
        <f>(IF(ISNA(MATCH(R46,$C27:$F27,1)),0,MATCH(R46,$C27:$F27,1))+0)*12 &amp; "-" &amp;(IF(ISNA(MATCH(R46,$C27:$F27,1)),0,MATCH(R46,$C27:$F27,1))+1)*12</f>
        <v>24-36</v>
      </c>
      <c r="Y46" s="836" t="str">
        <f>(IF(ISNA(MATCH(S46,$C27:$F27,1)),0,MATCH(S46,$C27:$F27,1))+0)*12 &amp; "-" &amp;(IF(ISNA(MATCH(S46,$C27:$F27,1)),0,MATCH(S46,$C27:$F27,1))+1)*12</f>
        <v>24-36</v>
      </c>
      <c r="Z46" s="836" t="str">
        <f>(IF(ISNA(MATCH(T46,$C27:$F27,1)),0,MATCH(T46,$C27:$F27,1))+0)*12 &amp; "-" &amp;(IF(ISNA(MATCH(T46,$C27:$F27,1)),0,MATCH(T46,$C27:$F27,1))+1)*12</f>
        <v>36-48</v>
      </c>
      <c r="AA46" s="780" t="str">
        <f>(IF(ISNA(MATCH(U46,$C27:$F27,1)),0,MATCH(U46,$C27:$F27,1))+0)*12 &amp; "-" &amp;(IF(ISNA(MATCH(U46,$C27:$F27,1)),0,MATCH(U46,$C27:$F27,1))+1)*12</f>
        <v>48-60</v>
      </c>
      <c r="AB46" s="89"/>
      <c r="AE46" s="510"/>
      <c r="AF46" s="510"/>
      <c r="AG46" s="510"/>
      <c r="AH46" s="510"/>
      <c r="AI46" s="510"/>
      <c r="AJ46" s="510"/>
      <c r="AK46" s="510"/>
      <c r="AL46" s="510"/>
    </row>
    <row r="47" spans="1:38" ht="15" customHeight="1">
      <c r="A47" s="25" t="s">
        <v>5</v>
      </c>
      <c r="B47" s="17" t="s">
        <v>856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8"/>
      <c r="P47" s="510"/>
      <c r="Q47" s="366">
        <f>Q46+1</f>
        <v>2023</v>
      </c>
      <c r="R47" s="783">
        <f>ROUND(G28*R40,0)</f>
        <v>500</v>
      </c>
      <c r="S47" s="837">
        <f>ROUND(G28*S40,0)</f>
        <v>800</v>
      </c>
      <c r="T47" s="783">
        <f>ROUND(G28*T40,0)</f>
        <v>1000</v>
      </c>
      <c r="U47" s="780"/>
      <c r="V47" s="559"/>
      <c r="W47" s="366">
        <f>W46+1</f>
        <v>2023</v>
      </c>
      <c r="X47" s="838" t="str">
        <f>(IF(ISNA(MATCH(R47,$C28:$F28,1)),0,MATCH(R47,$C28:$F28,1))+0)*12 &amp; "-" &amp;(IF(ISNA(MATCH(R47,$C28:$F28,1)),0,MATCH(R47,$C28:$F28,1))+1)*12</f>
        <v>12-24</v>
      </c>
      <c r="Y47" s="838" t="str">
        <f>(IF(ISNA(MATCH(S47,$C28:$F28,1)),0,MATCH(S47,$C28:$F28,1))+0)*12 &amp; "-" &amp;(IF(ISNA(MATCH(S47,$C28:$F28,1)),0,MATCH(S47,$C28:$F28,1))+1)*12</f>
        <v>24-36</v>
      </c>
      <c r="Z47" s="783" t="str">
        <f>(IF(ISNA(MATCH(T47,$C28:$F28,1)),0,MATCH(T47,$C28:$F28,1))+0)*12 &amp; "-" &amp;(IF(ISNA(MATCH(T47,$C28:$F28,1)),0,MATCH(T47,$C28:$F28,1))+1)*12</f>
        <v>36-48</v>
      </c>
      <c r="AA47" s="780"/>
      <c r="AB47" s="89"/>
      <c r="AE47" s="510"/>
      <c r="AF47" s="510"/>
      <c r="AG47" s="510"/>
      <c r="AH47" s="510"/>
      <c r="AI47" s="510"/>
      <c r="AJ47" s="510"/>
      <c r="AK47" s="510"/>
      <c r="AL47" s="510"/>
    </row>
    <row r="48" spans="1:38" ht="15" customHeight="1" thickBot="1">
      <c r="A48" s="9">
        <f>INDEX('Point Grid'!$C$8:$I$54,MATCH($A$1,'Point Grid'!$A$8:$A$54,0),MATCH(A47,'Point Grid'!$C$7:$I$7,0))</f>
        <v>0.5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8"/>
      <c r="P48" s="510"/>
      <c r="Q48" s="366">
        <f>Q47+1</f>
        <v>2024</v>
      </c>
      <c r="R48" s="783">
        <f>ROUND(G29*R40,0)</f>
        <v>500</v>
      </c>
      <c r="S48" s="783">
        <f>ROUND(G29*S40,0)</f>
        <v>800</v>
      </c>
      <c r="T48" s="783"/>
      <c r="U48" s="780"/>
      <c r="V48" s="559"/>
      <c r="W48" s="366">
        <f>W47+1</f>
        <v>2024</v>
      </c>
      <c r="X48" s="835" t="str">
        <f>(IF(ISNA(MATCH(R48,$C29:$F29,1)),0,MATCH(R48,$C29:$F29,1))+0)*12 &amp; "-" &amp;(IF(ISNA(MATCH(R48,$C29:$F29,1)),0,MATCH(R48,$C29:$F29,1))+1)*12</f>
        <v>12-24</v>
      </c>
      <c r="Y48" s="836" t="str">
        <f>(IF(ISNA(MATCH(S48,$C29:$F29,1)),0,MATCH(S48,$C29:$F29,1))+0)*12 &amp; "-" &amp;(IF(ISNA(MATCH(S48,$C29:$F29,1)),0,MATCH(S48,$C29:$F29,1))+1)*12</f>
        <v>24-36</v>
      </c>
      <c r="Z48" s="783"/>
      <c r="AA48" s="780"/>
      <c r="AB48" s="510"/>
      <c r="AE48" s="510"/>
      <c r="AF48" s="510"/>
      <c r="AG48" s="510"/>
      <c r="AH48" s="510"/>
      <c r="AI48" s="510"/>
      <c r="AJ48" s="510"/>
      <c r="AK48" s="510"/>
      <c r="AL48" s="510"/>
    </row>
    <row r="49" spans="1:38" ht="15" customHeight="1" thickBot="1">
      <c r="A49" s="5"/>
      <c r="B49" s="17"/>
      <c r="C49" s="258" t="s">
        <v>843</v>
      </c>
      <c r="D49" s="561"/>
      <c r="E49" s="855">
        <v>432000</v>
      </c>
      <c r="F49" s="17"/>
      <c r="G49" s="17"/>
      <c r="H49" s="17"/>
      <c r="I49" s="17"/>
      <c r="J49" s="17"/>
      <c r="K49" s="17"/>
      <c r="L49" s="17"/>
      <c r="M49" s="18"/>
      <c r="P49" s="510"/>
      <c r="Q49" s="392">
        <f>Q48+1</f>
        <v>2025</v>
      </c>
      <c r="R49" s="839">
        <f>ROUND(G30*R40,0)</f>
        <v>500</v>
      </c>
      <c r="S49" s="839"/>
      <c r="T49" s="839"/>
      <c r="U49" s="840"/>
      <c r="V49" s="559"/>
      <c r="W49" s="392">
        <f>W48+1</f>
        <v>2025</v>
      </c>
      <c r="X49" s="841" t="str">
        <f>(IF(ISNA(MATCH(R49,$C30:$F30,1)),0,MATCH(R49,$C30:$F30,1))+0)*12 &amp; "-" &amp;(IF(ISNA(MATCH(R49,$C30:$F30,1)),0,MATCH(R49,$C30:$F30,1))+1)*12</f>
        <v>12-24</v>
      </c>
      <c r="Y49" s="839"/>
      <c r="Z49" s="839"/>
      <c r="AA49" s="840"/>
      <c r="AB49" s="510"/>
      <c r="AE49" s="510"/>
      <c r="AF49" s="510"/>
      <c r="AG49" s="510"/>
      <c r="AH49" s="510"/>
      <c r="AI49" s="510"/>
      <c r="AJ49" s="510"/>
      <c r="AK49" s="510"/>
      <c r="AL49" s="510"/>
    </row>
    <row r="50" spans="1:38" ht="15" customHeight="1">
      <c r="A50" s="22"/>
      <c r="B50" s="17"/>
      <c r="C50" s="66" t="s">
        <v>844</v>
      </c>
      <c r="D50" s="71"/>
      <c r="E50" s="856">
        <f>E49-C37</f>
        <v>252000</v>
      </c>
      <c r="F50" s="17"/>
      <c r="G50" s="17"/>
      <c r="H50" s="17"/>
      <c r="I50" s="17"/>
      <c r="J50" s="17"/>
      <c r="K50" s="17"/>
      <c r="L50" s="17"/>
      <c r="M50" s="18"/>
      <c r="P50" s="510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  <c r="AE50" s="510"/>
      <c r="AF50" s="510"/>
      <c r="AG50" s="510"/>
      <c r="AH50" s="510"/>
      <c r="AI50" s="510"/>
      <c r="AJ50" s="510"/>
      <c r="AK50" s="510"/>
      <c r="AL50" s="510"/>
    </row>
    <row r="51" spans="1:38" ht="15" customHeight="1">
      <c r="A51" s="22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8"/>
      <c r="P51" s="510"/>
      <c r="Q51" s="523" t="s">
        <v>302</v>
      </c>
      <c r="R51" s="254">
        <f>R46</f>
        <v>500</v>
      </c>
      <c r="S51" s="523" t="s">
        <v>33</v>
      </c>
      <c r="T51" s="510" t="str">
        <f>R40&amp;" x "&amp;G27</f>
        <v>0.417 x 1200</v>
      </c>
      <c r="U51" s="510"/>
      <c r="V51" s="510"/>
      <c r="W51" s="201" t="s">
        <v>824</v>
      </c>
      <c r="X51" s="510"/>
      <c r="Y51" s="510"/>
      <c r="Z51" s="510"/>
      <c r="AA51" s="510"/>
      <c r="AB51" s="510"/>
      <c r="AE51" s="510"/>
      <c r="AF51" s="510"/>
      <c r="AG51" s="510"/>
      <c r="AH51" s="510"/>
      <c r="AI51" s="510"/>
      <c r="AJ51" s="510"/>
      <c r="AK51" s="510"/>
      <c r="AL51" s="510"/>
    </row>
    <row r="52" spans="1:38" ht="15" customHeight="1">
      <c r="A52" s="22"/>
      <c r="B52" s="17" t="s">
        <v>857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8"/>
      <c r="P52" s="510"/>
      <c r="Q52" s="523" t="s">
        <v>302</v>
      </c>
      <c r="R52" s="233">
        <f>S47</f>
        <v>800</v>
      </c>
      <c r="S52" s="523" t="s">
        <v>33</v>
      </c>
      <c r="T52" s="510" t="str">
        <f>S40&amp;" x "&amp;G28</f>
        <v>0.667 x 1200</v>
      </c>
      <c r="U52" s="510"/>
      <c r="V52" s="510"/>
      <c r="W52" s="201" t="s">
        <v>825</v>
      </c>
      <c r="X52" s="510"/>
      <c r="Y52" s="510"/>
      <c r="Z52" s="510"/>
      <c r="AA52" s="510"/>
      <c r="AB52" s="510"/>
      <c r="AE52" s="510"/>
      <c r="AF52" s="510"/>
      <c r="AG52" s="510"/>
      <c r="AH52" s="510"/>
      <c r="AI52" s="510"/>
      <c r="AJ52" s="510"/>
      <c r="AK52" s="510"/>
      <c r="AL52" s="510"/>
    </row>
    <row r="53" spans="1:38" ht="15" customHeight="1">
      <c r="A53" s="22"/>
      <c r="B53" s="17" t="s">
        <v>845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E53" s="510"/>
      <c r="AF53" s="510"/>
      <c r="AG53" s="510"/>
      <c r="AH53" s="510"/>
      <c r="AI53" s="510"/>
      <c r="AJ53" s="510"/>
      <c r="AK53" s="510"/>
      <c r="AL53" s="510"/>
    </row>
    <row r="54" spans="1:38" ht="15" customHeight="1" thickBot="1">
      <c r="A54" s="24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2"/>
      <c r="P54" s="842" t="s">
        <v>120</v>
      </c>
      <c r="Q54" s="510" t="s">
        <v>826</v>
      </c>
      <c r="R54" s="510"/>
      <c r="S54" s="510"/>
      <c r="T54" s="510"/>
      <c r="U54" s="510"/>
      <c r="V54" s="843" t="s">
        <v>827</v>
      </c>
      <c r="W54" s="510" t="s">
        <v>828</v>
      </c>
      <c r="X54" s="510"/>
      <c r="Y54" s="510"/>
      <c r="Z54" s="510"/>
      <c r="AA54" s="510"/>
      <c r="AB54" s="510"/>
      <c r="AE54" s="510"/>
      <c r="AF54" s="510"/>
      <c r="AG54" s="510"/>
      <c r="AH54" s="510"/>
      <c r="AI54" s="510"/>
      <c r="AJ54" s="510"/>
      <c r="AK54" s="510"/>
      <c r="AL54" s="510"/>
    </row>
    <row r="55" spans="1:38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P55" s="510"/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  <c r="AB55" s="510"/>
      <c r="AE55" s="510"/>
      <c r="AF55" s="510"/>
      <c r="AG55" s="510"/>
      <c r="AH55" s="510"/>
      <c r="AI55" s="510"/>
      <c r="AJ55" s="510"/>
      <c r="AK55" s="510"/>
      <c r="AL55" s="510"/>
    </row>
    <row r="56" spans="1:38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P56" s="510"/>
      <c r="Q56" s="385"/>
      <c r="R56" s="386" t="s">
        <v>829</v>
      </c>
      <c r="S56" s="386"/>
      <c r="T56" s="386"/>
      <c r="U56" s="387"/>
      <c r="V56" s="510"/>
      <c r="W56" s="385"/>
      <c r="X56" s="386" t="s">
        <v>829</v>
      </c>
      <c r="Y56" s="386"/>
      <c r="Z56" s="386"/>
      <c r="AA56" s="387"/>
      <c r="AB56" s="510"/>
      <c r="AE56" s="510"/>
      <c r="AF56" s="510"/>
      <c r="AG56" s="510"/>
      <c r="AH56" s="510"/>
      <c r="AI56" s="510"/>
      <c r="AJ56" s="510"/>
      <c r="AK56" s="510"/>
      <c r="AL56" s="510"/>
    </row>
    <row r="57" spans="1:38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P57" s="510"/>
      <c r="Q57" s="388" t="s">
        <v>83</v>
      </c>
      <c r="R57" s="389">
        <v>12</v>
      </c>
      <c r="S57" s="389">
        <v>24</v>
      </c>
      <c r="T57" s="389">
        <v>36</v>
      </c>
      <c r="U57" s="390">
        <v>48</v>
      </c>
      <c r="V57" s="510"/>
      <c r="W57" s="388" t="s">
        <v>83</v>
      </c>
      <c r="X57" s="389">
        <v>12</v>
      </c>
      <c r="Y57" s="389">
        <v>24</v>
      </c>
      <c r="Z57" s="389">
        <v>36</v>
      </c>
      <c r="AA57" s="390">
        <v>48</v>
      </c>
      <c r="AB57" s="510"/>
      <c r="AE57" s="510"/>
      <c r="AF57" s="510"/>
      <c r="AG57" s="510"/>
      <c r="AH57" s="510"/>
      <c r="AI57" s="510"/>
      <c r="AJ57" s="510"/>
      <c r="AK57" s="510"/>
      <c r="AL57" s="510"/>
    </row>
    <row r="58" spans="1:38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P58" s="510"/>
      <c r="Q58" s="366">
        <v>2022</v>
      </c>
      <c r="R58" s="834">
        <f>ROUND(IF(RIGHT(X46,2)=RIGHT(X45,2),(R46-0)/(C27-0)*(C34-0)+0,(R46-C27)/(D27-C27)*(D34-C34-0)+C34),0)</f>
        <v>180000</v>
      </c>
      <c r="S58" s="783">
        <f>ROUND(IF(RIGHT(Y46,2)=RIGHT(Y45,2),(S46-C27)/(D27-C27)*(D34-C34)+C34,(S46-D27)/(E27-D27)*(E34-D34)+D34),0)</f>
        <v>288000</v>
      </c>
      <c r="T58" s="844">
        <f>ROUND(IF(RIGHT(Z46,2)=RIGHT(Z45,2),(T46-D27)/(E27-D27)*(E34-D34)+D34,(T46-E27)/(F27-E27)*(F34-E34)+E34),0)</f>
        <v>360000</v>
      </c>
      <c r="U58" s="780">
        <f>ROUND(F34,0)</f>
        <v>396000</v>
      </c>
      <c r="V58" s="510"/>
      <c r="W58" s="366">
        <v>2022</v>
      </c>
      <c r="X58" s="834">
        <f>ROUND(IF(RIGHT(X46,2)=RIGHT(X45,2),E42*EXP(F42*R46),E42*EXP(F42*R46)),0)</f>
        <v>180515</v>
      </c>
      <c r="Y58" s="783">
        <f>ROUND(IF(RIGHT(Y46,2)=RIGHT(Y45,2),E42*EXP(F42*S46),G42*EXP(H42*S46)),0)</f>
        <v>273639</v>
      </c>
      <c r="Z58" s="844">
        <f>ROUND(IF(RIGHT(Z46,2)=RIGHT(Z45,2),G42*EXP(H42*T46),I42*EXP(J42*T46)),0)</f>
        <v>358886</v>
      </c>
      <c r="AA58" s="780">
        <f>ROUND(F34,0)</f>
        <v>396000</v>
      </c>
      <c r="AB58" s="510"/>
      <c r="AE58" s="510"/>
      <c r="AF58" s="510"/>
      <c r="AG58" s="510"/>
      <c r="AH58" s="510"/>
      <c r="AI58" s="510"/>
      <c r="AJ58" s="510"/>
      <c r="AK58" s="510"/>
      <c r="AL58" s="510"/>
    </row>
    <row r="59" spans="1:38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P59" s="510"/>
      <c r="Q59" s="366">
        <f>Q58+1</f>
        <v>2023</v>
      </c>
      <c r="R59" s="783">
        <f>ROUND(IF(RIGHT(X47,2)=RIGHT(X45,2),(R47-0)/(C28-0)*(C35-0)+0,(R47-C28)/(D28-C28)*(D35-C35-0)+C35),0)</f>
        <v>180000</v>
      </c>
      <c r="S59" s="837">
        <f>ROUND(IF(RIGHT(Y47,2)=RIGHT(Y45,2),(S47-C28)/(D28-C28)*(D35-C35)+C35,(S47-D28)/(E28-D28)*(E35-D35)+D35),0)</f>
        <v>288000</v>
      </c>
      <c r="T59" s="783">
        <f>ROUND(E35,0)</f>
        <v>360000</v>
      </c>
      <c r="U59" s="780"/>
      <c r="V59" s="510"/>
      <c r="W59" s="366">
        <f>W58+1</f>
        <v>2023</v>
      </c>
      <c r="X59" s="783">
        <f>ROUND(IF(RIGHT(X47,2)=RIGHT(X45,2),E43*EXP(F43*R47),E43*EXP(F43*R47)),0)</f>
        <v>143964</v>
      </c>
      <c r="Y59" s="837">
        <f>ROUND(IF(RIGHT(Y47,2)=RIGHT(Y45,2),E43*EXP(F43*S47),G43*EXP(H43*S47)),0)</f>
        <v>288989</v>
      </c>
      <c r="Z59" s="783">
        <f>ROUND(E35,0)</f>
        <v>360000</v>
      </c>
      <c r="AA59" s="780"/>
      <c r="AB59" s="510"/>
      <c r="AE59" s="510"/>
      <c r="AF59" s="510"/>
      <c r="AG59" s="510"/>
      <c r="AH59" s="510"/>
      <c r="AI59" s="510"/>
      <c r="AJ59" s="510"/>
      <c r="AK59" s="510"/>
      <c r="AL59" s="510"/>
    </row>
    <row r="60" spans="1:38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P60" s="510"/>
      <c r="Q60" s="366">
        <f>Q59+1</f>
        <v>2024</v>
      </c>
      <c r="R60" s="783">
        <f>ROUND(IF(RIGHT(X48,2)=RIGHT(X45,2),(R48-0)/(C29-0)*(C36-0)+0,(R48-C29)/(D29-C29)*(D36-C36-0)+C36),0)</f>
        <v>180000</v>
      </c>
      <c r="S60" s="783">
        <f>ROUND(D36,0)</f>
        <v>288000</v>
      </c>
      <c r="T60" s="783"/>
      <c r="U60" s="780"/>
      <c r="V60" s="510"/>
      <c r="W60" s="366">
        <f>W59+1</f>
        <v>2024</v>
      </c>
      <c r="X60" s="783">
        <f>ROUND(IF(RIGHT(X48,2)=RIGHT(X45,2),E44*EXP(F44*R48),E44*EXP(F44*R48)),0)</f>
        <v>180299</v>
      </c>
      <c r="Y60" s="783">
        <f>ROUND(D36,0)</f>
        <v>288000</v>
      </c>
      <c r="Z60" s="783"/>
      <c r="AA60" s="780"/>
      <c r="AB60" s="510"/>
      <c r="AE60" s="510"/>
      <c r="AF60" s="510"/>
      <c r="AG60" s="510"/>
      <c r="AH60" s="510"/>
      <c r="AI60" s="510"/>
      <c r="AJ60" s="510"/>
      <c r="AK60" s="510"/>
      <c r="AL60" s="510"/>
    </row>
    <row r="61" spans="1:38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P61" s="510"/>
      <c r="Q61" s="392">
        <f>Q60+1</f>
        <v>2025</v>
      </c>
      <c r="R61" s="839">
        <f>ROUND(C37,0)</f>
        <v>180000</v>
      </c>
      <c r="S61" s="839"/>
      <c r="T61" s="839"/>
      <c r="U61" s="840"/>
      <c r="V61" s="510"/>
      <c r="W61" s="392">
        <f>W60+1</f>
        <v>2025</v>
      </c>
      <c r="X61" s="839">
        <f>ROUND(C37,0)</f>
        <v>180000</v>
      </c>
      <c r="Y61" s="839"/>
      <c r="Z61" s="839"/>
      <c r="AA61" s="840"/>
      <c r="AB61" s="510"/>
      <c r="AE61" s="510"/>
      <c r="AF61" s="510"/>
      <c r="AG61" s="510"/>
      <c r="AH61" s="510"/>
      <c r="AI61" s="510"/>
      <c r="AJ61" s="510"/>
      <c r="AK61" s="510"/>
      <c r="AL61" s="510"/>
    </row>
    <row r="62" spans="1:38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P62" s="523" t="s">
        <v>830</v>
      </c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E62" s="510"/>
      <c r="AF62" s="510"/>
      <c r="AG62" s="510"/>
      <c r="AH62" s="510"/>
      <c r="AI62" s="510"/>
      <c r="AJ62" s="510"/>
      <c r="AK62" s="510"/>
      <c r="AL62" s="510"/>
    </row>
    <row r="63" spans="1:38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P63" s="510"/>
      <c r="Q63" s="254">
        <f>R58</f>
        <v>180000</v>
      </c>
      <c r="R63" s="42" t="str">
        <f>IF(RIGHT(X46,2)=RIGHT(X45,2),"= ("&amp;R46&amp;"-0)/("&amp;C27&amp;"-0)x("&amp;C34&amp;"-0)+0","= ("&amp;R46&amp;"-"&amp;C27&amp;")/("&amp;D27&amp;"-"&amp;C27&amp;")x("&amp;D34&amp;"-"&amp;C34&amp;")+"&amp;C34)</f>
        <v>= (500-200)/(500-200)x(180000-72000)+72000</v>
      </c>
      <c r="S63" s="510"/>
      <c r="T63" s="510"/>
      <c r="U63" s="510"/>
      <c r="V63" s="510"/>
      <c r="W63" s="510"/>
      <c r="X63" s="254">
        <f>X58</f>
        <v>180515</v>
      </c>
      <c r="Y63" s="510" t="str">
        <f>IF(RIGHT(X46,2)=RIGHT(X45,2),"= "&amp;E42&amp;" x EXP("&amp;F42&amp;" x "&amp;R46&amp;")","= "&amp;E42&amp;" x EXP("&amp;F42&amp;" x "&amp;R46&amp;")")</f>
        <v>= 39088 x EXP(0.00306 x 500)</v>
      </c>
      <c r="Z63" s="510"/>
      <c r="AA63" s="510"/>
      <c r="AB63" s="510"/>
      <c r="AE63" s="510"/>
      <c r="AF63" s="510"/>
      <c r="AG63" s="510"/>
      <c r="AH63" s="510"/>
      <c r="AI63" s="510"/>
      <c r="AJ63" s="510"/>
      <c r="AK63" s="510"/>
      <c r="AL63" s="510"/>
    </row>
    <row r="64" spans="1:38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P64" s="510"/>
      <c r="Q64" s="233">
        <f>S59</f>
        <v>288000</v>
      </c>
      <c r="R64" s="42" t="str">
        <f>IF(RIGHT(Y47,2)=RIGHT(Y45,2),"= ("&amp;S47&amp;"-"&amp;C28&amp;")/("&amp;D28&amp;"-"&amp;C28&amp;")x("&amp;D35&amp;"-"&amp;C35&amp;")+"&amp;C35,"= ("&amp;S47&amp;"-"&amp;D28&amp;")/("&amp;E28&amp;"-"&amp;D28&amp;")x("&amp;E35&amp;"-"&amp;D35&amp;")+"&amp;D35)</f>
        <v>= (800-800)/(1000-800)x(360000-288000)+288000</v>
      </c>
      <c r="S64" s="510"/>
      <c r="T64" s="510"/>
      <c r="U64" s="510"/>
      <c r="V64" s="510"/>
      <c r="W64" s="510"/>
      <c r="X64" s="233">
        <f>Y59</f>
        <v>288989</v>
      </c>
      <c r="Y64" s="510" t="str">
        <f>IF(RIGHT(Y47,2)=RIGHT(Y45,2),"= "&amp;E43&amp;" x "&amp; "EXP("&amp;F43&amp;" x "&amp;S47&amp;")","= "&amp;G43&amp;" x "&amp;"EXP("&amp;H43&amp;" x "&amp;S47&amp;")")</f>
        <v>= 117965 x EXP(0.00112 x 800)</v>
      </c>
      <c r="Z64" s="510"/>
      <c r="AA64" s="510"/>
      <c r="AB64" s="510"/>
      <c r="AE64" s="510"/>
      <c r="AF64" s="510"/>
      <c r="AG64" s="510"/>
      <c r="AH64" s="510"/>
      <c r="AI64" s="510"/>
      <c r="AJ64" s="510"/>
      <c r="AK64" s="510"/>
      <c r="AL64" s="510"/>
    </row>
    <row r="65" spans="2:38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P65" s="510"/>
      <c r="Q65" s="784">
        <f>T58</f>
        <v>360000</v>
      </c>
      <c r="R65" s="42" t="str">
        <f>IF(RIGHT(Z46,2)=RIGHT(Z45,2),"= ("&amp;T46&amp;"-"&amp;D27&amp;")/("&amp;E27&amp;"-"&amp;D27&amp;")x("&amp;E34&amp;"-"&amp;D34&amp;")+"&amp;D34,"= ("&amp;T46&amp;"-"&amp;E27&amp;")/("&amp;F27&amp;"-"&amp;E27&amp;")x("&amp;F34&amp;"-"&amp;E34&amp;")+"&amp;E34)</f>
        <v>= (1000-1000)/(1100-1000)x(396000-360000)+360000</v>
      </c>
      <c r="S65" s="510"/>
      <c r="T65" s="510"/>
      <c r="U65" s="510"/>
      <c r="V65" s="510"/>
      <c r="W65" s="510"/>
      <c r="X65" s="784">
        <f>Z58</f>
        <v>358886</v>
      </c>
      <c r="Y65" s="510" t="str">
        <f>IF(RIGHT(Z46,2)=RIGHT(Z45,2),"= "&amp;G42&amp;" x EXP("&amp;H42&amp;" x "&amp;T46&amp;")","= "&amp;I42&amp;" x EXP("&amp;J42&amp;" x "&amp;T46&amp;")")</f>
        <v>= 138796 x EXP(0.00095 x 1000)</v>
      </c>
      <c r="Z65" s="510"/>
      <c r="AA65" s="510"/>
      <c r="AB65" s="510"/>
      <c r="AE65" s="510"/>
      <c r="AF65" s="510"/>
      <c r="AG65" s="510"/>
      <c r="AH65" s="510"/>
      <c r="AI65" s="510"/>
      <c r="AJ65" s="510"/>
      <c r="AK65" s="510"/>
      <c r="AL65" s="510"/>
    </row>
    <row r="66" spans="2:38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E66" s="510"/>
      <c r="AF66" s="510"/>
      <c r="AG66" s="510"/>
      <c r="AH66" s="510"/>
      <c r="AI66" s="510"/>
      <c r="AJ66" s="510"/>
      <c r="AK66" s="510"/>
      <c r="AL66" s="510"/>
    </row>
    <row r="67" spans="2:38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P67" s="206" t="s">
        <v>717</v>
      </c>
      <c r="Q67" s="400" t="s">
        <v>831</v>
      </c>
      <c r="R67" s="400"/>
      <c r="S67" s="400"/>
      <c r="T67" s="400"/>
      <c r="U67" s="400"/>
      <c r="V67" s="510"/>
      <c r="W67" s="400" t="s">
        <v>831</v>
      </c>
      <c r="X67" s="400"/>
      <c r="Y67" s="400"/>
      <c r="Z67" s="400"/>
      <c r="AA67" s="400"/>
      <c r="AB67" s="510"/>
      <c r="AE67" s="510"/>
      <c r="AF67" s="510"/>
      <c r="AG67" s="510"/>
      <c r="AH67" s="510"/>
      <c r="AI67" s="510"/>
      <c r="AJ67" s="510"/>
      <c r="AK67" s="510"/>
      <c r="AL67" s="510"/>
    </row>
    <row r="68" spans="2:38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510"/>
      <c r="AE68" s="510"/>
      <c r="AF68" s="510"/>
      <c r="AG68" s="510"/>
      <c r="AH68" s="510"/>
      <c r="AI68" s="510"/>
      <c r="AJ68" s="510"/>
      <c r="AK68" s="510"/>
      <c r="AL68" s="510"/>
    </row>
    <row r="69" spans="2:38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P69" s="274" t="s">
        <v>305</v>
      </c>
      <c r="Q69" s="125" t="s">
        <v>83</v>
      </c>
      <c r="R69" s="401" t="str">
        <f>C26&amp;"-"&amp;D26</f>
        <v>12-24</v>
      </c>
      <c r="S69" s="276" t="str">
        <f>D26&amp;"-"&amp;E26</f>
        <v>24-36</v>
      </c>
      <c r="T69" s="277" t="str">
        <f>E26&amp;"-"&amp;F26</f>
        <v>36-48</v>
      </c>
      <c r="U69" s="278" t="s">
        <v>235</v>
      </c>
      <c r="V69" s="651" t="s">
        <v>827</v>
      </c>
      <c r="W69" s="125" t="s">
        <v>83</v>
      </c>
      <c r="X69" s="401" t="str">
        <f>R69</f>
        <v>12-24</v>
      </c>
      <c r="Y69" s="276" t="str">
        <f>S69</f>
        <v>24-36</v>
      </c>
      <c r="Z69" s="277" t="str">
        <f>T69</f>
        <v>36-48</v>
      </c>
      <c r="AA69" s="278" t="s">
        <v>235</v>
      </c>
      <c r="AB69" s="510"/>
      <c r="AE69" s="510"/>
      <c r="AF69" s="510"/>
      <c r="AG69" s="510"/>
      <c r="AH69" s="510"/>
      <c r="AI69" s="510"/>
      <c r="AJ69" s="510"/>
      <c r="AK69" s="510"/>
      <c r="AL69" s="510"/>
    </row>
    <row r="70" spans="2:38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P70" s="522"/>
      <c r="Q70" s="174">
        <f>B27</f>
        <v>2022</v>
      </c>
      <c r="R70" s="402">
        <f>IFERROR(ROUND(S58/R58,3),"")</f>
        <v>1.6</v>
      </c>
      <c r="S70" s="403">
        <f>IFERROR(ROUND(T58/S58,3),"")</f>
        <v>1.25</v>
      </c>
      <c r="T70" s="404">
        <f>IFERROR(ROUND(U58/T58,3),"")</f>
        <v>1.1000000000000001</v>
      </c>
      <c r="U70" s="522"/>
      <c r="V70" s="510"/>
      <c r="W70" s="174">
        <f>Q70</f>
        <v>2022</v>
      </c>
      <c r="X70" s="402">
        <f>IFERROR(ROUND(Y58/X58,3),"")</f>
        <v>1.516</v>
      </c>
      <c r="Y70" s="403">
        <f>IFERROR(ROUND(Z58/Y58,3),"")</f>
        <v>1.3120000000000001</v>
      </c>
      <c r="Z70" s="404">
        <f>IFERROR(ROUND(AA58/Z58,3),"")</f>
        <v>1.103</v>
      </c>
      <c r="AA70" s="522"/>
      <c r="AB70" s="510"/>
      <c r="AE70" s="510"/>
      <c r="AF70" s="510"/>
      <c r="AG70" s="510"/>
      <c r="AH70" s="510"/>
      <c r="AI70" s="510"/>
      <c r="AJ70" s="510"/>
      <c r="AK70" s="510"/>
      <c r="AL70" s="510"/>
    </row>
    <row r="71" spans="2:38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P71" s="526"/>
      <c r="Q71" s="174">
        <f>Q70+1</f>
        <v>2023</v>
      </c>
      <c r="R71" s="405">
        <f>IFERROR(ROUND(S59/R59,3),"")</f>
        <v>1.6</v>
      </c>
      <c r="S71" s="406">
        <f>IFERROR(ROUND(T59/S59,3),"")</f>
        <v>1.25</v>
      </c>
      <c r="T71" s="407"/>
      <c r="U71" s="526"/>
      <c r="V71" s="510"/>
      <c r="W71" s="174">
        <f>W70+1</f>
        <v>2023</v>
      </c>
      <c r="X71" s="405">
        <f>IFERROR(ROUND(Y59/X59,3),"")</f>
        <v>2.0070000000000001</v>
      </c>
      <c r="Y71" s="406">
        <f>IFERROR(ROUND(Z59/Y59,3),"")</f>
        <v>1.246</v>
      </c>
      <c r="Z71" s="407"/>
      <c r="AA71" s="526"/>
      <c r="AB71" s="510"/>
      <c r="AE71" s="510"/>
      <c r="AF71" s="510"/>
      <c r="AG71" s="510"/>
      <c r="AH71" s="510"/>
      <c r="AI71" s="510"/>
      <c r="AJ71" s="510"/>
      <c r="AK71" s="510"/>
      <c r="AL71" s="510"/>
    </row>
    <row r="72" spans="2:38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P72" s="526"/>
      <c r="Q72" s="174">
        <f>Q71+1</f>
        <v>2024</v>
      </c>
      <c r="R72" s="405">
        <f>IFERROR(ROUND(S60/R60,3),"")</f>
        <v>1.6</v>
      </c>
      <c r="S72" s="408"/>
      <c r="T72" s="407" t="str">
        <f>IFERROR(ROUND(U60/T60,3),"")</f>
        <v/>
      </c>
      <c r="U72" s="845" t="s">
        <v>832</v>
      </c>
      <c r="V72" s="510"/>
      <c r="W72" s="174">
        <f>W71+1</f>
        <v>2024</v>
      </c>
      <c r="X72" s="405">
        <f>IFERROR(ROUND(Y60/X60,3),"")</f>
        <v>1.597</v>
      </c>
      <c r="Y72" s="408"/>
      <c r="Z72" s="407" t="str">
        <f>IFERROR(ROUND(AA60/Z60,3),"")</f>
        <v/>
      </c>
      <c r="AA72" s="845" t="s">
        <v>832</v>
      </c>
      <c r="AB72" s="510"/>
      <c r="AE72" s="510"/>
      <c r="AF72" s="510"/>
      <c r="AG72" s="510"/>
      <c r="AH72" s="510"/>
      <c r="AI72" s="510"/>
      <c r="AJ72" s="510"/>
      <c r="AK72" s="510"/>
      <c r="AL72" s="510"/>
    </row>
    <row r="73" spans="2:38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P73" s="526"/>
      <c r="Q73" s="175">
        <f>Q72+1</f>
        <v>2025</v>
      </c>
      <c r="R73" s="409"/>
      <c r="S73" s="410" t="str">
        <f>IFERROR(ROUND(T61/S61,3),"")</f>
        <v/>
      </c>
      <c r="T73" s="411" t="str">
        <f>IFERROR(ROUND(U61/T61,3),"")</f>
        <v/>
      </c>
      <c r="U73" s="845" t="s">
        <v>833</v>
      </c>
      <c r="V73" s="510"/>
      <c r="W73" s="175">
        <f>W72+1</f>
        <v>2025</v>
      </c>
      <c r="X73" s="409"/>
      <c r="Y73" s="410" t="str">
        <f>IFERROR(ROUND(Z61/Y61,3),"")</f>
        <v/>
      </c>
      <c r="Z73" s="411" t="str">
        <f>IFERROR(ROUND(AA61/Z61,3),"")</f>
        <v/>
      </c>
      <c r="AA73" s="845" t="s">
        <v>833</v>
      </c>
      <c r="AB73" s="510"/>
      <c r="AE73" s="510"/>
      <c r="AF73" s="510"/>
      <c r="AG73" s="510"/>
      <c r="AH73" s="510"/>
      <c r="AI73" s="510"/>
      <c r="AJ73" s="510"/>
      <c r="AK73" s="510"/>
      <c r="AL73" s="510"/>
    </row>
    <row r="74" spans="2:38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P74" s="274"/>
      <c r="Q74" s="292" t="s">
        <v>240</v>
      </c>
      <c r="R74" s="293">
        <f>AVERAGE(R70:R72)</f>
        <v>1.6000000000000003</v>
      </c>
      <c r="S74" s="294">
        <f>AVERAGE(S70:S72)</f>
        <v>1.25</v>
      </c>
      <c r="T74" s="295">
        <f>AVERAGE(T70:T72)</f>
        <v>1.1000000000000001</v>
      </c>
      <c r="U74" s="296">
        <f>SQRT(T74)</f>
        <v>1.0488088481701516</v>
      </c>
      <c r="V74" s="510"/>
      <c r="W74" s="292" t="s">
        <v>240</v>
      </c>
      <c r="X74" s="293">
        <f>AVERAGE(X70:X72)</f>
        <v>1.7066666666666668</v>
      </c>
      <c r="Y74" s="294">
        <f>AVERAGE(Y70:Y72)</f>
        <v>1.2789999999999999</v>
      </c>
      <c r="Z74" s="295">
        <f>AVERAGE(Z70:Z72)</f>
        <v>1.103</v>
      </c>
      <c r="AA74" s="296">
        <f>SQRT(Z74)</f>
        <v>1.0502380682492898</v>
      </c>
      <c r="AB74" s="510"/>
      <c r="AE74" s="510"/>
      <c r="AF74" s="510"/>
      <c r="AG74" s="510"/>
      <c r="AH74" s="510"/>
      <c r="AI74" s="510"/>
      <c r="AJ74" s="510"/>
      <c r="AK74" s="510"/>
      <c r="AL74" s="510"/>
    </row>
    <row r="75" spans="2:38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P75" s="526"/>
      <c r="Q75" s="522"/>
      <c r="R75" s="522"/>
      <c r="S75" s="522"/>
      <c r="T75" s="522"/>
      <c r="U75" s="522"/>
      <c r="V75" s="510"/>
      <c r="W75" s="522"/>
      <c r="X75" s="522"/>
      <c r="Y75" s="522"/>
      <c r="Z75" s="522"/>
      <c r="AA75" s="522"/>
      <c r="AB75" s="510"/>
      <c r="AE75" s="510"/>
      <c r="AF75" s="510"/>
      <c r="AG75" s="510"/>
      <c r="AH75" s="510"/>
      <c r="AI75" s="510"/>
      <c r="AJ75" s="510"/>
      <c r="AK75" s="510"/>
      <c r="AL75" s="510"/>
    </row>
    <row r="76" spans="2:38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P76" s="267" t="s">
        <v>306</v>
      </c>
      <c r="Q76" s="297"/>
      <c r="R76" s="846" t="str">
        <f>R69</f>
        <v>12-24</v>
      </c>
      <c r="S76" s="299" t="str">
        <f>S69</f>
        <v>24-36</v>
      </c>
      <c r="T76" s="299" t="str">
        <f>T69</f>
        <v>36-48</v>
      </c>
      <c r="U76" s="300" t="str">
        <f>U69</f>
        <v>48-ult</v>
      </c>
      <c r="V76" s="510"/>
      <c r="W76" s="297"/>
      <c r="X76" s="846" t="str">
        <f>X69</f>
        <v>12-24</v>
      </c>
      <c r="Y76" s="299" t="str">
        <f>Y69</f>
        <v>24-36</v>
      </c>
      <c r="Z76" s="299" t="str">
        <f>Z69</f>
        <v>36-48</v>
      </c>
      <c r="AA76" s="300" t="str">
        <f>AA69</f>
        <v>48-ult</v>
      </c>
      <c r="AB76" s="510"/>
      <c r="AE76" s="510"/>
      <c r="AF76" s="510"/>
      <c r="AG76" s="510"/>
      <c r="AH76" s="510"/>
      <c r="AI76" s="510"/>
      <c r="AJ76" s="510"/>
      <c r="AK76" s="510"/>
      <c r="AL76" s="510"/>
    </row>
    <row r="77" spans="2:38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P77" s="526"/>
      <c r="Q77" s="301" t="s">
        <v>243</v>
      </c>
      <c r="R77" s="302">
        <f>S77*R74</f>
        <v>2.3073794659743343</v>
      </c>
      <c r="S77" s="302">
        <f>T77*S74</f>
        <v>1.4421121662339587</v>
      </c>
      <c r="T77" s="302">
        <f>U77*T74</f>
        <v>1.1536897329871669</v>
      </c>
      <c r="U77" s="303">
        <f>U74</f>
        <v>1.0488088481701516</v>
      </c>
      <c r="V77" s="510"/>
      <c r="W77" s="301" t="s">
        <v>243</v>
      </c>
      <c r="X77" s="302">
        <f>Y77*X74</f>
        <v>2.5286138908805089</v>
      </c>
      <c r="Y77" s="302">
        <f>Z77*Y74</f>
        <v>1.481609701687798</v>
      </c>
      <c r="Z77" s="302">
        <f>AA77*Z74</f>
        <v>1.1584125892789665</v>
      </c>
      <c r="AA77" s="303">
        <f>AA74</f>
        <v>1.0502380682492898</v>
      </c>
      <c r="AB77" s="510"/>
      <c r="AE77" s="510"/>
      <c r="AF77" s="510"/>
      <c r="AG77" s="510"/>
      <c r="AH77" s="510"/>
      <c r="AI77" s="510"/>
      <c r="AJ77" s="510"/>
      <c r="AK77" s="510"/>
      <c r="AL77" s="510"/>
    </row>
    <row r="78" spans="2:38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P78" s="526"/>
      <c r="Q78" s="522"/>
      <c r="R78" s="522"/>
      <c r="S78" s="522"/>
      <c r="T78" s="522"/>
      <c r="U78" s="522"/>
      <c r="V78" s="510"/>
      <c r="W78" s="522"/>
      <c r="X78" s="522"/>
      <c r="Y78" s="522"/>
      <c r="Z78" s="522"/>
      <c r="AA78" s="522"/>
      <c r="AB78" s="510"/>
    </row>
    <row r="79" spans="2:38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P79" s="274" t="s">
        <v>307</v>
      </c>
      <c r="Q79" s="297"/>
      <c r="R79" s="307" t="str">
        <f>"'"&amp;RIGHT(B30,2)&amp;"@"&amp;C26</f>
        <v>'25@12</v>
      </c>
      <c r="S79" s="308" t="str">
        <f>"'"&amp;RIGHT(B29,2)&amp;"@"&amp;D26</f>
        <v>'24@24</v>
      </c>
      <c r="T79" s="308" t="str">
        <f>"'"&amp;RIGHT(B28,2)&amp;"@"&amp;E26</f>
        <v>'23@36</v>
      </c>
      <c r="U79" s="309" t="str">
        <f>"'"&amp;RIGHT(B27,2)&amp;"@"&amp;F26</f>
        <v>'22@48</v>
      </c>
      <c r="V79" s="510"/>
      <c r="W79" s="297"/>
      <c r="X79" s="307" t="str">
        <f>R79</f>
        <v>'25@12</v>
      </c>
      <c r="Y79" s="308" t="str">
        <f>S79</f>
        <v>'24@24</v>
      </c>
      <c r="Z79" s="308" t="str">
        <f>T79</f>
        <v>'23@36</v>
      </c>
      <c r="AA79" s="309" t="str">
        <f>U79</f>
        <v>'22@48</v>
      </c>
      <c r="AB79" s="510"/>
    </row>
    <row r="80" spans="2:38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P80" s="526"/>
      <c r="Q80" s="310" t="s">
        <v>249</v>
      </c>
      <c r="R80" s="311">
        <f>R61</f>
        <v>180000</v>
      </c>
      <c r="S80" s="311">
        <f>S60</f>
        <v>288000</v>
      </c>
      <c r="T80" s="311">
        <f>T59</f>
        <v>360000</v>
      </c>
      <c r="U80" s="312">
        <f>U58</f>
        <v>396000</v>
      </c>
      <c r="V80" s="510"/>
      <c r="W80" s="310" t="s">
        <v>249</v>
      </c>
      <c r="X80" s="311">
        <f>X61</f>
        <v>180000</v>
      </c>
      <c r="Y80" s="311">
        <f>Y60</f>
        <v>288000</v>
      </c>
      <c r="Z80" s="311">
        <f>Z59</f>
        <v>360000</v>
      </c>
      <c r="AA80" s="312">
        <f>AA58</f>
        <v>396000</v>
      </c>
      <c r="AB80" s="510"/>
    </row>
    <row r="81" spans="2:28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P81" s="526"/>
      <c r="Q81" s="313" t="s">
        <v>250</v>
      </c>
      <c r="R81" s="718">
        <f>R80*R77</f>
        <v>415328.3038753802</v>
      </c>
      <c r="S81" s="315">
        <f>S80*S77</f>
        <v>415328.30387538008</v>
      </c>
      <c r="T81" s="126">
        <f>T80*T77</f>
        <v>415328.30387538008</v>
      </c>
      <c r="U81" s="127">
        <f>U80*U77</f>
        <v>415328.30387538002</v>
      </c>
      <c r="V81" s="510"/>
      <c r="W81" s="313" t="s">
        <v>250</v>
      </c>
      <c r="X81" s="715">
        <f>X80*X77</f>
        <v>455150.50035849161</v>
      </c>
      <c r="Y81" s="315">
        <f>Y80*Y77</f>
        <v>426703.59408608585</v>
      </c>
      <c r="Z81" s="126">
        <f>Z80*Z77</f>
        <v>417028.53214042797</v>
      </c>
      <c r="AA81" s="127">
        <f>AA80*AA77</f>
        <v>415894.27502671874</v>
      </c>
      <c r="AB81" s="510"/>
    </row>
    <row r="82" spans="2:28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P82" s="510"/>
      <c r="Q82" s="510"/>
      <c r="R82" s="510"/>
      <c r="S82" s="510"/>
      <c r="T82" s="510"/>
      <c r="U82" s="510"/>
      <c r="V82" s="510"/>
      <c r="W82" s="510"/>
      <c r="X82" s="510"/>
      <c r="Y82" s="510"/>
      <c r="Z82" s="510"/>
      <c r="AA82" s="510"/>
      <c r="AB82" s="510"/>
    </row>
    <row r="83" spans="2:28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P83" s="157" t="s">
        <v>304</v>
      </c>
      <c r="Q83" s="321" t="s">
        <v>261</v>
      </c>
      <c r="R83" s="321" t="s">
        <v>257</v>
      </c>
      <c r="S83" s="321">
        <v>2025</v>
      </c>
      <c r="T83" s="523" t="s">
        <v>33</v>
      </c>
      <c r="U83" s="254">
        <f>ROUND(INDEX(R81:U81,1,2026-S83)-IF(Q83="ultimate",0,INDEX(C34:F37,S83-2021,2026-S83)),0)</f>
        <v>235328</v>
      </c>
      <c r="V83" s="161" t="s">
        <v>834</v>
      </c>
      <c r="W83" s="510"/>
      <c r="X83" s="510"/>
      <c r="Y83" s="510"/>
      <c r="Z83" s="510"/>
      <c r="AA83" s="510"/>
      <c r="AB83" s="510"/>
    </row>
    <row r="84" spans="2:28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P84" s="510"/>
      <c r="Q84" s="321" t="str">
        <f>Q83</f>
        <v>unpaid</v>
      </c>
      <c r="R84" s="321" t="s">
        <v>257</v>
      </c>
      <c r="S84" s="321">
        <f>S83</f>
        <v>2025</v>
      </c>
      <c r="T84" s="523" t="s">
        <v>33</v>
      </c>
      <c r="U84" s="233">
        <f>ROUND(INDEX(X81:AA81,1,2026-S84)-IF(Q83="ultimate",0,INDEX(C34:F37,S84-2021,2026-S84)),0)</f>
        <v>275151</v>
      </c>
      <c r="V84" s="161" t="s">
        <v>835</v>
      </c>
      <c r="W84" s="510"/>
      <c r="X84" s="510"/>
      <c r="Y84" s="510"/>
      <c r="Z84" s="510"/>
      <c r="AA84" s="510"/>
      <c r="AB84" s="510"/>
    </row>
    <row r="85" spans="2:28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</row>
    <row r="86" spans="2:28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P86" s="157" t="s">
        <v>836</v>
      </c>
      <c r="Q86" s="510" t="s">
        <v>837</v>
      </c>
      <c r="R86" s="510"/>
      <c r="S86" s="510"/>
      <c r="T86" s="510"/>
      <c r="U86" s="510"/>
      <c r="V86" s="510"/>
      <c r="W86" s="510"/>
      <c r="X86" s="510"/>
      <c r="Y86" s="510"/>
      <c r="Z86" s="510"/>
      <c r="AA86" s="510"/>
      <c r="AB86" s="847">
        <f>(U84-U83)/U83</f>
        <v>0.16922338183301605</v>
      </c>
    </row>
    <row r="87" spans="2:28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238" t="s">
        <v>5</v>
      </c>
      <c r="P87" s="510"/>
      <c r="Q87" s="201" t="s">
        <v>838</v>
      </c>
      <c r="R87" s="510"/>
      <c r="S87" s="510"/>
      <c r="T87" s="510"/>
      <c r="U87" s="510"/>
      <c r="V87" s="510"/>
      <c r="W87" s="510"/>
      <c r="X87" s="510"/>
      <c r="Y87" s="510"/>
      <c r="Z87" s="510"/>
      <c r="AA87" s="510"/>
      <c r="AB87" s="510"/>
    </row>
    <row r="88" spans="2:28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28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P89" s="857" t="s">
        <v>846</v>
      </c>
      <c r="Q89" s="858"/>
      <c r="R89" s="858"/>
      <c r="S89" s="863"/>
      <c r="T89" s="859">
        <f>S23</f>
        <v>767778.97500000009</v>
      </c>
    </row>
    <row r="90" spans="2:28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P90" s="860" t="s">
        <v>849</v>
      </c>
      <c r="Q90" s="861"/>
      <c r="R90" s="861"/>
      <c r="S90" s="864"/>
      <c r="T90" s="862">
        <f>U84</f>
        <v>275151</v>
      </c>
      <c r="U90" s="21" t="s">
        <v>847</v>
      </c>
    </row>
    <row r="91" spans="2:28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28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P92" s="865" t="s">
        <v>848</v>
      </c>
      <c r="Q92" s="729"/>
      <c r="R92" s="866">
        <f>E50</f>
        <v>252000</v>
      </c>
    </row>
    <row r="93" spans="2:28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28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P94" s="21" t="s">
        <v>850</v>
      </c>
    </row>
    <row r="95" spans="2:28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P95" s="21" t="s">
        <v>851</v>
      </c>
    </row>
    <row r="96" spans="2:28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P96" s="21" t="s">
        <v>852</v>
      </c>
    </row>
    <row r="97" spans="2:16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P97" s="21" t="s">
        <v>853</v>
      </c>
    </row>
    <row r="98" spans="2:16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6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P99" s="728" t="s">
        <v>854</v>
      </c>
    </row>
    <row r="100" spans="2:16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P100" s="728" t="s">
        <v>855</v>
      </c>
    </row>
    <row r="101" spans="2:16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6">
    <mergeCell ref="L1:M1"/>
    <mergeCell ref="C40:D40"/>
    <mergeCell ref="E40:F40"/>
    <mergeCell ref="G40:H40"/>
    <mergeCell ref="I40:J40"/>
    <mergeCell ref="K40:L40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04"/>
  <sheetViews>
    <sheetView workbookViewId="0"/>
  </sheetViews>
  <sheetFormatPr defaultColWidth="9.140625" defaultRowHeight="15"/>
  <cols>
    <col min="1" max="1" width="9.140625" style="21"/>
    <col min="2" max="2" width="10.7109375" style="21" customWidth="1"/>
    <col min="3" max="12" width="7.7109375" style="21" customWidth="1"/>
    <col min="13" max="13" width="11.140625" style="21" customWidth="1"/>
    <col min="14" max="16384" width="9.140625" style="21"/>
  </cols>
  <sheetData>
    <row r="1" spans="1:27">
      <c r="A1" s="7">
        <v>27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1028" t="s">
        <v>24</v>
      </c>
      <c r="M1" s="1029"/>
      <c r="O1" s="1" t="s">
        <v>32</v>
      </c>
      <c r="P1" s="46" t="str">
        <f>VLOOKUP(A1,'Point Grid'!$L$8:$T$54,9,FALSE)</f>
        <v>Reserving - Chap 14: Recoveries</v>
      </c>
      <c r="Q1"/>
      <c r="R1"/>
      <c r="S1"/>
      <c r="T1"/>
      <c r="U1"/>
      <c r="V1"/>
      <c r="W1"/>
      <c r="X1"/>
      <c r="Y1"/>
    </row>
    <row r="2" spans="1:27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</row>
    <row r="3" spans="1:27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41" t="s">
        <v>2</v>
      </c>
      <c r="P3" s="157" t="s">
        <v>321</v>
      </c>
      <c r="Q3" s="510" t="s">
        <v>871</v>
      </c>
      <c r="R3" s="522"/>
      <c r="S3" s="522"/>
      <c r="T3" s="522"/>
      <c r="U3" s="522"/>
      <c r="V3" s="522"/>
      <c r="W3" s="522"/>
      <c r="X3" s="522"/>
      <c r="Y3" s="522"/>
      <c r="Z3" s="522"/>
      <c r="AA3" s="510"/>
    </row>
    <row r="4" spans="1:27">
      <c r="A4" s="9">
        <f>INDEX('Point Grid'!B:B,MATCH(A1,'Point Grid'!A:A,0))</f>
        <v>1.5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10"/>
    </row>
    <row r="5" spans="1:27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P5" s="522"/>
      <c r="Q5" s="335" t="s">
        <v>83</v>
      </c>
      <c r="R5" s="58">
        <v>12</v>
      </c>
      <c r="S5" s="58">
        <v>24</v>
      </c>
      <c r="T5" s="58">
        <v>36</v>
      </c>
      <c r="U5" s="58">
        <v>48</v>
      </c>
      <c r="V5" s="201"/>
      <c r="W5" s="510"/>
      <c r="X5" s="510"/>
      <c r="Y5" s="526"/>
      <c r="Z5" s="526"/>
      <c r="AA5" s="510"/>
    </row>
    <row r="6" spans="1:27">
      <c r="A6" s="25" t="s">
        <v>2</v>
      </c>
      <c r="B6" s="57" t="s">
        <v>322</v>
      </c>
      <c r="C6" s="872" t="s">
        <v>323</v>
      </c>
      <c r="D6" s="873"/>
      <c r="E6" s="468" t="s">
        <v>870</v>
      </c>
      <c r="F6" s="468"/>
      <c r="G6" s="468"/>
      <c r="H6" s="750" t="s">
        <v>261</v>
      </c>
      <c r="I6" s="469" t="s">
        <v>863</v>
      </c>
      <c r="J6" s="468" t="s">
        <v>257</v>
      </c>
      <c r="K6" s="750">
        <v>2022</v>
      </c>
      <c r="L6" s="57"/>
      <c r="M6" s="18"/>
      <c r="P6" s="522"/>
      <c r="Q6" s="437">
        <f>Q7-1</f>
        <v>2019</v>
      </c>
      <c r="R6" s="438">
        <f>ROUND(I11/C11,4)</f>
        <v>2.5000000000000001E-2</v>
      </c>
      <c r="S6" s="438">
        <f>ROUND(J11/D11,4)</f>
        <v>3.5099999999999999E-2</v>
      </c>
      <c r="T6" s="438">
        <f>ROUND(K11/E11,4)</f>
        <v>3.1699999999999999E-2</v>
      </c>
      <c r="U6" s="439">
        <f>ROUND(L11/F11,4)</f>
        <v>3.1699999999999999E-2</v>
      </c>
      <c r="V6" s="510"/>
      <c r="W6" s="510"/>
      <c r="X6" s="510"/>
      <c r="Y6" s="526"/>
      <c r="Z6" s="526"/>
      <c r="AA6" s="510"/>
    </row>
    <row r="7" spans="1:27" ht="15.75" thickBot="1">
      <c r="A7" s="9">
        <f>INDEX('Point Grid'!$C$8:$I$54,MATCH($A$1,'Point Grid'!$A$8:$A$54,0),MATCH(A6,'Point Grid'!$C$7:$I$7,0))</f>
        <v>1.5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18"/>
      <c r="P7" s="522"/>
      <c r="Q7" s="437">
        <f>Q8-1</f>
        <v>2020</v>
      </c>
      <c r="R7" s="438">
        <f>ROUND(I12/C12,4)</f>
        <v>2.3E-2</v>
      </c>
      <c r="S7" s="438">
        <f>ROUND(J12/D12,4)</f>
        <v>3.32E-2</v>
      </c>
      <c r="T7" s="439">
        <f>ROUND(K12/E12,4)</f>
        <v>3.4700000000000002E-2</v>
      </c>
      <c r="U7" s="438"/>
      <c r="V7" s="510"/>
      <c r="W7" s="510"/>
      <c r="X7" s="510"/>
      <c r="Y7" s="510"/>
      <c r="Z7" s="526"/>
      <c r="AA7" s="510"/>
    </row>
    <row r="8" spans="1:27" ht="15.75" thickBot="1">
      <c r="A8" s="5"/>
      <c r="B8" s="57" t="s">
        <v>325</v>
      </c>
      <c r="C8" s="57"/>
      <c r="D8" s="57"/>
      <c r="E8" s="57"/>
      <c r="F8" s="57"/>
      <c r="G8" s="57"/>
      <c r="H8" s="57" t="s">
        <v>864</v>
      </c>
      <c r="I8" s="57"/>
      <c r="J8" s="57"/>
      <c r="K8" s="57"/>
      <c r="L8" s="57"/>
      <c r="M8" s="18"/>
      <c r="P8" s="522"/>
      <c r="Q8" s="437">
        <f>Q9-1</f>
        <v>2021</v>
      </c>
      <c r="R8" s="438">
        <f>ROUND(I13/C13,4)</f>
        <v>0.03</v>
      </c>
      <c r="S8" s="439">
        <f>ROUND(J13/D13,4)</f>
        <v>4.1500000000000002E-2</v>
      </c>
      <c r="T8" s="438"/>
      <c r="U8" s="438"/>
      <c r="V8" s="510"/>
      <c r="W8" s="510"/>
      <c r="X8" s="510"/>
      <c r="Y8" s="510"/>
      <c r="Z8" s="526"/>
      <c r="AA8" s="510"/>
    </row>
    <row r="9" spans="1:27">
      <c r="A9" s="25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18"/>
      <c r="P9" s="522"/>
      <c r="Q9" s="437">
        <f>B14</f>
        <v>2022</v>
      </c>
      <c r="R9" s="439">
        <f>ROUND(I14/C14,4)</f>
        <v>2.8000000000000001E-2</v>
      </c>
      <c r="S9" s="438"/>
      <c r="T9" s="438"/>
      <c r="U9" s="438"/>
      <c r="V9" s="522"/>
      <c r="W9" s="522"/>
      <c r="X9" s="522"/>
      <c r="Y9" s="510"/>
      <c r="Z9" s="522"/>
      <c r="AA9" s="510"/>
    </row>
    <row r="10" spans="1:27">
      <c r="A10" s="25"/>
      <c r="B10" s="470" t="s">
        <v>83</v>
      </c>
      <c r="C10" s="263">
        <v>12</v>
      </c>
      <c r="D10" s="263">
        <v>24</v>
      </c>
      <c r="E10" s="263">
        <v>36</v>
      </c>
      <c r="F10" s="263">
        <v>48</v>
      </c>
      <c r="G10" s="57"/>
      <c r="H10" s="470" t="s">
        <v>83</v>
      </c>
      <c r="I10" s="263">
        <v>12</v>
      </c>
      <c r="J10" s="263">
        <v>24</v>
      </c>
      <c r="K10" s="263">
        <v>36</v>
      </c>
      <c r="L10" s="263">
        <v>48</v>
      </c>
      <c r="M10" s="18"/>
      <c r="P10" s="522"/>
      <c r="Q10" s="522"/>
      <c r="R10" s="522"/>
      <c r="S10" s="522"/>
      <c r="T10" s="522"/>
      <c r="U10" s="522"/>
      <c r="V10" s="522"/>
      <c r="W10" s="522"/>
      <c r="X10" s="522"/>
      <c r="Y10" s="510"/>
      <c r="Z10" s="522"/>
      <c r="AA10" s="510"/>
    </row>
    <row r="11" spans="1:27">
      <c r="A11" s="25"/>
      <c r="B11" s="471">
        <v>2019</v>
      </c>
      <c r="C11" s="472">
        <v>3800</v>
      </c>
      <c r="D11" s="472">
        <v>12400</v>
      </c>
      <c r="E11" s="472">
        <v>18000</v>
      </c>
      <c r="F11" s="472">
        <v>20200</v>
      </c>
      <c r="G11" s="57"/>
      <c r="H11" s="471">
        <v>2019</v>
      </c>
      <c r="I11" s="472">
        <v>95</v>
      </c>
      <c r="J11" s="472">
        <v>435</v>
      </c>
      <c r="K11" s="472">
        <v>571</v>
      </c>
      <c r="L11" s="472">
        <v>641</v>
      </c>
      <c r="M11" s="18"/>
      <c r="P11" s="157" t="s">
        <v>326</v>
      </c>
      <c r="Q11" s="522" t="s">
        <v>872</v>
      </c>
      <c r="R11" s="522"/>
      <c r="S11" s="522"/>
      <c r="T11" s="522"/>
      <c r="U11" s="522"/>
      <c r="V11" s="522"/>
      <c r="W11" s="522"/>
      <c r="X11" s="522"/>
      <c r="Y11" s="510"/>
      <c r="Z11" s="522"/>
      <c r="AA11" s="510"/>
    </row>
    <row r="12" spans="1:27">
      <c r="A12" s="25"/>
      <c r="B12" s="471">
        <v>2020</v>
      </c>
      <c r="C12" s="472">
        <v>3000</v>
      </c>
      <c r="D12" s="472">
        <v>8200</v>
      </c>
      <c r="E12" s="472">
        <v>11900</v>
      </c>
      <c r="F12" s="57"/>
      <c r="G12" s="57"/>
      <c r="H12" s="471">
        <v>2020</v>
      </c>
      <c r="I12" s="472">
        <v>69</v>
      </c>
      <c r="J12" s="472">
        <v>272</v>
      </c>
      <c r="K12" s="472">
        <v>413</v>
      </c>
      <c r="L12" s="472"/>
      <c r="M12" s="18"/>
      <c r="P12" s="522"/>
      <c r="Q12" s="522"/>
      <c r="R12" s="522"/>
      <c r="S12" s="522"/>
      <c r="T12" s="522"/>
      <c r="U12" s="522"/>
      <c r="V12" s="522"/>
      <c r="W12" s="522"/>
      <c r="X12" s="522"/>
      <c r="Y12" s="510"/>
      <c r="Z12" s="522"/>
      <c r="AA12" s="510"/>
    </row>
    <row r="13" spans="1:27">
      <c r="A13" s="25"/>
      <c r="B13" s="471">
        <v>2021</v>
      </c>
      <c r="C13" s="472">
        <v>4300</v>
      </c>
      <c r="D13" s="472">
        <v>13700</v>
      </c>
      <c r="E13" s="57"/>
      <c r="F13" s="57"/>
      <c r="G13" s="57"/>
      <c r="H13" s="471">
        <v>2021</v>
      </c>
      <c r="I13" s="472">
        <v>129</v>
      </c>
      <c r="J13" s="472">
        <v>569</v>
      </c>
      <c r="K13" s="472"/>
      <c r="L13" s="472"/>
      <c r="M13" s="18"/>
      <c r="P13" s="522"/>
      <c r="Q13" s="335" t="s">
        <v>83</v>
      </c>
      <c r="R13" s="58" t="str">
        <f>R5&amp;"-"&amp;S5</f>
        <v>12-24</v>
      </c>
      <c r="S13" s="58" t="str">
        <f>S5&amp;"-"&amp;T5</f>
        <v>24-36</v>
      </c>
      <c r="T13" s="58" t="str">
        <f>T5&amp;"-"&amp;U5</f>
        <v>36-48</v>
      </c>
      <c r="U13" s="58" t="str">
        <f>U5&amp;"-"&amp;G10</f>
        <v>48-</v>
      </c>
      <c r="V13" s="201"/>
      <c r="W13" s="440"/>
      <c r="X13" s="510"/>
      <c r="Y13" s="510"/>
      <c r="Z13" s="510"/>
      <c r="AA13" s="510"/>
    </row>
    <row r="14" spans="1:27">
      <c r="A14" s="25"/>
      <c r="B14" s="471">
        <v>2022</v>
      </c>
      <c r="C14" s="472">
        <v>3500</v>
      </c>
      <c r="D14" s="57"/>
      <c r="E14" s="57"/>
      <c r="F14" s="57"/>
      <c r="G14" s="57"/>
      <c r="H14" s="471">
        <v>2022</v>
      </c>
      <c r="I14" s="472">
        <v>98</v>
      </c>
      <c r="J14" s="472"/>
      <c r="K14" s="472"/>
      <c r="L14" s="472"/>
      <c r="M14" s="18"/>
      <c r="P14" s="522"/>
      <c r="Q14" s="437">
        <f>Q6</f>
        <v>2019</v>
      </c>
      <c r="R14" s="441">
        <f>ROUND(IF(C6="additive",S6-R6,S6/R6),4)</f>
        <v>1.01E-2</v>
      </c>
      <c r="S14" s="441">
        <f>ROUND(IF(C6="additive",T6-S6,T6/S6),4)</f>
        <v>-3.3999999999999998E-3</v>
      </c>
      <c r="T14" s="441">
        <f>ROUND(IF(C6="additive",U6-T6,U6/T6),4)</f>
        <v>0</v>
      </c>
      <c r="U14" s="442"/>
      <c r="V14" s="46" t="s">
        <v>327</v>
      </c>
      <c r="W14" s="367" t="str">
        <f>IF(C6="additive","ADDITIVE ", "MULTIPLICATIVE ") &amp; "development"</f>
        <v>ADDITIVE development</v>
      </c>
      <c r="X14" s="510"/>
      <c r="Y14" s="510"/>
      <c r="Z14" s="510"/>
      <c r="AA14" s="510"/>
    </row>
    <row r="15" spans="1:27">
      <c r="A15" s="25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18"/>
      <c r="P15" s="522"/>
      <c r="Q15" s="437">
        <f>Q7</f>
        <v>2020</v>
      </c>
      <c r="R15" s="441">
        <f>ROUND(IF(C6="additive",S7-R7,S7/R7),4)</f>
        <v>1.0200000000000001E-2</v>
      </c>
      <c r="S15" s="441">
        <f>ROUND(IF(C6="additive",T7-S7,T7/S7),4)</f>
        <v>1.5E-3</v>
      </c>
      <c r="T15" s="443"/>
      <c r="U15" s="442"/>
      <c r="V15" s="522"/>
      <c r="W15" s="510"/>
      <c r="X15" s="510"/>
      <c r="Y15" s="510"/>
      <c r="Z15" s="510"/>
      <c r="AA15" s="510"/>
    </row>
    <row r="16" spans="1:27">
      <c r="A16" s="25"/>
      <c r="B16" s="57" t="s">
        <v>865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18"/>
      <c r="P16" s="522"/>
      <c r="Q16" s="437">
        <f>Q8</f>
        <v>2021</v>
      </c>
      <c r="R16" s="441">
        <f>ROUND(IF(C6="additive",S8-R8,S8/R8),4)</f>
        <v>1.15E-2</v>
      </c>
      <c r="S16" s="441"/>
      <c r="T16" s="443"/>
      <c r="U16" s="442"/>
      <c r="V16" s="522"/>
      <c r="W16" s="510"/>
      <c r="X16" s="510"/>
      <c r="Y16" s="510"/>
      <c r="Z16" s="510"/>
      <c r="AA16" s="510"/>
    </row>
    <row r="17" spans="1:27">
      <c r="A17" s="25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P17" s="522"/>
      <c r="Q17" s="437">
        <f>B14</f>
        <v>2022</v>
      </c>
      <c r="R17" s="442"/>
      <c r="S17" s="442"/>
      <c r="T17" s="442"/>
      <c r="U17" s="442"/>
      <c r="V17" s="522"/>
      <c r="W17" s="510"/>
      <c r="X17" s="510"/>
      <c r="Y17" s="510"/>
      <c r="Z17" s="510"/>
      <c r="AA17" s="510"/>
    </row>
    <row r="18" spans="1:27">
      <c r="A18" s="25"/>
      <c r="B18" s="470" t="s">
        <v>83</v>
      </c>
      <c r="C18" s="473" t="s">
        <v>328</v>
      </c>
      <c r="D18" s="262" t="s">
        <v>331</v>
      </c>
      <c r="E18" s="474" t="s">
        <v>866</v>
      </c>
      <c r="F18" s="57"/>
      <c r="G18" s="57"/>
      <c r="H18" s="57"/>
      <c r="I18" s="57"/>
      <c r="J18" s="57"/>
      <c r="K18" s="57"/>
      <c r="L18" s="57"/>
      <c r="M18" s="18"/>
      <c r="P18" s="522"/>
      <c r="Q18" s="874" t="s">
        <v>240</v>
      </c>
      <c r="R18" s="875">
        <f>ROUND(AVERAGE(R14:R16),4)</f>
        <v>1.06E-2</v>
      </c>
      <c r="S18" s="876">
        <f>ROUND(AVERAGE(S14:S16),4)</f>
        <v>-1E-3</v>
      </c>
      <c r="T18" s="876">
        <f>ROUND(AVERAGE(T14:T16),4)</f>
        <v>0</v>
      </c>
      <c r="U18" s="444">
        <f>IF(C6="additive",0,1)</f>
        <v>0</v>
      </c>
      <c r="V18" s="46" t="s">
        <v>327</v>
      </c>
      <c r="W18" s="46" t="s">
        <v>873</v>
      </c>
      <c r="X18" s="510"/>
      <c r="Y18" s="510"/>
      <c r="Z18" s="510"/>
      <c r="AA18" s="510"/>
    </row>
    <row r="19" spans="1:27">
      <c r="A19" s="25"/>
      <c r="B19" s="471">
        <v>2019</v>
      </c>
      <c r="C19" s="475">
        <v>20200</v>
      </c>
      <c r="D19" s="868"/>
      <c r="E19" s="869" t="s">
        <v>867</v>
      </c>
      <c r="F19" s="180"/>
      <c r="G19" s="57"/>
      <c r="H19" s="57"/>
      <c r="I19" s="57"/>
      <c r="J19" s="57"/>
      <c r="K19" s="57"/>
      <c r="L19" s="57"/>
      <c r="M19" s="18"/>
      <c r="P19" s="522"/>
      <c r="Q19" s="877" t="s">
        <v>329</v>
      </c>
      <c r="R19" s="878">
        <f>ROUND(IF(C6="additive",R18+S19,R18*S19),4)</f>
        <v>9.5999999999999992E-3</v>
      </c>
      <c r="S19" s="878">
        <f>ROUND(IF(C6="additive",S18+T19,S18*T19),4)</f>
        <v>-1E-3</v>
      </c>
      <c r="T19" s="878">
        <f>ROUND(IF(C6="additive",T18+U19,T18*U19),4)</f>
        <v>0</v>
      </c>
      <c r="U19" s="878">
        <f>U18</f>
        <v>0</v>
      </c>
      <c r="V19" s="46" t="s">
        <v>327</v>
      </c>
      <c r="W19" s="367" t="s">
        <v>874</v>
      </c>
      <c r="X19" s="510"/>
      <c r="Y19" s="510"/>
      <c r="Z19" s="510"/>
      <c r="AA19" s="510"/>
    </row>
    <row r="20" spans="1:27">
      <c r="A20" s="25"/>
      <c r="B20" s="471">
        <v>2020</v>
      </c>
      <c r="C20" s="475">
        <v>13354</v>
      </c>
      <c r="D20" s="868"/>
      <c r="E20" s="869" t="s">
        <v>868</v>
      </c>
      <c r="F20" s="180"/>
      <c r="G20" s="57"/>
      <c r="H20" s="57"/>
      <c r="I20" s="57"/>
      <c r="J20" s="57"/>
      <c r="K20" s="57"/>
      <c r="L20" s="57"/>
      <c r="M20" s="18"/>
      <c r="P20" s="522"/>
      <c r="Q20" s="543" t="s">
        <v>330</v>
      </c>
      <c r="R20" s="445">
        <f>ROUND(IF(C6="additive",R9+R19,R9*R19),4)</f>
        <v>3.7600000000000001E-2</v>
      </c>
      <c r="S20" s="446">
        <f>ROUND(IF(C6="additive",S8+S19,S8*S19),4)</f>
        <v>4.0500000000000001E-2</v>
      </c>
      <c r="T20" s="446">
        <f>ROUND(IF(C6="additive",T7+T19,T7*T19),4)</f>
        <v>3.4700000000000002E-2</v>
      </c>
      <c r="U20" s="446">
        <f>ROUND(IF(C6="additive",U6+U19,U6*U19),4)</f>
        <v>3.1699999999999999E-2</v>
      </c>
      <c r="V20" s="447" t="s">
        <v>327</v>
      </c>
      <c r="W20" s="543" t="s">
        <v>875</v>
      </c>
      <c r="X20" s="543"/>
      <c r="Y20" s="543"/>
      <c r="Z20" s="543"/>
      <c r="AA20" s="510"/>
    </row>
    <row r="21" spans="1:27" ht="15" customHeight="1">
      <c r="A21" s="25"/>
      <c r="B21" s="471">
        <v>2021</v>
      </c>
      <c r="C21" s="475">
        <v>22315</v>
      </c>
      <c r="D21" s="868"/>
      <c r="E21" s="869"/>
      <c r="F21" s="180"/>
      <c r="G21" s="57"/>
      <c r="H21" s="57"/>
      <c r="I21" s="57"/>
      <c r="J21" s="57"/>
      <c r="K21" s="57"/>
      <c r="L21" s="57"/>
      <c r="M21" s="18"/>
      <c r="P21" s="522"/>
      <c r="Q21" s="522"/>
      <c r="R21" s="522"/>
      <c r="S21" s="522"/>
      <c r="T21" s="510"/>
      <c r="U21" s="510"/>
      <c r="V21" s="510"/>
      <c r="W21" s="510"/>
      <c r="X21" s="510"/>
      <c r="Y21" s="510"/>
      <c r="Z21" s="510"/>
      <c r="AA21" s="510"/>
    </row>
    <row r="22" spans="1:27" ht="15" customHeight="1">
      <c r="A22" s="25"/>
      <c r="B22" s="471">
        <v>2022</v>
      </c>
      <c r="C22" s="870">
        <v>17449</v>
      </c>
      <c r="D22" s="871"/>
      <c r="E22" s="474"/>
      <c r="F22" s="180"/>
      <c r="G22" s="57"/>
      <c r="H22" s="57"/>
      <c r="I22" s="57"/>
      <c r="J22" s="57"/>
      <c r="K22" s="57"/>
      <c r="L22" s="57"/>
      <c r="M22" s="18"/>
      <c r="P22" s="522"/>
      <c r="Q22" s="448" t="s">
        <v>83</v>
      </c>
      <c r="R22" s="299">
        <f>B22</f>
        <v>2022</v>
      </c>
      <c r="S22" s="299">
        <f>B21</f>
        <v>2021</v>
      </c>
      <c r="T22" s="299">
        <f>B20</f>
        <v>2020</v>
      </c>
      <c r="U22" s="300">
        <f>B19</f>
        <v>2019</v>
      </c>
      <c r="V22" s="449" t="s">
        <v>331</v>
      </c>
      <c r="W22" s="522" t="s">
        <v>332</v>
      </c>
      <c r="X22" s="522"/>
      <c r="Y22" s="522"/>
      <c r="Z22" s="522"/>
      <c r="AA22" s="510"/>
    </row>
    <row r="23" spans="1:27" ht="15" customHeight="1">
      <c r="A23" s="25"/>
      <c r="B23" s="180"/>
      <c r="C23" s="180"/>
      <c r="D23" s="57"/>
      <c r="E23" s="57"/>
      <c r="F23" s="180"/>
      <c r="G23" s="57"/>
      <c r="H23" s="57"/>
      <c r="I23" s="237"/>
      <c r="J23" s="237"/>
      <c r="K23" s="57"/>
      <c r="L23" s="57"/>
      <c r="M23" s="18"/>
      <c r="P23" s="522"/>
      <c r="Q23" s="450" t="s">
        <v>328</v>
      </c>
      <c r="R23" s="451">
        <f>C22</f>
        <v>17449</v>
      </c>
      <c r="S23" s="451">
        <f>C21</f>
        <v>22315</v>
      </c>
      <c r="T23" s="451">
        <f>C20</f>
        <v>13354</v>
      </c>
      <c r="U23" s="452">
        <f>C19</f>
        <v>20200</v>
      </c>
      <c r="V23" s="522"/>
      <c r="W23" s="453" t="s">
        <v>334</v>
      </c>
      <c r="X23" s="522"/>
      <c r="Y23" s="522"/>
      <c r="Z23" s="522"/>
      <c r="AA23" s="510"/>
    </row>
    <row r="24" spans="1:27" ht="15" customHeight="1">
      <c r="A24" s="25"/>
      <c r="B24" s="476" t="s">
        <v>333</v>
      </c>
      <c r="C24" s="477"/>
      <c r="D24" s="477"/>
      <c r="E24" s="477"/>
      <c r="F24" s="477"/>
      <c r="G24" s="477"/>
      <c r="H24" s="477"/>
      <c r="I24" s="478"/>
      <c r="J24" s="479"/>
      <c r="K24" s="180"/>
      <c r="L24" s="57"/>
      <c r="M24" s="18"/>
      <c r="P24" s="522"/>
      <c r="Q24" s="454" t="s">
        <v>876</v>
      </c>
      <c r="R24" s="120">
        <f>I14</f>
        <v>98</v>
      </c>
      <c r="S24" s="120">
        <f>J13</f>
        <v>569</v>
      </c>
      <c r="T24" s="120">
        <f>K12</f>
        <v>413</v>
      </c>
      <c r="U24" s="212">
        <f>L11</f>
        <v>641</v>
      </c>
      <c r="V24" s="522"/>
      <c r="W24" s="522"/>
      <c r="X24" s="522"/>
      <c r="Y24" s="522"/>
      <c r="Z24" s="522"/>
      <c r="AA24" s="510"/>
    </row>
    <row r="25" spans="1:27" ht="15" customHeight="1">
      <c r="A25" s="25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57"/>
      <c r="M25" s="18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10"/>
      <c r="AA25" s="510"/>
    </row>
    <row r="26" spans="1:27" ht="15" customHeight="1">
      <c r="A26" s="25"/>
      <c r="B26" s="317" t="s">
        <v>869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"/>
      <c r="P26" s="157" t="s">
        <v>335</v>
      </c>
      <c r="Q26" s="455" t="s">
        <v>877</v>
      </c>
      <c r="R26" s="524"/>
      <c r="S26" s="456" t="s">
        <v>33</v>
      </c>
      <c r="T26" s="369" t="s">
        <v>336</v>
      </c>
      <c r="U26" s="367"/>
      <c r="V26" s="457" t="s">
        <v>150</v>
      </c>
      <c r="W26" s="367" t="s">
        <v>337</v>
      </c>
      <c r="X26" s="510"/>
      <c r="Y26" s="510"/>
      <c r="Z26" s="510"/>
      <c r="AA26" s="510"/>
    </row>
    <row r="27" spans="1:27" ht="15" customHeight="1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P27" s="522"/>
      <c r="Q27" s="458" t="s">
        <v>878</v>
      </c>
      <c r="R27" s="458"/>
      <c r="S27" s="459" t="s">
        <v>33</v>
      </c>
      <c r="T27" s="524" t="s">
        <v>879</v>
      </c>
      <c r="U27" s="510"/>
      <c r="V27" s="368" t="s">
        <v>123</v>
      </c>
      <c r="W27" s="369" t="s">
        <v>880</v>
      </c>
      <c r="X27" s="510"/>
      <c r="Y27" s="510"/>
      <c r="Z27" s="526"/>
      <c r="AA27" s="510"/>
    </row>
    <row r="28" spans="1:27" ht="15" customHeight="1">
      <c r="A28" s="22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  <c r="P28" s="522"/>
      <c r="Q28" s="522"/>
      <c r="R28" s="522"/>
      <c r="S28" s="522"/>
      <c r="T28" s="522"/>
      <c r="U28" s="522"/>
      <c r="V28" s="522"/>
      <c r="W28" s="522"/>
      <c r="X28" s="510"/>
      <c r="Y28" s="526"/>
      <c r="Z28" s="526"/>
      <c r="AA28" s="510"/>
    </row>
    <row r="29" spans="1:27" ht="15" customHeight="1" thickBot="1">
      <c r="A29" s="24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  <c r="P29" s="522"/>
      <c r="Q29" s="335" t="s">
        <v>83</v>
      </c>
      <c r="R29" s="460" t="s">
        <v>881</v>
      </c>
      <c r="S29" s="461" t="s">
        <v>882</v>
      </c>
      <c r="T29" s="522"/>
      <c r="U29" s="510"/>
      <c r="V29" s="522"/>
      <c r="W29" s="522"/>
      <c r="X29" s="510"/>
      <c r="Y29" s="526"/>
      <c r="Z29" s="526"/>
      <c r="AA29" s="510"/>
    </row>
    <row r="30" spans="1:27" ht="15" customHeight="1">
      <c r="P30" s="522"/>
      <c r="Q30" s="437">
        <f>B19</f>
        <v>2019</v>
      </c>
      <c r="R30" s="462">
        <f>IFERROR(U20*C19,"n/a")</f>
        <v>640.34</v>
      </c>
      <c r="S30" s="879">
        <f>IFERROR(R30-L11,"n/a")</f>
        <v>-0.65999999999996817</v>
      </c>
      <c r="T30" s="522"/>
      <c r="U30" s="510"/>
      <c r="V30" s="522"/>
      <c r="W30" s="522"/>
      <c r="X30" s="510"/>
      <c r="Y30" s="526"/>
      <c r="Z30" s="526"/>
      <c r="AA30" s="510"/>
    </row>
    <row r="31" spans="1:27" ht="15" customHeight="1">
      <c r="P31" s="522"/>
      <c r="Q31" s="437">
        <f>B20</f>
        <v>2020</v>
      </c>
      <c r="R31" s="462">
        <f>IFERROR(T20*C20,"n/a")</f>
        <v>463.38380000000001</v>
      </c>
      <c r="S31" s="879">
        <f>IFERROR(R31-K12,"n/a")</f>
        <v>50.383800000000008</v>
      </c>
      <c r="T31" s="522"/>
      <c r="U31" s="510"/>
      <c r="V31" s="522"/>
      <c r="W31" s="522"/>
      <c r="X31" s="526"/>
      <c r="Y31" s="526"/>
      <c r="Z31" s="526"/>
      <c r="AA31" s="510"/>
    </row>
    <row r="32" spans="1:27" ht="15" customHeight="1">
      <c r="P32" s="522"/>
      <c r="Q32" s="437">
        <f>B21</f>
        <v>2021</v>
      </c>
      <c r="R32" s="462">
        <f>IFERROR(S20*C21,"n/a")</f>
        <v>903.75750000000005</v>
      </c>
      <c r="S32" s="879">
        <f>IFERROR(R32-J13,"n/a")</f>
        <v>334.75750000000005</v>
      </c>
      <c r="T32" s="522"/>
      <c r="U32" s="526"/>
      <c r="V32" s="522"/>
      <c r="W32" s="522"/>
      <c r="X32" s="526"/>
      <c r="Y32" s="526"/>
      <c r="Z32" s="526"/>
      <c r="AA32" s="510"/>
    </row>
    <row r="33" spans="14:27" ht="15" customHeight="1">
      <c r="P33" s="522"/>
      <c r="Q33" s="335">
        <f>B14</f>
        <v>2022</v>
      </c>
      <c r="R33" s="464">
        <f>IFERROR(R20*C22,"--")</f>
        <v>656.08240000000001</v>
      </c>
      <c r="S33" s="465">
        <f>IFERROR(R33-I14,"--")</f>
        <v>558.08240000000001</v>
      </c>
      <c r="T33" s="522"/>
      <c r="U33" s="526"/>
      <c r="V33" s="522"/>
      <c r="W33" s="522"/>
      <c r="X33" s="526"/>
      <c r="Y33" s="526"/>
      <c r="Z33" s="522"/>
      <c r="AA33" s="510"/>
    </row>
    <row r="34" spans="14:27" ht="15" customHeight="1">
      <c r="P34" s="526"/>
      <c r="Q34" s="466"/>
      <c r="R34" s="467">
        <f>SUM(R30:R33)</f>
        <v>2663.5636999999997</v>
      </c>
      <c r="S34" s="463">
        <f>SUM(S30:S33)</f>
        <v>942.56370000000015</v>
      </c>
      <c r="T34" s="522"/>
      <c r="U34" s="526"/>
      <c r="V34" s="522"/>
      <c r="W34" s="522"/>
      <c r="X34" s="522"/>
      <c r="Y34" s="522"/>
      <c r="Z34" s="526"/>
      <c r="AA34" s="510"/>
    </row>
    <row r="35" spans="14:27" ht="15" customHeight="1">
      <c r="P35" s="522"/>
      <c r="Q35" s="522"/>
      <c r="R35" s="522"/>
      <c r="S35" s="522"/>
      <c r="T35" s="522"/>
      <c r="U35" s="522"/>
      <c r="V35" s="522"/>
      <c r="W35" s="522"/>
      <c r="X35" s="526"/>
      <c r="Y35" s="526"/>
      <c r="Z35" s="526"/>
      <c r="AA35" s="510"/>
    </row>
    <row r="36" spans="14:27" ht="15" customHeight="1">
      <c r="P36" s="157" t="s">
        <v>338</v>
      </c>
      <c r="Q36" s="257" t="str">
        <f>H6</f>
        <v>unpaid</v>
      </c>
      <c r="R36" s="525" t="str">
        <f>I6</f>
        <v>S/S</v>
      </c>
      <c r="S36" s="525" t="str">
        <f>J6</f>
        <v>for AY</v>
      </c>
      <c r="T36" s="338">
        <f>K6</f>
        <v>2022</v>
      </c>
      <c r="U36" s="525" t="s">
        <v>33</v>
      </c>
      <c r="V36" s="160">
        <f>VLOOKUP(T36,Q32:S33,IF(Q36="ultimate",2,3),FALSE)</f>
        <v>558.08240000000001</v>
      </c>
      <c r="W36" s="46" t="s">
        <v>327</v>
      </c>
      <c r="X36" s="216" t="s">
        <v>339</v>
      </c>
      <c r="Y36" s="526"/>
      <c r="Z36" s="526"/>
      <c r="AA36" s="510"/>
    </row>
    <row r="37" spans="14:27" ht="15" customHeight="1">
      <c r="Y37" s="510"/>
      <c r="Z37" s="510"/>
      <c r="AA37" s="510"/>
    </row>
    <row r="38" spans="14:27" ht="15" customHeight="1">
      <c r="N38" s="30"/>
      <c r="O38" s="41"/>
      <c r="P38" s="510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10"/>
    </row>
    <row r="39" spans="14:27" ht="15" customHeight="1">
      <c r="N39" s="30"/>
      <c r="O39"/>
      <c r="P39" s="510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</row>
    <row r="40" spans="14:27" ht="15" customHeight="1">
      <c r="N40" s="30"/>
      <c r="O40"/>
      <c r="P40" s="510"/>
      <c r="Q40" s="510"/>
      <c r="R40" s="510"/>
      <c r="S40" s="510"/>
      <c r="T40" s="510"/>
      <c r="U40" s="510"/>
      <c r="V40" s="510"/>
      <c r="W40" s="510"/>
      <c r="X40" s="510"/>
      <c r="Y40" s="510"/>
      <c r="Z40" s="510"/>
      <c r="AA40" s="510"/>
    </row>
    <row r="41" spans="14:27" ht="15" customHeight="1">
      <c r="N41" s="30"/>
      <c r="O41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</row>
    <row r="42" spans="14:27" ht="15" customHeight="1">
      <c r="N42" s="30"/>
      <c r="O42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</row>
    <row r="43" spans="14:27" ht="15" customHeight="1">
      <c r="N43" s="30"/>
      <c r="O43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</row>
    <row r="44" spans="14:27" ht="15" customHeight="1">
      <c r="N44" s="30"/>
      <c r="O44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</row>
    <row r="45" spans="14:27" ht="15" customHeight="1">
      <c r="N45" s="30"/>
      <c r="O45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</row>
    <row r="46" spans="14:27" ht="15" customHeight="1">
      <c r="N46" s="30"/>
      <c r="O46"/>
      <c r="P46" s="510"/>
      <c r="Q46" s="510"/>
      <c r="R46" s="510"/>
      <c r="S46" s="510"/>
      <c r="T46" s="510"/>
      <c r="U46" s="510"/>
      <c r="V46" s="510"/>
      <c r="W46" s="510"/>
      <c r="X46" s="510"/>
      <c r="Y46" s="510"/>
      <c r="Z46" s="510"/>
      <c r="AA46" s="510"/>
    </row>
    <row r="47" spans="14:27" ht="15" customHeight="1">
      <c r="N47" s="30"/>
      <c r="O47"/>
      <c r="P47" s="510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</row>
    <row r="48" spans="14:27" ht="15" customHeight="1">
      <c r="N48" s="30"/>
      <c r="O48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</row>
    <row r="49" spans="2:27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/>
      <c r="P49" s="510"/>
      <c r="Q49" s="510"/>
      <c r="R49" s="510"/>
      <c r="S49" s="510"/>
      <c r="T49" s="510"/>
      <c r="U49" s="510"/>
      <c r="V49" s="510"/>
      <c r="W49" s="510"/>
      <c r="X49" s="510"/>
      <c r="Y49" s="510"/>
      <c r="Z49" s="510"/>
      <c r="AA49" s="510"/>
    </row>
    <row r="50" spans="2:27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/>
      <c r="P50" s="510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</row>
    <row r="51" spans="2:27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/>
      <c r="P51" s="510"/>
      <c r="Q51" s="510"/>
      <c r="R51" s="510"/>
      <c r="S51" s="510"/>
      <c r="T51" s="510"/>
      <c r="U51" s="510"/>
      <c r="V51" s="510"/>
      <c r="W51" s="510"/>
      <c r="X51" s="510"/>
      <c r="Y51" s="510"/>
      <c r="Z51" s="510"/>
      <c r="AA51" s="510"/>
    </row>
    <row r="52" spans="2:27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</row>
    <row r="53" spans="2:27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</row>
    <row r="54" spans="2:27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</row>
    <row r="55" spans="2:27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P55" s="510"/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</row>
    <row r="56" spans="2:27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P56" s="510"/>
      <c r="Q56" s="510"/>
      <c r="R56" s="510"/>
      <c r="S56" s="510"/>
      <c r="T56" s="510"/>
      <c r="U56" s="510"/>
      <c r="V56" s="510"/>
      <c r="W56" s="510"/>
      <c r="X56" s="510"/>
      <c r="Y56" s="510"/>
      <c r="Z56" s="510"/>
      <c r="AA56" s="510"/>
    </row>
    <row r="57" spans="2:27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27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27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27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27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27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27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27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2:14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2:14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2:14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</sheetData>
  <mergeCells count="1">
    <mergeCell ref="L1:M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40"/>
  <sheetViews>
    <sheetView workbookViewId="0"/>
  </sheetViews>
  <sheetFormatPr defaultColWidth="9.140625" defaultRowHeight="15"/>
  <cols>
    <col min="1" max="1" width="9.140625" style="21"/>
    <col min="2" max="2" width="16" style="21" customWidth="1"/>
    <col min="3" max="3" width="11.140625" style="21" customWidth="1"/>
    <col min="4" max="7" width="20.7109375" style="21" customWidth="1"/>
    <col min="8" max="9" width="11.140625" style="21" customWidth="1"/>
    <col min="10" max="16384" width="9.140625" style="21"/>
  </cols>
  <sheetData>
    <row r="1" spans="1:21">
      <c r="A1" s="7">
        <v>28</v>
      </c>
      <c r="B1" s="26" t="s">
        <v>12</v>
      </c>
      <c r="C1" s="20"/>
      <c r="D1" s="20"/>
      <c r="E1" s="20"/>
      <c r="F1" s="20"/>
      <c r="G1" s="20"/>
      <c r="H1" s="1028" t="s">
        <v>24</v>
      </c>
      <c r="I1" s="1029"/>
      <c r="K1" s="1" t="s">
        <v>32</v>
      </c>
      <c r="L1" s="46" t="str">
        <f>VLOOKUP(A1,'Point Grid'!$L$8:$T$54,9,FALSE)</f>
        <v>Reserving - Chap 15: Evaluation of Methods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 s="41" t="s">
        <v>2</v>
      </c>
      <c r="L3" s="510" t="s">
        <v>934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 s="30"/>
      <c r="K4" s="41"/>
      <c r="L4" s="510" t="s">
        <v>935</v>
      </c>
      <c r="M4"/>
      <c r="N4"/>
      <c r="O4"/>
      <c r="P4"/>
      <c r="Q4"/>
      <c r="R4"/>
      <c r="S4"/>
      <c r="T4"/>
      <c r="U4"/>
    </row>
    <row r="5" spans="1:21" ht="15" customHeight="1">
      <c r="A5" s="16"/>
      <c r="B5" s="17"/>
      <c r="C5" s="17"/>
      <c r="D5" s="17"/>
      <c r="E5" s="17"/>
      <c r="F5" s="17"/>
      <c r="G5" s="17"/>
      <c r="H5" s="17"/>
      <c r="I5" s="18"/>
      <c r="J5" s="30"/>
      <c r="K5" s="41"/>
      <c r="L5" s="510" t="s">
        <v>936</v>
      </c>
      <c r="M5"/>
      <c r="N5"/>
      <c r="O5"/>
      <c r="P5"/>
      <c r="Q5"/>
      <c r="R5"/>
      <c r="S5"/>
      <c r="T5"/>
      <c r="U5"/>
    </row>
    <row r="6" spans="1:21" ht="15" customHeight="1">
      <c r="A6" s="25" t="s">
        <v>2</v>
      </c>
      <c r="B6" s="17" t="s">
        <v>924</v>
      </c>
      <c r="C6" s="17"/>
      <c r="D6" s="17"/>
      <c r="E6" s="17"/>
      <c r="F6" s="17"/>
      <c r="G6" s="17"/>
      <c r="H6" s="17"/>
      <c r="I6" s="18"/>
      <c r="J6" s="30"/>
      <c r="K6" s="41"/>
      <c r="L6" s="510"/>
      <c r="M6"/>
      <c r="N6"/>
      <c r="O6"/>
      <c r="P6"/>
      <c r="Q6"/>
      <c r="R6"/>
      <c r="S6"/>
      <c r="T6"/>
      <c r="U6"/>
    </row>
    <row r="7" spans="1:21" ht="15" customHeight="1" thickBot="1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 s="30"/>
      <c r="K7" s="523" t="s">
        <v>3</v>
      </c>
      <c r="L7" s="510" t="s">
        <v>940</v>
      </c>
      <c r="M7"/>
      <c r="N7"/>
      <c r="O7"/>
      <c r="P7"/>
      <c r="Q7"/>
      <c r="R7"/>
      <c r="S7"/>
      <c r="T7"/>
      <c r="U7"/>
    </row>
    <row r="8" spans="1:21" ht="15" customHeight="1" thickBot="1">
      <c r="A8" s="5"/>
      <c r="B8" s="33" t="s">
        <v>918</v>
      </c>
      <c r="C8" s="17" t="s">
        <v>922</v>
      </c>
      <c r="D8" s="17"/>
      <c r="E8" s="17"/>
      <c r="F8" s="17"/>
      <c r="G8" s="17"/>
      <c r="H8" s="17"/>
      <c r="I8" s="18"/>
      <c r="J8" s="30"/>
      <c r="K8"/>
      <c r="L8" s="510" t="s">
        <v>941</v>
      </c>
      <c r="M8"/>
      <c r="N8"/>
      <c r="O8"/>
      <c r="P8"/>
      <c r="Q8"/>
      <c r="R8"/>
      <c r="S8"/>
      <c r="T8"/>
      <c r="U8"/>
    </row>
    <row r="9" spans="1:21" ht="15" customHeight="1">
      <c r="A9" s="25"/>
      <c r="B9" s="33" t="s">
        <v>919</v>
      </c>
      <c r="C9" s="17" t="s">
        <v>923</v>
      </c>
      <c r="D9" s="17"/>
      <c r="E9" s="17"/>
      <c r="F9" s="17"/>
      <c r="G9" s="17"/>
      <c r="H9" s="17"/>
      <c r="I9" s="18"/>
      <c r="J9" s="30"/>
      <c r="K9" s="41"/>
      <c r="L9" s="510" t="s">
        <v>942</v>
      </c>
      <c r="M9"/>
      <c r="N9"/>
      <c r="O9"/>
      <c r="P9"/>
      <c r="Q9"/>
      <c r="R9"/>
      <c r="S9"/>
    </row>
    <row r="10" spans="1:21" ht="15" customHeight="1">
      <c r="A10" s="25"/>
      <c r="B10" s="33" t="s">
        <v>920</v>
      </c>
      <c r="C10" s="17" t="s">
        <v>925</v>
      </c>
      <c r="D10" s="17"/>
      <c r="E10" s="17"/>
      <c r="F10" s="17"/>
      <c r="G10" s="17"/>
      <c r="H10" s="17"/>
      <c r="I10" s="18"/>
      <c r="J10" s="30"/>
      <c r="K10" s="41"/>
      <c r="L10" s="510"/>
      <c r="M10"/>
      <c r="N10"/>
      <c r="O10"/>
      <c r="P10"/>
      <c r="Q10"/>
      <c r="R10"/>
      <c r="S10"/>
    </row>
    <row r="11" spans="1:21" ht="15" customHeight="1">
      <c r="A11" s="25"/>
      <c r="B11" s="33" t="s">
        <v>921</v>
      </c>
      <c r="C11" s="17" t="s">
        <v>926</v>
      </c>
      <c r="D11" s="17"/>
      <c r="E11" s="17"/>
      <c r="F11" s="17"/>
      <c r="G11" s="17"/>
      <c r="H11" s="17"/>
      <c r="I11" s="18"/>
      <c r="J11" s="30"/>
      <c r="K11" s="41"/>
      <c r="L11" s="510"/>
      <c r="M11"/>
      <c r="N11"/>
      <c r="O11"/>
      <c r="P11"/>
      <c r="Q11"/>
      <c r="R11"/>
      <c r="S11"/>
    </row>
    <row r="12" spans="1:21" ht="15" customHeight="1">
      <c r="A12" s="25"/>
      <c r="B12" s="33" t="s">
        <v>927</v>
      </c>
      <c r="C12" s="17" t="s">
        <v>928</v>
      </c>
      <c r="D12" s="17"/>
      <c r="E12" s="17"/>
      <c r="F12" s="17"/>
      <c r="G12" s="17"/>
      <c r="H12" s="17"/>
      <c r="I12" s="18"/>
      <c r="J12" s="30"/>
      <c r="K12" s="41"/>
      <c r="L12"/>
      <c r="M12"/>
      <c r="N12"/>
      <c r="O12"/>
      <c r="P12"/>
      <c r="Q12"/>
      <c r="R12"/>
      <c r="S12"/>
    </row>
    <row r="13" spans="1:21" ht="15" customHeight="1">
      <c r="A13" s="25"/>
      <c r="B13" s="17"/>
      <c r="C13" s="17"/>
      <c r="D13" s="17"/>
      <c r="E13" s="17"/>
      <c r="F13" s="17"/>
      <c r="G13" s="17"/>
      <c r="H13" s="17"/>
      <c r="I13" s="18"/>
      <c r="J13" s="30"/>
      <c r="K13" s="41"/>
      <c r="L13" s="510"/>
      <c r="M13"/>
      <c r="N13"/>
      <c r="O13"/>
      <c r="P13"/>
      <c r="Q13"/>
      <c r="R13"/>
      <c r="S13"/>
    </row>
    <row r="14" spans="1:21" ht="15" customHeight="1">
      <c r="A14" s="25"/>
      <c r="B14" s="17" t="s">
        <v>932</v>
      </c>
      <c r="C14" s="17"/>
      <c r="D14" s="17"/>
      <c r="E14" s="17"/>
      <c r="F14" s="17"/>
      <c r="G14" s="17"/>
      <c r="H14" s="17"/>
      <c r="I14" s="18"/>
      <c r="J14" s="30"/>
      <c r="K14" s="41"/>
      <c r="L14" s="510"/>
      <c r="M14"/>
      <c r="N14"/>
      <c r="O14"/>
      <c r="P14"/>
      <c r="Q14"/>
      <c r="R14"/>
      <c r="S14"/>
    </row>
    <row r="15" spans="1:21" ht="15" customHeight="1">
      <c r="A15" s="25"/>
      <c r="B15" s="17" t="s">
        <v>933</v>
      </c>
      <c r="C15" s="17"/>
      <c r="D15" s="17"/>
      <c r="E15" s="17"/>
      <c r="F15" s="17"/>
      <c r="G15" s="17"/>
      <c r="H15" s="17"/>
      <c r="I15" s="18"/>
      <c r="J15" s="30"/>
      <c r="K15" s="41"/>
      <c r="L15" s="510"/>
      <c r="M15"/>
      <c r="N15"/>
      <c r="O15"/>
      <c r="P15"/>
      <c r="Q15"/>
      <c r="R15"/>
      <c r="S15"/>
    </row>
    <row r="16" spans="1:21" ht="15" customHeight="1">
      <c r="A16" s="25"/>
      <c r="B16" s="17"/>
      <c r="C16" s="17"/>
      <c r="D16" s="17"/>
      <c r="E16" s="17"/>
      <c r="F16" s="17"/>
      <c r="G16" s="17"/>
      <c r="H16" s="17"/>
      <c r="I16" s="18"/>
      <c r="J16" s="30"/>
      <c r="K16" s="41"/>
      <c r="L16" s="510"/>
      <c r="M16"/>
      <c r="N16"/>
      <c r="O16"/>
      <c r="P16"/>
      <c r="Q16"/>
      <c r="R16"/>
      <c r="S16"/>
    </row>
    <row r="17" spans="1:22" ht="15" customHeight="1">
      <c r="A17" s="25"/>
      <c r="B17" s="17" t="s">
        <v>930</v>
      </c>
      <c r="C17" s="17"/>
      <c r="D17" s="17"/>
      <c r="E17" s="17"/>
      <c r="F17" s="17"/>
      <c r="G17" s="17"/>
      <c r="H17" s="17"/>
      <c r="I17" s="18"/>
      <c r="J17" s="30"/>
      <c r="K17" s="41"/>
      <c r="L17" s="510"/>
      <c r="M17"/>
      <c r="N17"/>
      <c r="O17"/>
      <c r="P17"/>
      <c r="Q17"/>
      <c r="R17"/>
      <c r="S17"/>
    </row>
    <row r="18" spans="1:22" ht="15" customHeight="1">
      <c r="A18" s="25"/>
      <c r="B18" s="17" t="s">
        <v>931</v>
      </c>
      <c r="C18" s="17"/>
      <c r="D18" s="17"/>
      <c r="E18" s="17"/>
      <c r="F18" s="17"/>
      <c r="G18" s="17"/>
      <c r="H18" s="17"/>
      <c r="I18" s="18"/>
      <c r="J18" s="30"/>
      <c r="K18" s="41"/>
      <c r="L18" s="510"/>
      <c r="M18"/>
      <c r="N18"/>
      <c r="O18"/>
      <c r="P18"/>
      <c r="Q18"/>
      <c r="R18"/>
      <c r="S18"/>
    </row>
    <row r="19" spans="1:22" ht="15" customHeight="1">
      <c r="A19" s="25"/>
      <c r="B19" s="17" t="s">
        <v>929</v>
      </c>
      <c r="C19" s="17"/>
      <c r="D19" s="17"/>
      <c r="E19" s="17"/>
      <c r="F19" s="17"/>
      <c r="G19" s="17"/>
      <c r="H19" s="17"/>
      <c r="I19" s="18"/>
      <c r="J19" s="30"/>
      <c r="K19" s="41"/>
      <c r="L19" s="510"/>
      <c r="M19"/>
      <c r="N19"/>
      <c r="O19"/>
      <c r="P19"/>
      <c r="Q19"/>
      <c r="R19"/>
      <c r="S19"/>
    </row>
    <row r="20" spans="1:22">
      <c r="A20" s="25"/>
      <c r="B20" s="17"/>
      <c r="C20" s="17"/>
      <c r="D20" s="17"/>
      <c r="E20" s="17"/>
      <c r="F20" s="17"/>
      <c r="G20" s="17"/>
      <c r="H20" s="17"/>
      <c r="I20" s="18"/>
      <c r="J20" s="30"/>
      <c r="K20" s="41"/>
      <c r="L20"/>
      <c r="M20" s="510"/>
      <c r="N20"/>
      <c r="O20"/>
      <c r="P20"/>
      <c r="Q20"/>
      <c r="R20"/>
      <c r="S20"/>
    </row>
    <row r="21" spans="1:22">
      <c r="A21" s="25" t="s">
        <v>3</v>
      </c>
      <c r="B21" s="17" t="s">
        <v>937</v>
      </c>
      <c r="C21" s="17"/>
      <c r="D21" s="17"/>
      <c r="E21" s="17"/>
      <c r="F21" s="17"/>
      <c r="G21" s="17"/>
      <c r="H21" s="17"/>
      <c r="I21" s="18"/>
      <c r="J21" s="30"/>
      <c r="K21" s="41" t="s">
        <v>4</v>
      </c>
      <c r="L21" s="319" t="s">
        <v>119</v>
      </c>
      <c r="M21" s="89" t="s">
        <v>309</v>
      </c>
      <c r="N21" s="89"/>
      <c r="O21" s="89"/>
      <c r="P21" s="89"/>
      <c r="Q21" s="89"/>
      <c r="R21" s="89"/>
      <c r="S21" s="89"/>
      <c r="T21" s="89"/>
      <c r="U21" s="89"/>
      <c r="V21" s="89"/>
    </row>
    <row r="22" spans="1:22" ht="15.75" thickBot="1">
      <c r="A22" s="9">
        <f>INDEX('Point Grid'!$C$8:$I$54,MATCH($A$1,'Point Grid'!$A$8:$A$54,0),MATCH(A21,'Point Grid'!$C$7:$I$7,0))</f>
        <v>0.5</v>
      </c>
      <c r="B22" s="17" t="s">
        <v>938</v>
      </c>
      <c r="C22" s="17"/>
      <c r="D22" s="17"/>
      <c r="E22" s="17"/>
      <c r="F22" s="17"/>
      <c r="G22" s="17"/>
      <c r="H22" s="17"/>
      <c r="I22" s="18"/>
      <c r="J22" s="30"/>
      <c r="K22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</row>
    <row r="23" spans="1:22" ht="15.75" thickBot="1">
      <c r="A23" s="5"/>
      <c r="B23" s="17" t="s">
        <v>939</v>
      </c>
      <c r="C23" s="27"/>
      <c r="D23" s="27"/>
      <c r="E23" s="27"/>
      <c r="F23" s="27"/>
      <c r="G23" s="27"/>
      <c r="H23" s="27"/>
      <c r="I23" s="18"/>
      <c r="J23" s="30"/>
      <c r="K23"/>
      <c r="L23" s="89"/>
      <c r="M23" s="45" t="s">
        <v>310</v>
      </c>
      <c r="N23" s="391">
        <f>E25</f>
        <v>36</v>
      </c>
      <c r="O23" s="229" t="s">
        <v>311</v>
      </c>
      <c r="P23" s="391">
        <f>G25</f>
        <v>48</v>
      </c>
      <c r="Q23" s="370" t="s">
        <v>312</v>
      </c>
      <c r="R23" s="370"/>
      <c r="S23" s="424"/>
      <c r="T23" s="254">
        <f>E30</f>
        <v>36</v>
      </c>
      <c r="U23" s="425" t="s">
        <v>311</v>
      </c>
      <c r="V23" s="254">
        <f>T23+12</f>
        <v>48</v>
      </c>
    </row>
    <row r="24" spans="1:22">
      <c r="A24" s="25"/>
      <c r="B24" s="17"/>
      <c r="C24" s="17"/>
      <c r="D24" s="17"/>
      <c r="E24" s="17"/>
      <c r="F24" s="17"/>
      <c r="G24" s="27"/>
      <c r="H24" s="27"/>
      <c r="I24" s="18"/>
      <c r="J24" s="30"/>
      <c r="K24" s="41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1:22">
      <c r="A25" s="25" t="s">
        <v>4</v>
      </c>
      <c r="B25" s="181" t="s">
        <v>319</v>
      </c>
      <c r="C25" s="181"/>
      <c r="D25" s="374"/>
      <c r="E25" s="272">
        <v>36</v>
      </c>
      <c r="F25" s="231" t="s">
        <v>311</v>
      </c>
      <c r="G25" s="272">
        <v>48</v>
      </c>
      <c r="H25" s="121" t="s">
        <v>320</v>
      </c>
      <c r="I25" s="18"/>
      <c r="J25" s="30"/>
      <c r="K25"/>
      <c r="L25" s="254" t="s">
        <v>120</v>
      </c>
      <c r="M25" s="89" t="s">
        <v>313</v>
      </c>
      <c r="N25" s="89"/>
      <c r="O25" s="89"/>
      <c r="P25" s="89"/>
      <c r="Q25" s="89"/>
      <c r="R25" s="89"/>
      <c r="S25" s="89"/>
      <c r="T25" s="89"/>
      <c r="U25" s="89"/>
      <c r="V25" s="89"/>
    </row>
    <row r="26" spans="1:22" ht="15.75" thickBot="1">
      <c r="A26" s="9">
        <f>INDEX('Point Grid'!$C$8:$I$54,MATCH($A$1,'Point Grid'!$A$8:$A$54,0),MATCH(A25,'Point Grid'!$C$7:$I$7,0))</f>
        <v>1.5</v>
      </c>
      <c r="B26" s="181"/>
      <c r="C26" s="181"/>
      <c r="D26" s="181"/>
      <c r="E26" s="181"/>
      <c r="F26" s="181"/>
      <c r="G26" s="181"/>
      <c r="H26" s="181"/>
      <c r="I26" s="18"/>
      <c r="J26" s="30"/>
      <c r="K26"/>
      <c r="L26" s="89"/>
      <c r="M26" s="229"/>
      <c r="N26" s="89"/>
      <c r="O26" s="89"/>
      <c r="P26" s="89"/>
      <c r="Q26" s="89"/>
      <c r="R26" s="89"/>
      <c r="S26" s="89"/>
      <c r="T26" s="89"/>
      <c r="U26" s="89"/>
      <c r="V26" s="89"/>
    </row>
    <row r="27" spans="1:22" ht="15.75" thickBot="1">
      <c r="A27" s="5"/>
      <c r="B27" s="181"/>
      <c r="C27" s="181"/>
      <c r="D27" s="181"/>
      <c r="E27" s="181"/>
      <c r="F27" s="181"/>
      <c r="G27" s="181"/>
      <c r="H27" s="181"/>
      <c r="I27" s="18"/>
      <c r="J27" s="30"/>
      <c r="K27" s="41"/>
      <c r="L27" s="89"/>
      <c r="M27" s="426" t="s">
        <v>250</v>
      </c>
      <c r="N27"/>
      <c r="O27" s="229" t="s">
        <v>33</v>
      </c>
      <c r="P27" t="str">
        <f>"paid @"&amp;E30</f>
        <v>paid @36</v>
      </c>
      <c r="Q27" s="229" t="s">
        <v>150</v>
      </c>
      <c r="R27" s="45" t="str">
        <f>T23&amp; "-ultimate CDF"</f>
        <v>36-ultimate CDF</v>
      </c>
      <c r="S27"/>
      <c r="T27"/>
      <c r="U27" s="89"/>
      <c r="V27" s="89"/>
    </row>
    <row r="28" spans="1:22">
      <c r="A28" s="22"/>
      <c r="B28" s="181" t="s">
        <v>314</v>
      </c>
      <c r="C28" s="181"/>
      <c r="D28" s="181"/>
      <c r="E28" s="181"/>
      <c r="F28" s="181"/>
      <c r="G28" s="181"/>
      <c r="H28" s="181"/>
      <c r="I28" s="18"/>
      <c r="J28" s="30"/>
      <c r="K28"/>
      <c r="L28" s="89"/>
      <c r="M28"/>
      <c r="N28"/>
      <c r="O28" s="229" t="s">
        <v>33</v>
      </c>
      <c r="P28" s="229">
        <f>G30</f>
        <v>10150</v>
      </c>
      <c r="Q28" s="229" t="s">
        <v>150</v>
      </c>
      <c r="R28" s="320">
        <f>VLOOKUP(E30,B32:E37,4,FALSE)</f>
        <v>1.1200000000000001</v>
      </c>
      <c r="S28"/>
      <c r="T28"/>
      <c r="U28" s="89"/>
      <c r="V28" s="89"/>
    </row>
    <row r="29" spans="1:22">
      <c r="A29" s="22"/>
      <c r="B29" s="325"/>
      <c r="C29" s="325"/>
      <c r="D29" s="325"/>
      <c r="E29" s="325"/>
      <c r="F29" s="325"/>
      <c r="G29" s="325"/>
      <c r="H29" s="325"/>
      <c r="I29" s="18"/>
      <c r="J29" s="30"/>
      <c r="K29"/>
      <c r="L29"/>
      <c r="M29"/>
      <c r="N29"/>
      <c r="O29" s="229" t="s">
        <v>33</v>
      </c>
      <c r="P29" s="427">
        <f>ROUND(P28*R28,0)</f>
        <v>11368</v>
      </c>
      <c r="Q29"/>
      <c r="R29"/>
      <c r="S29"/>
      <c r="T29"/>
      <c r="U29"/>
      <c r="V29"/>
    </row>
    <row r="30" spans="1:22">
      <c r="A30" s="22"/>
      <c r="B30" s="431" t="s">
        <v>262</v>
      </c>
      <c r="C30" s="432" t="s">
        <v>88</v>
      </c>
      <c r="D30" s="433" t="s">
        <v>151</v>
      </c>
      <c r="E30" s="435">
        <v>36</v>
      </c>
      <c r="F30" s="434" t="s">
        <v>125</v>
      </c>
      <c r="G30" s="436">
        <v>10150</v>
      </c>
      <c r="H30" s="57"/>
      <c r="I30" s="18"/>
      <c r="J30" s="30"/>
      <c r="K30"/>
      <c r="L30" s="89"/>
      <c r="M30"/>
      <c r="N30"/>
      <c r="O30"/>
      <c r="P30"/>
      <c r="Q30"/>
      <c r="R30"/>
      <c r="S30" s="229"/>
      <c r="T30"/>
      <c r="U30" s="89"/>
      <c r="V30" s="89"/>
    </row>
    <row r="31" spans="1:22">
      <c r="A31" s="22"/>
      <c r="B31" s="181"/>
      <c r="C31" s="181"/>
      <c r="D31" s="181"/>
      <c r="E31" s="181"/>
      <c r="F31" s="181"/>
      <c r="G31" s="181"/>
      <c r="H31" s="181"/>
      <c r="I31" s="18"/>
      <c r="J31" s="30"/>
      <c r="K31"/>
      <c r="L31" s="89"/>
      <c r="M31" s="89" t="str">
        <f>"unpaid @ "&amp;E30</f>
        <v>unpaid @ 36</v>
      </c>
      <c r="N31"/>
      <c r="O31" s="229" t="s">
        <v>33</v>
      </c>
      <c r="P31" s="427" t="s">
        <v>250</v>
      </c>
      <c r="Q31" s="229" t="s">
        <v>123</v>
      </c>
      <c r="R31" s="41" t="str">
        <f>"paid @"&amp;E30</f>
        <v>paid @36</v>
      </c>
      <c r="S31" s="89"/>
      <c r="T31" s="89"/>
      <c r="U31" s="89"/>
      <c r="V31" s="89"/>
    </row>
    <row r="32" spans="1:22">
      <c r="A32" s="22"/>
      <c r="B32" s="322">
        <v>12</v>
      </c>
      <c r="C32" s="377" t="s">
        <v>299</v>
      </c>
      <c r="D32" s="323" t="s">
        <v>300</v>
      </c>
      <c r="E32" s="378">
        <v>2.1</v>
      </c>
      <c r="F32" s="57"/>
      <c r="G32" s="57"/>
      <c r="H32" s="181"/>
      <c r="I32" s="18"/>
      <c r="J32" s="30"/>
      <c r="K32" s="41"/>
      <c r="L32" s="89"/>
      <c r="M32"/>
      <c r="N32"/>
      <c r="O32" s="229" t="s">
        <v>33</v>
      </c>
      <c r="P32" s="427">
        <f>P29</f>
        <v>11368</v>
      </c>
      <c r="Q32" s="229" t="s">
        <v>123</v>
      </c>
      <c r="R32" s="229">
        <f>G30</f>
        <v>10150</v>
      </c>
      <c r="S32" s="89"/>
      <c r="T32" s="89"/>
      <c r="U32" s="89"/>
      <c r="V32" s="89"/>
    </row>
    <row r="33" spans="1:22">
      <c r="A33" s="22"/>
      <c r="B33" s="328">
        <v>24</v>
      </c>
      <c r="C33" s="379" t="s">
        <v>299</v>
      </c>
      <c r="D33" s="324" t="s">
        <v>300</v>
      </c>
      <c r="E33" s="380">
        <v>1.4</v>
      </c>
      <c r="F33" s="57"/>
      <c r="G33" s="57"/>
      <c r="H33" s="181"/>
      <c r="I33" s="18"/>
      <c r="J33" s="30"/>
      <c r="K33"/>
      <c r="L33" s="89"/>
      <c r="M33" s="89"/>
      <c r="N33" s="89"/>
      <c r="O33" s="229" t="s">
        <v>33</v>
      </c>
      <c r="P33" s="155">
        <f>P32-R32</f>
        <v>1218</v>
      </c>
      <c r="Q33" s="229"/>
      <c r="R33" s="229"/>
      <c r="S33" s="89"/>
      <c r="T33" s="89"/>
      <c r="U33" s="89"/>
      <c r="V33" s="89"/>
    </row>
    <row r="34" spans="1:22">
      <c r="A34" s="22"/>
      <c r="B34" s="381">
        <v>36</v>
      </c>
      <c r="C34" s="382" t="s">
        <v>299</v>
      </c>
      <c r="D34" s="383" t="s">
        <v>300</v>
      </c>
      <c r="E34" s="384">
        <v>1.1200000000000001</v>
      </c>
      <c r="F34" s="57"/>
      <c r="G34" s="57"/>
      <c r="H34" s="181"/>
      <c r="I34" s="18"/>
      <c r="J34" s="30"/>
      <c r="K34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</row>
    <row r="35" spans="1:22">
      <c r="A35" s="22"/>
      <c r="B35" s="328">
        <v>48</v>
      </c>
      <c r="C35" s="379" t="s">
        <v>299</v>
      </c>
      <c r="D35" s="324" t="s">
        <v>300</v>
      </c>
      <c r="E35" s="380">
        <v>1.02</v>
      </c>
      <c r="F35" s="57"/>
      <c r="G35" s="57"/>
      <c r="H35" s="181"/>
      <c r="I35" s="18"/>
      <c r="J35" s="30"/>
      <c r="K35"/>
      <c r="L35" s="89"/>
      <c r="M35" s="216" t="str">
        <f>"%paid @ "&amp;E30</f>
        <v>%paid @ 36</v>
      </c>
      <c r="N35" s="89"/>
      <c r="O35" s="229" t="s">
        <v>33</v>
      </c>
      <c r="P35" s="229">
        <v>1</v>
      </c>
      <c r="Q35" s="269" t="s">
        <v>35</v>
      </c>
      <c r="R35" s="89" t="str">
        <f>T23&amp; "-ultimate CDF"</f>
        <v>36-ultimate CDF</v>
      </c>
      <c r="S35" s="89"/>
      <c r="T35" s="89"/>
      <c r="U35" s="89"/>
      <c r="V35" s="89"/>
    </row>
    <row r="36" spans="1:22">
      <c r="A36" s="22"/>
      <c r="B36" s="328">
        <v>60</v>
      </c>
      <c r="C36" s="379" t="s">
        <v>299</v>
      </c>
      <c r="D36" s="324" t="s">
        <v>300</v>
      </c>
      <c r="E36" s="380">
        <v>1.01</v>
      </c>
      <c r="F36" s="57"/>
      <c r="G36" s="57"/>
      <c r="H36" s="181"/>
      <c r="I36" s="18"/>
      <c r="J36" s="30"/>
      <c r="K36"/>
      <c r="L36" s="89"/>
      <c r="M36" s="89"/>
      <c r="N36" s="89"/>
      <c r="O36" s="229" t="s">
        <v>33</v>
      </c>
      <c r="P36" s="229">
        <v>1</v>
      </c>
      <c r="Q36" s="269" t="s">
        <v>35</v>
      </c>
      <c r="R36" s="320">
        <f>R28</f>
        <v>1.1200000000000001</v>
      </c>
      <c r="S36" s="89"/>
      <c r="T36" s="89"/>
      <c r="U36" s="89"/>
      <c r="V36" s="89"/>
    </row>
    <row r="37" spans="1:22" ht="15" customHeight="1">
      <c r="A37" s="22"/>
      <c r="B37" s="381">
        <v>72</v>
      </c>
      <c r="C37" s="382" t="s">
        <v>299</v>
      </c>
      <c r="D37" s="383" t="s">
        <v>300</v>
      </c>
      <c r="E37" s="384">
        <v>1</v>
      </c>
      <c r="F37" s="57"/>
      <c r="G37" s="57"/>
      <c r="H37" s="181"/>
      <c r="I37" s="18"/>
      <c r="J37" s="30"/>
      <c r="K37"/>
      <c r="L37" s="89"/>
      <c r="M37" s="89"/>
      <c r="N37" s="89"/>
      <c r="O37" s="229" t="s">
        <v>33</v>
      </c>
      <c r="P37" s="428">
        <f>P36/R36</f>
        <v>0.89285714285714279</v>
      </c>
      <c r="Q37" s="89"/>
      <c r="R37" s="89"/>
      <c r="S37" s="89"/>
      <c r="T37" s="89"/>
      <c r="U37" s="89"/>
      <c r="V37" s="89"/>
    </row>
    <row r="38" spans="1:22" ht="15" customHeight="1">
      <c r="A38" s="22"/>
      <c r="B38" s="17"/>
      <c r="C38" s="17"/>
      <c r="D38" s="17"/>
      <c r="E38" s="17"/>
      <c r="F38" s="17"/>
      <c r="G38" s="17"/>
      <c r="H38" s="17"/>
      <c r="I38" s="18"/>
      <c r="J38" s="30"/>
      <c r="K38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  <row r="39" spans="1:22" ht="15" customHeight="1">
      <c r="A39" s="22"/>
      <c r="B39" s="17"/>
      <c r="C39" s="17"/>
      <c r="D39" s="17"/>
      <c r="E39" s="17"/>
      <c r="F39" s="17"/>
      <c r="G39" s="17"/>
      <c r="H39" s="17"/>
      <c r="I39" s="18"/>
      <c r="J39" s="30"/>
      <c r="K39"/>
      <c r="L39" s="89"/>
      <c r="M39" s="89" t="str">
        <f>"%paid @ "&amp;V23</f>
        <v>%paid @ 48</v>
      </c>
      <c r="N39" s="89"/>
      <c r="O39" s="229" t="s">
        <v>33</v>
      </c>
      <c r="P39" s="229">
        <v>1</v>
      </c>
      <c r="Q39" s="269" t="s">
        <v>35</v>
      </c>
      <c r="R39" s="89" t="str">
        <f>V23&amp; "-ultimate CDF"</f>
        <v>48-ultimate CDF</v>
      </c>
      <c r="S39" s="89"/>
      <c r="T39" s="89"/>
      <c r="U39" s="89"/>
      <c r="V39" s="89"/>
    </row>
    <row r="40" spans="1:22" ht="15" customHeight="1">
      <c r="A40" s="22"/>
      <c r="B40" s="17"/>
      <c r="C40" s="17"/>
      <c r="D40" s="17"/>
      <c r="E40" s="17"/>
      <c r="F40" s="17"/>
      <c r="G40" s="17"/>
      <c r="H40" s="17"/>
      <c r="I40" s="18"/>
      <c r="J40" s="30"/>
      <c r="K40" s="35"/>
      <c r="L40" s="89"/>
      <c r="M40" s="89"/>
      <c r="N40" s="89"/>
      <c r="O40" s="229" t="s">
        <v>33</v>
      </c>
      <c r="P40" s="229">
        <v>1</v>
      </c>
      <c r="Q40" s="269" t="s">
        <v>35</v>
      </c>
      <c r="R40" s="320">
        <f>VLOOKUP(V23,B32:E37,4,FALSE)</f>
        <v>1.02</v>
      </c>
      <c r="S40" s="89"/>
      <c r="T40" s="89"/>
      <c r="U40" s="89"/>
      <c r="V40" s="89"/>
    </row>
    <row r="41" spans="1:22" ht="15" customHeight="1" thickBot="1">
      <c r="A41" s="24"/>
      <c r="B41" s="31"/>
      <c r="C41" s="31"/>
      <c r="D41" s="31"/>
      <c r="E41" s="31"/>
      <c r="F41" s="31"/>
      <c r="G41" s="31"/>
      <c r="H41" s="31"/>
      <c r="I41" s="32"/>
      <c r="J41" s="30"/>
      <c r="K41" s="89"/>
      <c r="L41" s="89"/>
      <c r="M41" s="89"/>
      <c r="N41" s="89"/>
      <c r="O41" s="229" t="s">
        <v>33</v>
      </c>
      <c r="P41" s="429">
        <f>P40/R40</f>
        <v>0.98039215686274506</v>
      </c>
      <c r="Q41" s="89"/>
      <c r="R41" s="89"/>
      <c r="S41" s="89"/>
      <c r="T41" s="89"/>
      <c r="U41" s="89"/>
      <c r="V41" s="89"/>
    </row>
    <row r="42" spans="1:22" ht="15" customHeight="1">
      <c r="J42" s="30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</row>
    <row r="43" spans="1:22" ht="15" customHeight="1">
      <c r="J43" s="30"/>
      <c r="L43" s="89"/>
      <c r="M43" s="260" t="str">
        <f>"%unpaid @ "&amp;E30</f>
        <v>%unpaid @ 36</v>
      </c>
      <c r="N43" s="89"/>
      <c r="O43" s="229" t="s">
        <v>33</v>
      </c>
      <c r="P43" s="229">
        <v>1</v>
      </c>
      <c r="Q43" s="269" t="s">
        <v>123</v>
      </c>
      <c r="R43" s="89" t="str">
        <f>"%paid @ "&amp;E30</f>
        <v>%paid @ 36</v>
      </c>
      <c r="S43" s="89"/>
      <c r="T43" s="89"/>
      <c r="U43" s="89"/>
      <c r="V43" s="89"/>
    </row>
    <row r="44" spans="1:22" ht="15" customHeight="1">
      <c r="J44" s="30"/>
      <c r="L44" s="89"/>
      <c r="M44" s="89"/>
      <c r="N44" s="89"/>
      <c r="O44" s="229" t="s">
        <v>33</v>
      </c>
      <c r="P44" s="229">
        <v>1</v>
      </c>
      <c r="Q44" s="269" t="s">
        <v>123</v>
      </c>
      <c r="R44" s="428">
        <f>P37</f>
        <v>0.89285714285714279</v>
      </c>
      <c r="S44" s="89"/>
      <c r="T44" s="89"/>
      <c r="U44" s="89"/>
      <c r="V44" s="89"/>
    </row>
    <row r="45" spans="1:22" ht="15" customHeight="1">
      <c r="J45" s="30"/>
      <c r="L45" s="89"/>
      <c r="M45" s="89"/>
      <c r="N45" s="89"/>
      <c r="O45" s="229" t="s">
        <v>33</v>
      </c>
      <c r="P45" s="429">
        <f>P44-R44</f>
        <v>0.10714285714285721</v>
      </c>
      <c r="Q45" s="89"/>
      <c r="R45" s="89"/>
      <c r="S45" s="89"/>
      <c r="T45" s="89"/>
      <c r="U45" s="89"/>
      <c r="V45" s="89"/>
    </row>
    <row r="46" spans="1:22" ht="15" customHeight="1">
      <c r="J46" s="30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</row>
    <row r="47" spans="1:22" ht="15" customHeight="1">
      <c r="J47" s="30"/>
      <c r="L47" s="233" t="s">
        <v>152</v>
      </c>
      <c r="M47" s="89" t="s">
        <v>315</v>
      </c>
      <c r="N47" s="89"/>
      <c r="O47" s="89"/>
      <c r="P47" s="89"/>
      <c r="Q47" s="89"/>
      <c r="R47" s="89"/>
      <c r="S47" s="89"/>
      <c r="T47" s="89"/>
      <c r="U47" s="89"/>
      <c r="V47" s="89"/>
    </row>
    <row r="48" spans="1:22" ht="15" customHeight="1">
      <c r="J48" s="30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  <row r="49" spans="2:22" ht="15" customHeight="1">
      <c r="J49" s="30"/>
      <c r="L49" s="89"/>
      <c r="M49" s="45" t="s">
        <v>316</v>
      </c>
      <c r="N49" s="89"/>
      <c r="O49" s="229" t="s">
        <v>33</v>
      </c>
      <c r="P49" s="89" t="str">
        <f>M31&amp;" x ( "&amp;M39&amp;" - "&amp;M35&amp;" )  /  ("&amp;M43&amp;" )"</f>
        <v>unpaid @ 36 x ( %paid @ 48 - %paid @ 36 )  /  (%unpaid @ 36 )</v>
      </c>
      <c r="Q49" s="89"/>
      <c r="R49" s="89"/>
      <c r="S49" s="89"/>
      <c r="T49" s="89"/>
      <c r="U49" s="89"/>
      <c r="V49" s="89"/>
    </row>
    <row r="50" spans="2:22" ht="15" customHeight="1">
      <c r="J50" s="30"/>
      <c r="L50" s="89"/>
      <c r="M50" s="89"/>
      <c r="N50" s="89"/>
      <c r="O50" s="229" t="s">
        <v>33</v>
      </c>
      <c r="P50" s="229">
        <f>P33</f>
        <v>1218</v>
      </c>
      <c r="Q50" s="318" t="s">
        <v>317</v>
      </c>
      <c r="R50" s="429">
        <f>P41</f>
        <v>0.98039215686274506</v>
      </c>
      <c r="S50" s="229" t="s">
        <v>123</v>
      </c>
      <c r="T50" s="428">
        <f>P37</f>
        <v>0.89285714285714279</v>
      </c>
      <c r="U50" s="89" t="s">
        <v>318</v>
      </c>
      <c r="V50" s="429">
        <f>P45</f>
        <v>0.10714285714285721</v>
      </c>
    </row>
    <row r="51" spans="2:22" ht="15" customHeight="1">
      <c r="J51" s="30"/>
      <c r="L51" s="89"/>
      <c r="M51" s="89"/>
      <c r="N51" s="89"/>
      <c r="O51" s="229" t="s">
        <v>33</v>
      </c>
      <c r="P51" s="430">
        <f>P50*(R50-T50)/V50</f>
        <v>995.09803921568584</v>
      </c>
      <c r="Q51" s="89"/>
      <c r="R51" s="89"/>
      <c r="S51" s="89"/>
      <c r="T51" s="89"/>
      <c r="U51" s="89"/>
      <c r="V51" s="89"/>
    </row>
    <row r="52" spans="2:22" ht="15" customHeight="1">
      <c r="J52" s="30"/>
    </row>
    <row r="53" spans="2:22" ht="15" customHeight="1">
      <c r="J53" s="30"/>
    </row>
    <row r="54" spans="2:22" ht="1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spans="2:22" ht="15" customHeight="1">
      <c r="J55" s="30"/>
    </row>
    <row r="56" spans="2:22" ht="15" customHeight="1">
      <c r="J56" s="30"/>
      <c r="K56" s="89"/>
    </row>
    <row r="57" spans="2:22" ht="15" customHeight="1">
      <c r="J57" s="30"/>
      <c r="K57" s="89"/>
    </row>
    <row r="58" spans="2:22" ht="15" customHeight="1">
      <c r="J58" s="30"/>
      <c r="K58" s="89"/>
    </row>
    <row r="59" spans="2:22" ht="15" customHeight="1">
      <c r="J59" s="30"/>
      <c r="K59" s="89"/>
    </row>
    <row r="60" spans="2:22" ht="15" customHeight="1">
      <c r="J60" s="30"/>
      <c r="K60" s="89"/>
    </row>
    <row r="61" spans="2:22" ht="15" customHeight="1">
      <c r="J61" s="30"/>
      <c r="K61" s="89"/>
    </row>
    <row r="62" spans="2:22" ht="15" customHeight="1">
      <c r="J62" s="30"/>
      <c r="K62" s="89"/>
    </row>
    <row r="63" spans="2:22" ht="15" customHeight="1">
      <c r="J63" s="30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</row>
    <row r="64" spans="2:22" ht="15" customHeight="1">
      <c r="J64" s="30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</row>
    <row r="65" spans="10:22" ht="15" customHeight="1">
      <c r="J65" s="30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</row>
    <row r="66" spans="10:22" ht="15" customHeight="1">
      <c r="J66" s="30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</row>
    <row r="67" spans="10:22" ht="15" customHeight="1">
      <c r="J67" s="30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</row>
    <row r="68" spans="10:22" ht="15" customHeight="1">
      <c r="J68" s="30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</row>
    <row r="69" spans="10:22" ht="15" customHeight="1">
      <c r="J69" s="30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</row>
    <row r="70" spans="10:22" ht="15" customHeight="1">
      <c r="J70" s="30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155"/>
    </row>
    <row r="71" spans="10:22" ht="15" customHeight="1">
      <c r="J71" s="30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155"/>
    </row>
    <row r="72" spans="10:22" ht="15" customHeight="1">
      <c r="J72" s="30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155"/>
    </row>
    <row r="73" spans="10:22" ht="15" customHeight="1">
      <c r="J73" s="30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155"/>
    </row>
    <row r="74" spans="10:22" ht="15" customHeight="1">
      <c r="J74" s="30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155"/>
    </row>
    <row r="75" spans="10:22" ht="15" customHeight="1">
      <c r="J75" s="30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155"/>
    </row>
    <row r="76" spans="10:22" ht="15" customHeight="1">
      <c r="J76" s="30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155"/>
    </row>
    <row r="77" spans="10:22" ht="15" customHeight="1">
      <c r="J77" s="30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155"/>
    </row>
    <row r="78" spans="10:22" ht="15" customHeight="1">
      <c r="J78" s="30"/>
      <c r="K78"/>
      <c r="L78"/>
      <c r="M78"/>
      <c r="N78"/>
      <c r="O78"/>
      <c r="P78"/>
      <c r="Q78"/>
      <c r="R78"/>
      <c r="S78"/>
      <c r="T78"/>
      <c r="U78"/>
    </row>
    <row r="79" spans="10:22" ht="15" customHeight="1">
      <c r="J79" s="30"/>
      <c r="K79"/>
      <c r="L79"/>
      <c r="M79"/>
      <c r="N79"/>
      <c r="O79"/>
      <c r="P79"/>
      <c r="Q79"/>
      <c r="R79"/>
      <c r="S79"/>
      <c r="T79"/>
      <c r="U79"/>
    </row>
    <row r="80" spans="10:22" ht="15" customHeight="1">
      <c r="J80" s="30"/>
      <c r="K80"/>
      <c r="L80"/>
      <c r="M80"/>
      <c r="N80"/>
      <c r="O80"/>
      <c r="P80"/>
      <c r="Q80"/>
      <c r="R80"/>
      <c r="S80"/>
      <c r="T80"/>
      <c r="U80"/>
    </row>
    <row r="81" spans="2:21" ht="15" customHeight="1">
      <c r="J81" s="30"/>
      <c r="K81"/>
      <c r="L81"/>
      <c r="M81"/>
      <c r="N81"/>
      <c r="O81"/>
      <c r="P81"/>
      <c r="Q81"/>
      <c r="R81"/>
      <c r="S81"/>
      <c r="T81"/>
      <c r="U81"/>
    </row>
    <row r="82" spans="2:21" ht="15" customHeight="1">
      <c r="J82" s="30"/>
      <c r="K82"/>
      <c r="L82"/>
      <c r="M82"/>
      <c r="N82"/>
      <c r="O82"/>
      <c r="P82"/>
      <c r="Q82"/>
      <c r="R82"/>
      <c r="S82"/>
      <c r="T82"/>
      <c r="U82"/>
    </row>
    <row r="83" spans="2:21" ht="15" customHeight="1">
      <c r="J83" s="30"/>
      <c r="K83"/>
      <c r="L83"/>
      <c r="M83"/>
      <c r="N83"/>
      <c r="O83"/>
      <c r="P83"/>
      <c r="Q83"/>
      <c r="R83"/>
      <c r="S83"/>
      <c r="T83"/>
      <c r="U83"/>
    </row>
    <row r="84" spans="2:21" ht="15" customHeight="1">
      <c r="J84" s="30"/>
      <c r="K84"/>
      <c r="L84"/>
      <c r="M84"/>
      <c r="N84"/>
      <c r="O84"/>
      <c r="P84"/>
      <c r="Q84"/>
      <c r="R84"/>
      <c r="S84"/>
      <c r="T84"/>
      <c r="U84"/>
    </row>
    <row r="85" spans="2:21" ht="15" customHeight="1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</row>
    <row r="86" spans="2:21" ht="15" customHeight="1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</row>
    <row r="87" spans="2:21" ht="15" customHeight="1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</row>
    <row r="88" spans="2:21" ht="15" customHeight="1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</row>
    <row r="89" spans="2:21" ht="15" customHeight="1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</row>
    <row r="90" spans="2:21" ht="15" customHeight="1">
      <c r="B90" s="30"/>
      <c r="C90" s="30"/>
      <c r="D90" s="30"/>
      <c r="E90" s="30"/>
      <c r="F90" s="30"/>
      <c r="G90" s="30"/>
      <c r="H90" s="30"/>
      <c r="I90" s="30"/>
      <c r="J90" s="30"/>
    </row>
    <row r="91" spans="2:21" ht="15" customHeight="1">
      <c r="B91" s="30"/>
      <c r="C91" s="30"/>
      <c r="D91" s="30"/>
      <c r="E91" s="30"/>
      <c r="F91" s="30"/>
      <c r="G91" s="30"/>
      <c r="H91" s="30"/>
      <c r="I91" s="30"/>
      <c r="J91" s="30"/>
    </row>
    <row r="92" spans="2:21" ht="15" customHeight="1">
      <c r="B92" s="30"/>
      <c r="C92" s="30"/>
      <c r="D92" s="30"/>
      <c r="E92" s="30"/>
      <c r="F92" s="30"/>
      <c r="G92" s="30"/>
      <c r="H92" s="30"/>
      <c r="I92" s="30"/>
      <c r="J92" s="30"/>
    </row>
    <row r="93" spans="2:21" ht="15" customHeight="1">
      <c r="B93" s="30"/>
      <c r="C93" s="30"/>
      <c r="D93" s="30"/>
      <c r="E93" s="30"/>
      <c r="F93" s="30"/>
      <c r="G93" s="30"/>
      <c r="H93" s="30"/>
      <c r="I93" s="30"/>
      <c r="J93" s="30"/>
    </row>
    <row r="94" spans="2:21" ht="15" customHeight="1">
      <c r="B94" s="30"/>
      <c r="C94" s="30"/>
      <c r="D94" s="30"/>
      <c r="E94" s="30"/>
      <c r="F94" s="30"/>
      <c r="G94" s="30"/>
      <c r="H94" s="30"/>
      <c r="I94" s="30"/>
      <c r="J94" s="30"/>
    </row>
    <row r="95" spans="2:21" ht="15" customHeight="1">
      <c r="B95" s="30"/>
      <c r="C95" s="30"/>
      <c r="D95" s="30"/>
      <c r="E95" s="30"/>
      <c r="F95" s="30"/>
      <c r="G95" s="30"/>
      <c r="H95" s="30"/>
      <c r="I95" s="30"/>
      <c r="J95" s="30"/>
    </row>
    <row r="96" spans="2:21" ht="1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spans="2:10" ht="1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spans="2:10" ht="1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spans="2:10" ht="1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spans="2:10" ht="1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2:10" ht="15" customHeight="1"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2:10" ht="15" customHeight="1"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2:10" ht="15" customHeight="1"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2:10" ht="15" customHeight="1"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2:10" ht="15" customHeight="1"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2:10" ht="15" customHeight="1"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2:10" ht="15" customHeight="1"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2:10" ht="15" customHeight="1"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2:10" ht="15" customHeight="1"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2:10" ht="15" customHeight="1"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2:10" ht="15" customHeight="1"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2:10" ht="15" customHeight="1"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2:10" ht="15" customHeight="1"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2:10" ht="15" customHeight="1"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2:10" ht="15" customHeight="1"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2:10" ht="15" customHeight="1"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2:10" ht="15" customHeight="1"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2:10" ht="15" customHeight="1"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2:10" ht="15" customHeight="1"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2:10" ht="15" customHeight="1"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2:10" ht="15" customHeight="1"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2:10" ht="15" customHeight="1"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2:10" ht="15" customHeight="1"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2:10" ht="15" customHeight="1"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2:10" ht="15" customHeight="1"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2:10" ht="15" customHeight="1"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2:10" ht="15" customHeight="1"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2:10" ht="15" customHeight="1"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2:10" ht="15" customHeight="1"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2:10" ht="15" customHeight="1"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2:10" ht="15" customHeight="1"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2:10" ht="15" customHeight="1"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2:10" ht="15" customHeight="1"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2:10" ht="15" customHeight="1"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2:10" ht="15" customHeight="1"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2:10" ht="15" customHeight="1"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2:10" ht="15" customHeight="1"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2:10" ht="15" customHeight="1"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2:10" ht="15" customHeight="1"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2:10" ht="15" customHeight="1">
      <c r="B140" s="30"/>
      <c r="C140" s="30"/>
      <c r="D140" s="30"/>
      <c r="E140" s="30"/>
      <c r="F140" s="30"/>
      <c r="G140" s="30"/>
      <c r="H140" s="30"/>
      <c r="I140" s="30"/>
      <c r="J140" s="30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O123"/>
  <sheetViews>
    <sheetView workbookViewId="0"/>
  </sheetViews>
  <sheetFormatPr defaultColWidth="9.140625" defaultRowHeight="15"/>
  <cols>
    <col min="1" max="1" width="9.140625" style="21"/>
    <col min="2" max="2" width="16" style="21" customWidth="1"/>
    <col min="3" max="12" width="8.7109375" style="21" customWidth="1"/>
    <col min="13" max="14" width="11.140625" style="21" customWidth="1"/>
    <col min="15" max="16384" width="9.140625" style="21"/>
  </cols>
  <sheetData>
    <row r="1" spans="1:28">
      <c r="A1" s="7">
        <v>29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1028" t="s">
        <v>24</v>
      </c>
      <c r="N1" s="1029"/>
      <c r="P1" s="1" t="s">
        <v>32</v>
      </c>
      <c r="Q1" s="46" t="str">
        <f>VLOOKUP(A1,'Point Grid'!$L$8:$T$54,9,FALSE)</f>
        <v>Reserving - Chap 16: ALAE</v>
      </c>
      <c r="R1"/>
      <c r="S1"/>
      <c r="T1"/>
      <c r="U1"/>
      <c r="V1"/>
      <c r="W1"/>
      <c r="X1"/>
      <c r="Y1"/>
      <c r="Z1"/>
    </row>
    <row r="2" spans="1:28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3"/>
      <c r="P2" s="1"/>
      <c r="Q2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</row>
    <row r="3" spans="1:28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30"/>
      <c r="P3" s="41" t="s">
        <v>2</v>
      </c>
      <c r="Q3" s="157" t="s">
        <v>321</v>
      </c>
      <c r="R3" s="522" t="s">
        <v>896</v>
      </c>
      <c r="S3" s="522"/>
      <c r="T3" s="522"/>
      <c r="U3" s="522"/>
      <c r="V3" s="522"/>
      <c r="W3" s="522"/>
      <c r="X3" s="522"/>
      <c r="Y3" s="522"/>
      <c r="Z3" s="522"/>
      <c r="AA3" s="522"/>
      <c r="AB3" s="510"/>
    </row>
    <row r="4" spans="1:28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30"/>
      <c r="P4" s="41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10"/>
    </row>
    <row r="5" spans="1:28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30"/>
      <c r="P5" s="41"/>
      <c r="Q5" s="526"/>
      <c r="R5" s="335" t="s">
        <v>83</v>
      </c>
      <c r="S5" s="58">
        <v>12</v>
      </c>
      <c r="T5" s="58">
        <v>24</v>
      </c>
      <c r="U5" s="58">
        <v>36</v>
      </c>
      <c r="V5" s="58">
        <v>48</v>
      </c>
      <c r="W5" s="526"/>
      <c r="X5" s="526"/>
      <c r="Y5" s="526"/>
      <c r="Z5" s="526"/>
      <c r="AA5" s="526"/>
      <c r="AB5" s="510"/>
    </row>
    <row r="6" spans="1:28">
      <c r="A6" s="25" t="s">
        <v>2</v>
      </c>
      <c r="B6" s="143" t="s">
        <v>883</v>
      </c>
      <c r="C6" s="143"/>
      <c r="D6" s="143"/>
      <c r="E6" s="143"/>
      <c r="F6" s="143"/>
      <c r="G6" s="143"/>
      <c r="H6" s="143"/>
      <c r="I6" s="143"/>
      <c r="J6" s="143"/>
      <c r="K6" s="143"/>
      <c r="L6" s="181"/>
      <c r="M6" s="17"/>
      <c r="N6" s="18"/>
      <c r="P6" s="41"/>
      <c r="Q6" s="526"/>
      <c r="R6" s="437">
        <f>R7-1</f>
        <v>2020</v>
      </c>
      <c r="S6" s="526">
        <f>C11-I11</f>
        <v>4440</v>
      </c>
      <c r="T6" s="526">
        <f>D11-J11</f>
        <v>7415</v>
      </c>
      <c r="U6" s="526">
        <f>E11-K11</f>
        <v>8186</v>
      </c>
      <c r="V6" s="880">
        <f>F11-L11</f>
        <v>8440</v>
      </c>
      <c r="W6" s="526"/>
      <c r="X6" s="526"/>
      <c r="Y6" s="526"/>
      <c r="Z6" s="526"/>
      <c r="AA6" s="526"/>
      <c r="AB6" s="510"/>
    </row>
    <row r="7" spans="1:28" ht="15.75" thickBot="1">
      <c r="A7" s="9">
        <f>INDEX('Point Grid'!$C$8:$I$54,MATCH($A$1,'Point Grid'!$A$8:$A$54,0),MATCH(A6,'Point Grid'!$C$7:$I$7,0))</f>
        <v>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81"/>
      <c r="M7" s="17"/>
      <c r="N7" s="18"/>
      <c r="P7" s="41"/>
      <c r="Q7" s="526"/>
      <c r="R7" s="437">
        <f>R8-1</f>
        <v>2021</v>
      </c>
      <c r="S7" s="526">
        <f>C12-I12</f>
        <v>8700</v>
      </c>
      <c r="T7" s="526">
        <f>D12-J12</f>
        <v>14529</v>
      </c>
      <c r="U7" s="880">
        <f>E12-K12</f>
        <v>16040</v>
      </c>
      <c r="V7" s="526"/>
      <c r="W7" s="526"/>
      <c r="X7" s="526"/>
      <c r="Y7" s="526"/>
      <c r="Z7" s="526"/>
      <c r="AA7" s="526"/>
      <c r="AB7" s="510"/>
    </row>
    <row r="8" spans="1:28" ht="15.75" thickBot="1">
      <c r="A8" s="5"/>
      <c r="B8" s="57" t="s">
        <v>884</v>
      </c>
      <c r="C8" s="57"/>
      <c r="D8" s="57"/>
      <c r="E8" s="57"/>
      <c r="F8" s="57"/>
      <c r="G8" s="57"/>
      <c r="H8" s="57" t="s">
        <v>885</v>
      </c>
      <c r="I8" s="57"/>
      <c r="J8" s="57"/>
      <c r="K8" s="57"/>
      <c r="L8" s="57"/>
      <c r="M8" s="17"/>
      <c r="N8" s="18"/>
      <c r="P8"/>
      <c r="Q8" s="526"/>
      <c r="R8" s="437">
        <f>R9-1</f>
        <v>2022</v>
      </c>
      <c r="S8" s="526">
        <f>C13-I13</f>
        <v>7700</v>
      </c>
      <c r="T8" s="880">
        <f>D13-J13</f>
        <v>12859</v>
      </c>
      <c r="U8" s="526"/>
      <c r="V8" s="526"/>
      <c r="W8" s="526"/>
      <c r="X8" s="526"/>
      <c r="Y8" s="526"/>
      <c r="Z8" s="526"/>
      <c r="AA8" s="526"/>
      <c r="AB8" s="510"/>
    </row>
    <row r="9" spans="1:28">
      <c r="A9" s="25"/>
      <c r="B9" s="232" t="s">
        <v>886</v>
      </c>
      <c r="C9" s="57"/>
      <c r="D9" s="57"/>
      <c r="E9" s="57"/>
      <c r="F9" s="57"/>
      <c r="G9" s="57"/>
      <c r="H9" s="232" t="s">
        <v>887</v>
      </c>
      <c r="I9" s="57"/>
      <c r="J9" s="57"/>
      <c r="K9" s="57"/>
      <c r="L9" s="57"/>
      <c r="M9" s="17"/>
      <c r="N9" s="18"/>
      <c r="P9" s="41"/>
      <c r="Q9" s="526"/>
      <c r="R9" s="437">
        <f>B14</f>
        <v>2023</v>
      </c>
      <c r="S9" s="880">
        <f>C14-I14</f>
        <v>2630</v>
      </c>
      <c r="T9" s="526"/>
      <c r="U9" s="526"/>
      <c r="V9" s="526"/>
      <c r="W9" s="526"/>
      <c r="X9" s="526"/>
      <c r="Y9" s="526"/>
      <c r="Z9" s="526"/>
      <c r="AA9" s="526"/>
      <c r="AB9" s="510"/>
    </row>
    <row r="10" spans="1:28">
      <c r="A10" s="25"/>
      <c r="B10" s="470" t="s">
        <v>83</v>
      </c>
      <c r="C10" s="263">
        <v>12</v>
      </c>
      <c r="D10" s="263">
        <v>24</v>
      </c>
      <c r="E10" s="263">
        <v>36</v>
      </c>
      <c r="F10" s="263">
        <v>48</v>
      </c>
      <c r="G10" s="57"/>
      <c r="H10" s="470" t="s">
        <v>83</v>
      </c>
      <c r="I10" s="263">
        <v>12</v>
      </c>
      <c r="J10" s="263">
        <v>24</v>
      </c>
      <c r="K10" s="263">
        <v>36</v>
      </c>
      <c r="L10" s="263">
        <v>48</v>
      </c>
      <c r="M10" s="17"/>
      <c r="N10" s="18"/>
      <c r="P10" s="41"/>
      <c r="Q10" s="526"/>
      <c r="R10" s="526"/>
      <c r="S10" s="526"/>
      <c r="T10" s="526"/>
      <c r="U10" s="526"/>
      <c r="V10" s="526"/>
      <c r="W10" s="526"/>
      <c r="X10" s="526"/>
      <c r="Y10" s="526"/>
      <c r="Z10" s="526"/>
      <c r="AA10" s="526"/>
      <c r="AB10" s="510"/>
    </row>
    <row r="11" spans="1:28">
      <c r="A11" s="25"/>
      <c r="B11" s="471">
        <v>2020</v>
      </c>
      <c r="C11" s="472">
        <v>4600</v>
      </c>
      <c r="D11" s="472">
        <v>7575</v>
      </c>
      <c r="E11" s="472">
        <v>10046</v>
      </c>
      <c r="F11" s="472">
        <v>10300</v>
      </c>
      <c r="G11" s="57"/>
      <c r="H11" s="471">
        <v>2020</v>
      </c>
      <c r="I11" s="472">
        <v>160</v>
      </c>
      <c r="J11" s="472">
        <v>160</v>
      </c>
      <c r="K11" s="472">
        <v>1860</v>
      </c>
      <c r="L11" s="472">
        <v>1860</v>
      </c>
      <c r="M11" s="17"/>
      <c r="N11" s="18"/>
      <c r="P11" s="41"/>
      <c r="Q11" s="157" t="s">
        <v>326</v>
      </c>
      <c r="R11" s="522" t="s">
        <v>897</v>
      </c>
      <c r="S11" s="522"/>
      <c r="T11" s="522"/>
      <c r="U11" s="522"/>
      <c r="V11" s="522"/>
      <c r="W11" s="522"/>
      <c r="X11" s="522"/>
      <c r="Y11" s="522"/>
      <c r="Z11" s="510"/>
      <c r="AA11" s="522"/>
      <c r="AB11" s="510"/>
    </row>
    <row r="12" spans="1:28">
      <c r="A12" s="25"/>
      <c r="B12" s="471">
        <v>2021</v>
      </c>
      <c r="C12" s="472">
        <v>8700</v>
      </c>
      <c r="D12" s="472">
        <v>14529</v>
      </c>
      <c r="E12" s="472">
        <v>17190</v>
      </c>
      <c r="F12" s="57"/>
      <c r="G12" s="57"/>
      <c r="H12" s="471">
        <v>2021</v>
      </c>
      <c r="I12" s="472">
        <v>0</v>
      </c>
      <c r="J12" s="472">
        <v>0</v>
      </c>
      <c r="K12" s="472">
        <v>1150</v>
      </c>
      <c r="L12" s="472"/>
      <c r="M12" s="17"/>
      <c r="N12" s="18"/>
      <c r="P12" s="41"/>
      <c r="Q12" s="522"/>
      <c r="R12" s="522"/>
      <c r="S12" s="522"/>
      <c r="T12" s="522"/>
      <c r="U12" s="522"/>
      <c r="V12" s="522"/>
      <c r="W12" s="522"/>
      <c r="X12" s="522"/>
      <c r="Y12" s="522"/>
      <c r="Z12" s="510"/>
      <c r="AA12" s="522"/>
      <c r="AB12" s="510"/>
    </row>
    <row r="13" spans="1:28">
      <c r="A13" s="25"/>
      <c r="B13" s="471">
        <v>2022</v>
      </c>
      <c r="C13" s="472">
        <v>7700</v>
      </c>
      <c r="D13" s="472">
        <v>13729</v>
      </c>
      <c r="E13" s="57"/>
      <c r="F13" s="57"/>
      <c r="G13" s="57"/>
      <c r="H13" s="471">
        <v>2022</v>
      </c>
      <c r="I13" s="472">
        <v>0</v>
      </c>
      <c r="J13" s="472">
        <v>870</v>
      </c>
      <c r="K13" s="472"/>
      <c r="L13" s="472"/>
      <c r="M13" s="17"/>
      <c r="N13" s="18"/>
      <c r="P13" s="41"/>
      <c r="Q13" s="522"/>
      <c r="R13" s="335" t="s">
        <v>83</v>
      </c>
      <c r="S13" s="58" t="str">
        <f>S5&amp;"-"&amp;T5</f>
        <v>12-24</v>
      </c>
      <c r="T13" s="58" t="str">
        <f>T5&amp;"-"&amp;U5</f>
        <v>24-36</v>
      </c>
      <c r="U13" s="58" t="str">
        <f>U5&amp;"-"&amp;V5</f>
        <v>36-48</v>
      </c>
      <c r="V13" s="58" t="str">
        <f>V5&amp;"-"&amp;G10</f>
        <v>48-</v>
      </c>
      <c r="W13" s="201"/>
      <c r="X13" s="440"/>
      <c r="Y13" s="510"/>
      <c r="Z13" s="510"/>
      <c r="AA13" s="510"/>
      <c r="AB13" s="510"/>
    </row>
    <row r="14" spans="1:28">
      <c r="A14" s="25"/>
      <c r="B14" s="471">
        <v>2023</v>
      </c>
      <c r="C14" s="472">
        <v>2800</v>
      </c>
      <c r="D14" s="57"/>
      <c r="E14" s="57"/>
      <c r="F14" s="57"/>
      <c r="G14" s="57"/>
      <c r="H14" s="471">
        <v>2023</v>
      </c>
      <c r="I14" s="472">
        <v>170</v>
      </c>
      <c r="J14" s="472"/>
      <c r="K14" s="472"/>
      <c r="L14" s="472"/>
      <c r="M14" s="17"/>
      <c r="N14" s="18"/>
      <c r="P14" s="41"/>
      <c r="Q14" s="522"/>
      <c r="R14" s="437">
        <f>R6</f>
        <v>2020</v>
      </c>
      <c r="S14" s="441">
        <f>ROUND(IF(C6="additive",T6-S6,T6/S6),4)</f>
        <v>1.67</v>
      </c>
      <c r="T14" s="441">
        <f>ROUND(IF(C6="additive",U6-T6,U6/T6),4)</f>
        <v>1.1040000000000001</v>
      </c>
      <c r="U14" s="441">
        <f>ROUND(IF(C6="additive",V6-U6,V6/U6),4)</f>
        <v>1.0309999999999999</v>
      </c>
      <c r="V14" s="442"/>
      <c r="W14" s="46" t="s">
        <v>327</v>
      </c>
      <c r="X14" s="367" t="str">
        <f>IF(C6="additive","ADDITIVE ", "MULTIPLICATIVE ") &amp; "development"</f>
        <v>MULTIPLICATIVE development</v>
      </c>
      <c r="Y14" s="510"/>
      <c r="Z14" s="510"/>
      <c r="AA14" s="510"/>
      <c r="AB14" s="510"/>
    </row>
    <row r="15" spans="1:28">
      <c r="A15" s="25"/>
      <c r="B15" s="143"/>
      <c r="C15" s="143"/>
      <c r="D15" s="143"/>
      <c r="E15" s="143"/>
      <c r="F15" s="143"/>
      <c r="G15" s="143"/>
      <c r="H15" s="143"/>
      <c r="I15" s="143"/>
      <c r="J15" s="181"/>
      <c r="K15" s="181"/>
      <c r="L15" s="181"/>
      <c r="M15" s="17"/>
      <c r="N15" s="18"/>
      <c r="P15" s="41"/>
      <c r="Q15" s="522"/>
      <c r="R15" s="437">
        <f>R7</f>
        <v>2021</v>
      </c>
      <c r="S15" s="441">
        <f>ROUND(IF(C6="additive",T7-S7,T7/S7),4)</f>
        <v>1.67</v>
      </c>
      <c r="T15" s="441">
        <f>ROUND(IF(C6="additive",U7-T7,U7/T7),4)</f>
        <v>1.1040000000000001</v>
      </c>
      <c r="U15" s="443"/>
      <c r="V15" s="442"/>
      <c r="W15" s="522"/>
      <c r="X15" s="510"/>
      <c r="Y15" s="510"/>
      <c r="Z15" s="510"/>
      <c r="AA15" s="510"/>
      <c r="AB15" s="510"/>
    </row>
    <row r="16" spans="1:28">
      <c r="A16" s="25"/>
      <c r="B16" s="143"/>
      <c r="C16" s="143"/>
      <c r="D16" s="143"/>
      <c r="E16" s="143"/>
      <c r="F16" s="143"/>
      <c r="G16" s="143"/>
      <c r="H16" s="232"/>
      <c r="I16" s="143"/>
      <c r="J16" s="143"/>
      <c r="K16" s="143"/>
      <c r="L16" s="181"/>
      <c r="M16" s="17"/>
      <c r="N16" s="18"/>
      <c r="P16" s="41"/>
      <c r="Q16" s="522"/>
      <c r="R16" s="437">
        <f>R8</f>
        <v>2022</v>
      </c>
      <c r="S16" s="441">
        <f>ROUND(IF(C6="additive",T8-S8,T8/S8),4)</f>
        <v>1.67</v>
      </c>
      <c r="T16" s="441"/>
      <c r="U16" s="443"/>
      <c r="V16" s="442"/>
      <c r="W16" s="522"/>
      <c r="X16" s="510"/>
      <c r="Y16" s="510"/>
      <c r="Z16" s="510"/>
      <c r="AA16" s="510"/>
      <c r="AB16" s="510"/>
    </row>
    <row r="17" spans="1:28">
      <c r="A17" s="25"/>
      <c r="B17" s="57" t="s">
        <v>888</v>
      </c>
      <c r="C17" s="143"/>
      <c r="D17" s="143"/>
      <c r="E17" s="143"/>
      <c r="F17" s="143"/>
      <c r="G17" s="143"/>
      <c r="H17" s="143" t="s">
        <v>889</v>
      </c>
      <c r="I17" s="143"/>
      <c r="J17" s="143"/>
      <c r="K17" s="143"/>
      <c r="L17" s="181"/>
      <c r="M17" s="17"/>
      <c r="N17" s="18"/>
      <c r="P17" s="41"/>
      <c r="Q17" s="522"/>
      <c r="R17" s="437">
        <f>B14</f>
        <v>2023</v>
      </c>
      <c r="S17" s="442"/>
      <c r="T17" s="442"/>
      <c r="U17" s="442"/>
      <c r="V17" s="442"/>
      <c r="W17" s="522"/>
      <c r="X17" s="510"/>
      <c r="Y17" s="510"/>
      <c r="Z17" s="510"/>
      <c r="AA17" s="510"/>
      <c r="AB17" s="510"/>
    </row>
    <row r="18" spans="1:28">
      <c r="A18" s="25"/>
      <c r="B18" s="232" t="s">
        <v>890</v>
      </c>
      <c r="C18" s="143"/>
      <c r="D18" s="143"/>
      <c r="E18" s="143"/>
      <c r="F18" s="143"/>
      <c r="G18" s="143"/>
      <c r="H18" s="232" t="s">
        <v>891</v>
      </c>
      <c r="I18" s="143"/>
      <c r="J18" s="143"/>
      <c r="K18" s="143"/>
      <c r="L18" s="181"/>
      <c r="M18" s="17"/>
      <c r="N18" s="18"/>
      <c r="P18" s="523"/>
      <c r="Q18" s="522"/>
      <c r="R18" s="874" t="s">
        <v>240</v>
      </c>
      <c r="S18" s="875">
        <f>ROUND(AVERAGE(S14:S16),4)</f>
        <v>1.67</v>
      </c>
      <c r="T18" s="876">
        <f>ROUND(AVERAGE(T14:T16),4)</f>
        <v>1.1040000000000001</v>
      </c>
      <c r="U18" s="876">
        <f>ROUND(AVERAGE(U14:U16),4)</f>
        <v>1.0309999999999999</v>
      </c>
      <c r="V18" s="444">
        <f>IF(C6="additive",0,1)</f>
        <v>1</v>
      </c>
      <c r="W18" s="46" t="s">
        <v>327</v>
      </c>
      <c r="X18" s="46" t="s">
        <v>873</v>
      </c>
      <c r="Y18" s="510"/>
      <c r="Z18" s="510"/>
      <c r="AA18" s="510"/>
      <c r="AB18" s="510"/>
    </row>
    <row r="19" spans="1:28">
      <c r="A19" s="25"/>
      <c r="B19" s="470" t="s">
        <v>83</v>
      </c>
      <c r="C19" s="199" t="s">
        <v>892</v>
      </c>
      <c r="D19" s="143"/>
      <c r="E19" s="143"/>
      <c r="F19" s="143"/>
      <c r="G19" s="143"/>
      <c r="H19" s="470" t="s">
        <v>83</v>
      </c>
      <c r="I19" s="199" t="s">
        <v>893</v>
      </c>
      <c r="J19" s="143"/>
      <c r="K19" s="143"/>
      <c r="L19" s="181"/>
      <c r="M19" s="17"/>
      <c r="N19" s="18"/>
      <c r="P19" s="523"/>
      <c r="Q19" s="522"/>
      <c r="R19" s="877" t="s">
        <v>329</v>
      </c>
      <c r="S19" s="878">
        <f>ROUND(IF(C6="additive",S18+T19,S18*T19),4)</f>
        <v>1.9008</v>
      </c>
      <c r="T19" s="878">
        <f>ROUND(IF(C6="additive",T18+U19,T18*U19),4)</f>
        <v>1.1382000000000001</v>
      </c>
      <c r="U19" s="878">
        <f>ROUND(IF(C6="additive",U18+V19,U18*V19),4)</f>
        <v>1.0309999999999999</v>
      </c>
      <c r="V19" s="878">
        <f>V18</f>
        <v>1</v>
      </c>
      <c r="W19" s="46" t="s">
        <v>327</v>
      </c>
      <c r="X19" s="367" t="s">
        <v>874</v>
      </c>
      <c r="Y19" s="510"/>
      <c r="Z19" s="510"/>
      <c r="AA19" s="510"/>
      <c r="AB19" s="510"/>
    </row>
    <row r="20" spans="1:28">
      <c r="A20" s="25"/>
      <c r="B20" s="471">
        <v>2020</v>
      </c>
      <c r="C20" s="218">
        <v>8200</v>
      </c>
      <c r="D20" s="143"/>
      <c r="E20" s="143"/>
      <c r="F20" s="143"/>
      <c r="G20" s="143"/>
      <c r="H20" s="471">
        <v>2020</v>
      </c>
      <c r="I20" s="218">
        <v>9500</v>
      </c>
      <c r="J20" s="143"/>
      <c r="K20" s="143"/>
      <c r="L20" s="181"/>
      <c r="M20" s="17"/>
      <c r="N20" s="18"/>
      <c r="P20" s="523"/>
      <c r="Q20" s="522"/>
      <c r="R20" s="881" t="s">
        <v>898</v>
      </c>
      <c r="S20" s="882">
        <f>ROUND(IF(C6="additive",S9+S19,S9*S19),0)</f>
        <v>4999</v>
      </c>
      <c r="T20" s="883">
        <f>ROUND(IF(C6="additive",T8+T19,T8*T19),0)</f>
        <v>14636</v>
      </c>
      <c r="U20" s="883">
        <f>ROUND(IF(C6="additive",U7+U19,U7*U19),0)</f>
        <v>16537</v>
      </c>
      <c r="V20" s="883">
        <f>ROUND(IF(C6="additive",V6+V19,V6*V19),0)</f>
        <v>8440</v>
      </c>
      <c r="W20" s="447" t="s">
        <v>327</v>
      </c>
      <c r="X20" s="543" t="s">
        <v>875</v>
      </c>
      <c r="Y20" s="543"/>
      <c r="Z20" s="543"/>
      <c r="AA20" s="543"/>
      <c r="AB20" s="510"/>
    </row>
    <row r="21" spans="1:28">
      <c r="A21" s="25"/>
      <c r="B21" s="471">
        <v>2021</v>
      </c>
      <c r="C21" s="218">
        <v>12000</v>
      </c>
      <c r="D21" s="143"/>
      <c r="E21" s="143"/>
      <c r="F21" s="143"/>
      <c r="G21" s="143"/>
      <c r="H21" s="471">
        <v>2021</v>
      </c>
      <c r="I21" s="218">
        <v>12000</v>
      </c>
      <c r="J21" s="143"/>
      <c r="K21" s="143"/>
      <c r="L21" s="181"/>
      <c r="M21" s="17"/>
      <c r="N21" s="18"/>
      <c r="P21" s="523"/>
      <c r="Q21" s="522"/>
      <c r="R21" s="884" t="s">
        <v>899</v>
      </c>
      <c r="S21" s="522"/>
      <c r="T21" s="522"/>
      <c r="U21" s="510"/>
      <c r="V21" s="510"/>
      <c r="W21" s="510"/>
      <c r="X21" s="510"/>
      <c r="Y21" s="510"/>
      <c r="Z21" s="510"/>
      <c r="AA21" s="510"/>
      <c r="AB21" s="510"/>
    </row>
    <row r="22" spans="1:28">
      <c r="A22" s="25"/>
      <c r="B22" s="471">
        <v>2022</v>
      </c>
      <c r="C22" s="218">
        <v>7600</v>
      </c>
      <c r="D22" s="143"/>
      <c r="E22" s="143"/>
      <c r="F22" s="143"/>
      <c r="G22" s="143"/>
      <c r="H22" s="471">
        <v>2022</v>
      </c>
      <c r="I22" s="218" t="s">
        <v>894</v>
      </c>
      <c r="J22" s="143"/>
      <c r="K22" s="143"/>
      <c r="L22" s="181"/>
      <c r="M22" s="17"/>
      <c r="N22" s="18"/>
      <c r="P22" s="523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10"/>
    </row>
    <row r="23" spans="1:28">
      <c r="A23" s="25"/>
      <c r="B23" s="471">
        <v>2023</v>
      </c>
      <c r="C23" s="218">
        <v>1100</v>
      </c>
      <c r="D23" s="143"/>
      <c r="E23" s="143"/>
      <c r="F23" s="143"/>
      <c r="G23" s="143"/>
      <c r="H23" s="471">
        <v>2023</v>
      </c>
      <c r="I23" s="218">
        <v>9500</v>
      </c>
      <c r="J23" s="143"/>
      <c r="K23" s="143"/>
      <c r="L23" s="181"/>
      <c r="M23" s="17"/>
      <c r="N23" s="18"/>
      <c r="P23" s="523"/>
      <c r="Q23" s="157" t="s">
        <v>335</v>
      </c>
      <c r="R23" s="522" t="s">
        <v>900</v>
      </c>
      <c r="S23" s="522"/>
      <c r="T23" s="522"/>
      <c r="U23" s="522"/>
      <c r="V23" s="522"/>
      <c r="W23" s="522"/>
      <c r="X23" s="522"/>
      <c r="Y23" s="522"/>
      <c r="Z23" s="522"/>
      <c r="AA23" s="522"/>
      <c r="AB23" s="510"/>
    </row>
    <row r="24" spans="1:28">
      <c r="A24" s="25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7"/>
      <c r="N24" s="18"/>
      <c r="P24" s="523"/>
      <c r="Q24" s="522"/>
      <c r="R24" s="522"/>
      <c r="S24" s="522"/>
      <c r="T24" s="522"/>
      <c r="U24" s="522"/>
      <c r="V24" s="522"/>
      <c r="W24" s="522"/>
      <c r="X24" s="522"/>
      <c r="Y24" s="522"/>
      <c r="Z24" s="522"/>
      <c r="AA24" s="522"/>
      <c r="AB24" s="510"/>
    </row>
    <row r="25" spans="1:28">
      <c r="A25" s="25"/>
      <c r="B25" s="196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7"/>
      <c r="N25" s="18"/>
      <c r="P25" s="523"/>
      <c r="Q25" s="522"/>
      <c r="R25" s="136"/>
      <c r="S25" s="885" t="s">
        <v>898</v>
      </c>
      <c r="T25" s="44" t="s">
        <v>901</v>
      </c>
      <c r="U25" s="44" t="s">
        <v>898</v>
      </c>
      <c r="V25" s="596" t="s">
        <v>902</v>
      </c>
      <c r="W25" s="44" t="s">
        <v>902</v>
      </c>
      <c r="X25" s="522"/>
      <c r="Y25" s="526"/>
      <c r="Z25" s="526"/>
      <c r="AA25" s="526"/>
      <c r="AB25" s="510"/>
    </row>
    <row r="26" spans="1:28">
      <c r="A26" s="25"/>
      <c r="B26" s="196" t="s">
        <v>895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7"/>
      <c r="N26" s="18"/>
      <c r="P26" s="523"/>
      <c r="Q26" s="526"/>
      <c r="R26" s="335" t="s">
        <v>83</v>
      </c>
      <c r="S26" s="886" t="s">
        <v>899</v>
      </c>
      <c r="T26" s="535" t="s">
        <v>893</v>
      </c>
      <c r="U26" s="535" t="s">
        <v>903</v>
      </c>
      <c r="V26" s="538" t="s">
        <v>262</v>
      </c>
      <c r="W26" s="535" t="s">
        <v>261</v>
      </c>
      <c r="X26" s="526"/>
      <c r="Y26" s="526"/>
      <c r="Z26" s="526"/>
      <c r="AA26" s="526"/>
      <c r="AB26" s="510"/>
    </row>
    <row r="27" spans="1:28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30"/>
      <c r="P27" s="523"/>
      <c r="Q27" s="526"/>
      <c r="R27" s="437">
        <f>R6</f>
        <v>2020</v>
      </c>
      <c r="S27" s="108">
        <f>V20</f>
        <v>8440</v>
      </c>
      <c r="T27" s="525">
        <f>I20</f>
        <v>9500</v>
      </c>
      <c r="U27" s="525">
        <f>MIN(S27,T27)</f>
        <v>8440</v>
      </c>
      <c r="V27" s="887">
        <f>C20</f>
        <v>8200</v>
      </c>
      <c r="W27" s="206">
        <f>MAX(0,U27-V27)</f>
        <v>240</v>
      </c>
      <c r="X27" s="46" t="s">
        <v>327</v>
      </c>
      <c r="Y27" s="216" t="s">
        <v>339</v>
      </c>
      <c r="Z27" s="526"/>
      <c r="AA27" s="526"/>
      <c r="AB27" s="510"/>
    </row>
    <row r="28" spans="1:28" ht="15.75" thickBot="1">
      <c r="A28" s="24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0"/>
      <c r="P28" s="523"/>
      <c r="Q28" s="526"/>
      <c r="R28" s="437">
        <f>R7</f>
        <v>2021</v>
      </c>
      <c r="S28" s="108">
        <f>U20</f>
        <v>16537</v>
      </c>
      <c r="T28" s="525">
        <f>I21</f>
        <v>12000</v>
      </c>
      <c r="U28" s="525">
        <f>MIN(S28,T28)</f>
        <v>12000</v>
      </c>
      <c r="V28" s="887">
        <f>C21</f>
        <v>12000</v>
      </c>
      <c r="W28" s="206">
        <f>MAX(0,U28-V28)</f>
        <v>0</v>
      </c>
      <c r="X28" s="46" t="s">
        <v>327</v>
      </c>
      <c r="Y28" s="216" t="s">
        <v>339</v>
      </c>
      <c r="Z28" s="526"/>
      <c r="AA28" s="526"/>
      <c r="AB28" s="510"/>
    </row>
    <row r="29" spans="1:28">
      <c r="O29" s="30"/>
      <c r="P29" s="523"/>
      <c r="Q29" s="526"/>
      <c r="R29" s="437">
        <f>R8</f>
        <v>2022</v>
      </c>
      <c r="S29" s="108">
        <f>T20</f>
        <v>14636</v>
      </c>
      <c r="T29" s="525" t="str">
        <f>I22</f>
        <v>none</v>
      </c>
      <c r="U29" s="525">
        <f>MIN(S29,T29)</f>
        <v>14636</v>
      </c>
      <c r="V29" s="887">
        <f>C22</f>
        <v>7600</v>
      </c>
      <c r="W29" s="206">
        <f>MAX(0,U29-V29)</f>
        <v>7036</v>
      </c>
      <c r="X29" s="46" t="s">
        <v>327</v>
      </c>
      <c r="Y29" s="216" t="s">
        <v>339</v>
      </c>
      <c r="Z29" s="526"/>
      <c r="AA29" s="526"/>
      <c r="AB29" s="510"/>
    </row>
    <row r="30" spans="1:28">
      <c r="O30" s="30"/>
      <c r="P30" s="523"/>
      <c r="Q30" s="526"/>
      <c r="R30" s="437">
        <f>R9</f>
        <v>2023</v>
      </c>
      <c r="S30" s="108">
        <f>S20</f>
        <v>4999</v>
      </c>
      <c r="T30" s="525">
        <f>I23</f>
        <v>9500</v>
      </c>
      <c r="U30" s="525">
        <f>MIN(S30,T30)</f>
        <v>4999</v>
      </c>
      <c r="V30" s="887">
        <f>C23</f>
        <v>1100</v>
      </c>
      <c r="W30" s="206">
        <f>MAX(0,U30-V30)</f>
        <v>3899</v>
      </c>
      <c r="X30" s="46" t="s">
        <v>327</v>
      </c>
      <c r="Y30" s="216" t="s">
        <v>339</v>
      </c>
      <c r="Z30" s="526"/>
      <c r="AA30" s="526"/>
      <c r="AB30" s="510"/>
    </row>
    <row r="31" spans="1:28">
      <c r="O31" s="30"/>
      <c r="P31" s="523"/>
      <c r="Q31" s="526"/>
      <c r="R31" s="211" t="s">
        <v>904</v>
      </c>
      <c r="S31" s="888"/>
      <c r="T31" s="130"/>
      <c r="U31" s="130"/>
      <c r="V31" s="131"/>
      <c r="W31" s="210">
        <f>SUM(W27:W30)</f>
        <v>11175</v>
      </c>
      <c r="X31" s="526"/>
      <c r="Y31" s="526"/>
      <c r="Z31" s="526"/>
      <c r="AA31" s="526"/>
      <c r="AB31" s="510"/>
    </row>
    <row r="32" spans="1:28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41"/>
      <c r="AB32" s="510"/>
    </row>
    <row r="33" spans="15:28">
      <c r="O33" s="30"/>
      <c r="P33" s="41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</row>
    <row r="34" spans="15:28">
      <c r="O34" s="30"/>
      <c r="P34" s="41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</row>
    <row r="35" spans="15:28">
      <c r="O35" s="30"/>
      <c r="P35" s="41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</row>
    <row r="36" spans="15:28">
      <c r="O36" s="30"/>
      <c r="P36" s="41"/>
      <c r="Q36" s="510"/>
      <c r="R36" s="510"/>
      <c r="S36" s="510"/>
      <c r="T36" s="510"/>
      <c r="U36" s="510"/>
      <c r="V36" s="510"/>
      <c r="W36" s="510"/>
      <c r="X36" s="510"/>
      <c r="Y36" s="510"/>
      <c r="Z36" s="510"/>
      <c r="AA36" s="510"/>
      <c r="AB36" s="510"/>
    </row>
    <row r="37" spans="15:28">
      <c r="O37" s="30"/>
      <c r="P37" s="41"/>
      <c r="Q37" s="510"/>
      <c r="R37" s="510"/>
      <c r="S37" s="510"/>
      <c r="T37" s="510"/>
      <c r="U37" s="510"/>
      <c r="V37" s="510"/>
      <c r="W37" s="510"/>
      <c r="X37" s="510"/>
      <c r="Y37" s="510"/>
      <c r="Z37" s="510"/>
      <c r="AA37" s="510"/>
      <c r="AB37" s="510"/>
    </row>
    <row r="38" spans="15:28">
      <c r="O38" s="30"/>
      <c r="P38" s="41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10"/>
      <c r="AB38" s="510"/>
    </row>
    <row r="39" spans="15:28">
      <c r="O39" s="30"/>
      <c r="P39" s="41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B39" s="510"/>
    </row>
    <row r="40" spans="15:28">
      <c r="O40" s="30"/>
      <c r="P40" s="41"/>
      <c r="Q40" s="510"/>
      <c r="R40" s="510"/>
      <c r="S40" s="510"/>
      <c r="T40" s="510"/>
      <c r="U40" s="510"/>
      <c r="V40" s="510"/>
      <c r="W40" s="510"/>
      <c r="X40" s="510"/>
      <c r="Y40" s="510"/>
      <c r="Z40" s="510"/>
      <c r="AA40" s="510"/>
      <c r="AB40" s="510"/>
    </row>
    <row r="41" spans="15:28">
      <c r="O41" s="30"/>
      <c r="P41" s="41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510"/>
    </row>
    <row r="42" spans="15:28">
      <c r="O42" s="30"/>
      <c r="P42" s="41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</row>
    <row r="43" spans="15:28">
      <c r="O43" s="30"/>
      <c r="P43" s="41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</row>
    <row r="44" spans="15:28">
      <c r="O44" s="30"/>
      <c r="P44" s="41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</row>
    <row r="45" spans="15:28">
      <c r="O45" s="30"/>
      <c r="P45" s="41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</row>
    <row r="46" spans="15:28">
      <c r="O46" s="30"/>
      <c r="P46" s="41"/>
      <c r="Q46" s="510"/>
      <c r="R46" s="510"/>
      <c r="S46" s="510"/>
      <c r="T46" s="510"/>
      <c r="U46" s="510"/>
      <c r="V46" s="510"/>
      <c r="W46" s="510"/>
      <c r="X46" s="510"/>
      <c r="Y46" s="510"/>
      <c r="Z46" s="510"/>
      <c r="AA46" s="510"/>
      <c r="AB46" s="510"/>
    </row>
    <row r="47" spans="15:28">
      <c r="O47" s="30"/>
      <c r="P47" s="41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</row>
    <row r="48" spans="15:28">
      <c r="O48" s="30"/>
      <c r="P48" s="41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</row>
    <row r="49" spans="15:41">
      <c r="O49" s="30"/>
      <c r="P49" s="41"/>
      <c r="Q49" s="510"/>
      <c r="R49" s="510"/>
      <c r="S49" s="510"/>
      <c r="T49" s="510"/>
      <c r="U49" s="510"/>
      <c r="V49" s="510"/>
      <c r="W49" s="510"/>
      <c r="X49" s="510"/>
      <c r="Y49" s="510"/>
      <c r="Z49" s="510"/>
      <c r="AA49" s="510"/>
      <c r="AB49" s="510"/>
    </row>
    <row r="50" spans="15:41">
      <c r="O50" s="30"/>
      <c r="P50" s="41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</row>
    <row r="51" spans="15:41">
      <c r="O51" s="30"/>
      <c r="P51" s="41"/>
      <c r="Q51" s="510"/>
      <c r="R51" s="510"/>
      <c r="S51" s="510"/>
      <c r="T51" s="510"/>
      <c r="U51" s="510"/>
      <c r="V51" s="510"/>
      <c r="W51" s="510"/>
      <c r="X51" s="510"/>
      <c r="Y51" s="510"/>
      <c r="Z51" s="510"/>
      <c r="AA51" s="510"/>
      <c r="AB51" s="510"/>
    </row>
    <row r="52" spans="15:41" ht="15" customHeight="1">
      <c r="O52" s="30"/>
      <c r="P52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  <c r="AB52" s="510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5:41" ht="15" customHeight="1">
      <c r="O53" s="30"/>
      <c r="P53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5:41" ht="15" customHeight="1">
      <c r="O54" s="30"/>
      <c r="P54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5:41" ht="15" customHeight="1">
      <c r="O55" s="30"/>
      <c r="P55" s="41"/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  <c r="AB55" s="510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5:41" ht="15" customHeight="1">
      <c r="O56" s="30"/>
      <c r="P56"/>
      <c r="Q56" s="510"/>
      <c r="R56" s="510"/>
      <c r="S56" s="510"/>
      <c r="T56" s="510"/>
      <c r="U56" s="510"/>
      <c r="V56" s="510"/>
      <c r="W56" s="510"/>
      <c r="X56" s="510"/>
      <c r="Y56" s="510"/>
      <c r="Z56" s="510"/>
      <c r="AA56" s="510"/>
      <c r="AB56" s="510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5:41" ht="15" customHeight="1">
      <c r="O57" s="30"/>
      <c r="P57" s="41"/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5:41" ht="15" customHeight="1">
      <c r="O58" s="30"/>
      <c r="P58"/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5:41" ht="15" customHeight="1">
      <c r="O59" s="30"/>
      <c r="P59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5:41" ht="15" customHeight="1">
      <c r="O60" s="30"/>
      <c r="P60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5:41" ht="15" customHeight="1">
      <c r="O61" s="30"/>
      <c r="P61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5:41" ht="15" customHeight="1">
      <c r="O62" s="30"/>
      <c r="P62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5:41" ht="15" customHeight="1">
      <c r="O63" s="30"/>
      <c r="P63"/>
      <c r="Q63" s="510"/>
      <c r="R63" s="510"/>
      <c r="S63" s="510"/>
      <c r="T63" s="510"/>
      <c r="U63" s="510"/>
      <c r="V63" s="510"/>
      <c r="W63" s="510"/>
      <c r="X63" s="510"/>
      <c r="Y63" s="510"/>
      <c r="Z63" s="510"/>
      <c r="AA63" s="510"/>
      <c r="AB63" s="510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5:41" ht="15" customHeight="1">
      <c r="O64" s="30"/>
      <c r="P64"/>
      <c r="Q64" s="510"/>
      <c r="R64" s="510"/>
      <c r="S64" s="510"/>
      <c r="T64" s="510"/>
      <c r="U64" s="510"/>
      <c r="V64" s="510"/>
      <c r="W64" s="510"/>
      <c r="X64" s="510"/>
      <c r="Y64" s="510"/>
      <c r="Z64" s="510"/>
      <c r="AA64" s="510"/>
      <c r="AB64" s="510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2:41" ht="15" customHeight="1">
      <c r="O65" s="30"/>
      <c r="P65"/>
      <c r="Q65" s="510"/>
      <c r="R65" s="510"/>
      <c r="S65" s="510"/>
      <c r="T65" s="510"/>
      <c r="U65" s="510"/>
      <c r="V65" s="510"/>
      <c r="W65" s="510"/>
      <c r="X65" s="510"/>
      <c r="Y65" s="510"/>
      <c r="Z65" s="510"/>
      <c r="AA65" s="510"/>
      <c r="AB65" s="510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2:41" ht="15" customHeight="1">
      <c r="O66" s="30"/>
      <c r="P66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2:41" ht="15" customHeight="1">
      <c r="O67" s="30"/>
      <c r="P67"/>
      <c r="Q67" s="510"/>
      <c r="R67" s="510"/>
      <c r="S67" s="510"/>
      <c r="T67" s="510"/>
      <c r="U67" s="510"/>
      <c r="V67" s="510"/>
      <c r="W67" s="510"/>
      <c r="X67" s="510"/>
      <c r="Y67" s="510"/>
      <c r="Z67" s="510"/>
      <c r="AA67" s="510"/>
      <c r="AB67" s="510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2:41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510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2:41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510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2:41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2:41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2:41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2:41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2:41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2:41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2:41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2:41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2:41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2:41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2:41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2:41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2:41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2:41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2:41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2:41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2:41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2:41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2:41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2:41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2:41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2:41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2:41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2:41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2:41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2:41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2:41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2:41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2:41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2:41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2:41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2:41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2:41" ht="1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2:41" ht="1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2:41" ht="1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2:41" ht="1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2:41" ht="1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2:41" ht="1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2:41" ht="1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2:41" ht="1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2:41" ht="1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2:41" ht="1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2:41" ht="1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2:41" ht="1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2:41" ht="1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2:41" ht="1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2:41" ht="1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2:41" ht="1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2:41" ht="1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2:41" ht="1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2:41" ht="1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2:41" ht="1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2:41" ht="1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2:41" ht="1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</sheetData>
  <mergeCells count="1">
    <mergeCell ref="M1:N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M1" location="'Point Grid'!A8" display="Return to Point Grid"/>
    <hyperlink ref="M1:N1" location="'Point Grid'!A1" display="Return to Point Grid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B101"/>
  <sheetViews>
    <sheetView workbookViewId="0"/>
  </sheetViews>
  <sheetFormatPr defaultColWidth="9.140625" defaultRowHeight="15"/>
  <cols>
    <col min="1" max="1" width="9.140625" style="21"/>
    <col min="2" max="2" width="16" style="21" bestFit="1" customWidth="1"/>
    <col min="3" max="8" width="8.7109375" style="21" customWidth="1"/>
    <col min="9" max="10" width="10.7109375" style="21" customWidth="1"/>
    <col min="11" max="11" width="8.7109375" style="21" customWidth="1"/>
    <col min="12" max="13" width="11.140625" style="21" customWidth="1"/>
    <col min="14" max="25" width="9.140625" style="21"/>
    <col min="26" max="26" width="10.7109375" style="21" customWidth="1"/>
    <col min="27" max="16384" width="9.140625" style="21"/>
  </cols>
  <sheetData>
    <row r="1" spans="1:28">
      <c r="A1" s="7">
        <v>30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1028" t="s">
        <v>24</v>
      </c>
      <c r="M1" s="1044"/>
      <c r="O1" s="1" t="s">
        <v>32</v>
      </c>
      <c r="P1" s="46" t="str">
        <f>VLOOKUP(A1,'Point Grid'!$L$8:$T$54,9,FALSE)</f>
        <v>Reserving - Chap 17: ULAE</v>
      </c>
      <c r="Q1"/>
      <c r="R1"/>
      <c r="S1"/>
      <c r="T1"/>
      <c r="U1"/>
      <c r="V1"/>
      <c r="W1"/>
      <c r="X1"/>
      <c r="Y1"/>
    </row>
    <row r="2" spans="1:28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/>
      <c r="R2"/>
      <c r="S2"/>
      <c r="T2"/>
      <c r="U2"/>
      <c r="V2"/>
      <c r="W2"/>
      <c r="X2"/>
      <c r="Y2"/>
    </row>
    <row r="3" spans="1:28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 s="41" t="s">
        <v>2</v>
      </c>
      <c r="P3" t="s">
        <v>906</v>
      </c>
      <c r="Q3"/>
      <c r="R3"/>
      <c r="S3"/>
      <c r="T3"/>
      <c r="U3"/>
      <c r="V3"/>
      <c r="W3"/>
      <c r="X3"/>
      <c r="Y3"/>
    </row>
    <row r="4" spans="1:28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0"/>
      <c r="O4" s="41"/>
      <c r="P4" t="s">
        <v>907</v>
      </c>
      <c r="Q4"/>
      <c r="R4"/>
      <c r="S4"/>
      <c r="T4"/>
      <c r="U4"/>
      <c r="V4"/>
      <c r="W4"/>
      <c r="X4"/>
      <c r="Y4"/>
    </row>
    <row r="5" spans="1:28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0"/>
      <c r="O5" s="41"/>
      <c r="P5"/>
      <c r="Q5"/>
      <c r="R5"/>
      <c r="S5"/>
      <c r="T5"/>
      <c r="U5"/>
      <c r="V5"/>
      <c r="W5"/>
      <c r="X5"/>
      <c r="Y5"/>
    </row>
    <row r="6" spans="1:28">
      <c r="A6" s="25" t="s">
        <v>2</v>
      </c>
      <c r="B6" s="17" t="s">
        <v>905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30"/>
      <c r="O6" s="41"/>
      <c r="P6" s="35" t="s">
        <v>908</v>
      </c>
      <c r="Q6"/>
      <c r="R6"/>
      <c r="S6"/>
      <c r="T6"/>
      <c r="U6"/>
      <c r="V6"/>
      <c r="W6"/>
      <c r="X6"/>
      <c r="Y6"/>
    </row>
    <row r="7" spans="1:28" ht="15.75" thickBot="1">
      <c r="A7" s="9">
        <f>INDEX('Point Grid'!$C$8:$I$54,MATCH($A$1,'Point Grid'!$A$8:$A$54,0),MATCH(A6,'Point Grid'!$C$7:$I$7,0))</f>
        <v>0.75</v>
      </c>
      <c r="B7" s="17" t="s">
        <v>917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0"/>
      <c r="O7" s="41"/>
      <c r="P7" s="522" t="s">
        <v>909</v>
      </c>
      <c r="Q7"/>
      <c r="R7"/>
      <c r="S7"/>
      <c r="T7"/>
      <c r="U7"/>
      <c r="V7"/>
      <c r="W7"/>
      <c r="X7"/>
      <c r="Y7"/>
    </row>
    <row r="8" spans="1:28" ht="15.75" thickBot="1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27"/>
      <c r="M8" s="18"/>
      <c r="N8" s="30"/>
      <c r="O8"/>
      <c r="P8" s="522" t="s">
        <v>910</v>
      </c>
      <c r="Q8"/>
      <c r="R8"/>
      <c r="S8"/>
      <c r="T8"/>
      <c r="U8"/>
      <c r="V8"/>
      <c r="W8"/>
      <c r="X8"/>
      <c r="Y8"/>
    </row>
    <row r="9" spans="1:28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30"/>
      <c r="O9" s="41"/>
      <c r="P9"/>
      <c r="Q9"/>
      <c r="R9"/>
      <c r="S9"/>
      <c r="T9"/>
      <c r="U9"/>
      <c r="V9"/>
      <c r="W9"/>
    </row>
    <row r="10" spans="1:28">
      <c r="A10" s="25" t="s">
        <v>3</v>
      </c>
      <c r="B10" s="469" t="s">
        <v>322</v>
      </c>
      <c r="C10" s="480" t="s">
        <v>340</v>
      </c>
      <c r="D10" s="481"/>
      <c r="E10" s="468" t="s">
        <v>324</v>
      </c>
      <c r="F10" s="468"/>
      <c r="G10" s="468"/>
      <c r="H10" s="469" t="s">
        <v>261</v>
      </c>
      <c r="I10" s="469" t="s">
        <v>341</v>
      </c>
      <c r="J10" s="468" t="s">
        <v>219</v>
      </c>
      <c r="K10" s="360">
        <v>2024</v>
      </c>
      <c r="L10" s="17"/>
      <c r="M10" s="18"/>
      <c r="N10" s="30"/>
      <c r="O10" s="41" t="s">
        <v>3</v>
      </c>
      <c r="P10" s="157" t="s">
        <v>321</v>
      </c>
      <c r="Q10" s="35" t="str">
        <f>IF(C10="classical","  classical ULAE ratio  ==&gt;  (paid ULAE) / (paid claims)","  Kittel ULAE ratio  ==&gt;  (paid ULAE) / AVG [ (paid claims) , (incurred claims) ]")</f>
        <v xml:space="preserve">  classical ULAE ratio  ==&gt;  (paid ULAE) / (paid claims)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5.75" thickBot="1">
      <c r="A11" s="9">
        <f>INDEX('Point Grid'!$C$8:$I$54,MATCH($A$1,'Point Grid'!$A$8:$A$54,0),MATCH(A10,'Point Grid'!$C$7:$I$7,0))</f>
        <v>1.75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7"/>
      <c r="M11" s="18"/>
      <c r="N11" s="30"/>
      <c r="O11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1:28" ht="15.75" thickBot="1">
      <c r="A12" s="5"/>
      <c r="B12" s="143"/>
      <c r="C12" s="316" t="s">
        <v>342</v>
      </c>
      <c r="D12" s="316"/>
      <c r="E12" s="143" t="s">
        <v>911</v>
      </c>
      <c r="F12" s="143"/>
      <c r="G12" s="143"/>
      <c r="H12" s="143"/>
      <c r="I12" s="143"/>
      <c r="J12" s="143"/>
      <c r="K12" s="143"/>
      <c r="L12" s="27"/>
      <c r="M12" s="18"/>
      <c r="N12" s="30"/>
      <c r="O12"/>
      <c r="P12" s="124"/>
      <c r="Q12" s="171"/>
      <c r="R12" s="482" t="s">
        <v>262</v>
      </c>
      <c r="S12" s="172" t="str">
        <f>IF(C10="classical","paid","average")</f>
        <v>paid</v>
      </c>
      <c r="T12" s="483" t="s">
        <v>341</v>
      </c>
      <c r="U12" s="124"/>
      <c r="V12" s="124"/>
      <c r="W12" s="124"/>
      <c r="X12" s="124"/>
      <c r="Y12" s="124"/>
      <c r="Z12" s="124"/>
      <c r="AA12" s="124"/>
      <c r="AB12" s="124"/>
    </row>
    <row r="13" spans="1:28">
      <c r="A13" s="25"/>
      <c r="B13" s="143"/>
      <c r="C13" s="143"/>
      <c r="D13" s="143"/>
      <c r="E13" s="143"/>
      <c r="F13" s="143"/>
      <c r="G13" s="143"/>
      <c r="H13" s="143"/>
      <c r="I13" s="143"/>
      <c r="J13" s="181"/>
      <c r="K13" s="181"/>
      <c r="L13" s="27"/>
      <c r="M13" s="18"/>
      <c r="N13" s="30"/>
      <c r="O13" s="41"/>
      <c r="P13" s="124"/>
      <c r="Q13" s="113" t="s">
        <v>219</v>
      </c>
      <c r="R13" s="484" t="s">
        <v>341</v>
      </c>
      <c r="S13" s="173" t="str">
        <f>IF(C10="classical","claims","(pd, inc)")</f>
        <v>claims</v>
      </c>
      <c r="T13" s="485" t="s">
        <v>102</v>
      </c>
      <c r="U13" s="124"/>
      <c r="V13" s="124"/>
      <c r="W13" s="124"/>
      <c r="X13" s="124"/>
      <c r="Y13" s="124"/>
      <c r="Z13" s="124"/>
      <c r="AA13" s="124"/>
      <c r="AB13" s="124"/>
    </row>
    <row r="14" spans="1:28">
      <c r="A14" s="25"/>
      <c r="B14" s="180"/>
      <c r="C14" s="182"/>
      <c r="D14" s="500" t="s">
        <v>262</v>
      </c>
      <c r="E14" s="183" t="s">
        <v>262</v>
      </c>
      <c r="F14" s="501" t="s">
        <v>343</v>
      </c>
      <c r="G14" s="232" t="s">
        <v>912</v>
      </c>
      <c r="H14" s="143"/>
      <c r="I14" s="143"/>
      <c r="J14" s="181"/>
      <c r="K14" s="181"/>
      <c r="L14" s="27"/>
      <c r="M14" s="18"/>
      <c r="N14" s="30"/>
      <c r="O14"/>
      <c r="P14" s="124"/>
      <c r="Q14" s="174">
        <f>Q15-1</f>
        <v>2020</v>
      </c>
      <c r="R14" s="486">
        <f>D16</f>
        <v>0</v>
      </c>
      <c r="S14" s="202">
        <f>IF(C10="classical",E16,AVERAGE(E16,F16))</f>
        <v>0</v>
      </c>
      <c r="T14" s="487" t="str">
        <f>IFERROR(ROUND(R14/S14,3),"")</f>
        <v/>
      </c>
      <c r="U14" s="35"/>
      <c r="V14" s="35"/>
      <c r="W14" s="35"/>
      <c r="X14" s="35"/>
      <c r="Y14" s="35"/>
      <c r="Z14" s="35"/>
      <c r="AA14" s="124"/>
      <c r="AB14" s="124"/>
    </row>
    <row r="15" spans="1:28">
      <c r="A15" s="25"/>
      <c r="B15" s="180"/>
      <c r="C15" s="185" t="s">
        <v>219</v>
      </c>
      <c r="D15" s="502" t="s">
        <v>341</v>
      </c>
      <c r="E15" s="186" t="s">
        <v>88</v>
      </c>
      <c r="F15" s="503" t="s">
        <v>88</v>
      </c>
      <c r="G15" s="143"/>
      <c r="H15" s="143"/>
      <c r="I15" s="143"/>
      <c r="J15" s="143"/>
      <c r="K15" s="143"/>
      <c r="L15" s="27"/>
      <c r="M15" s="18"/>
      <c r="N15" s="30"/>
      <c r="O15"/>
      <c r="P15" s="124"/>
      <c r="Q15" s="174">
        <f>Q16-1</f>
        <v>2021</v>
      </c>
      <c r="R15" s="486">
        <f>D17</f>
        <v>56000</v>
      </c>
      <c r="S15" s="202">
        <f>IF(C10="classical",E17,AVERAGE(E17,F17))</f>
        <v>498000</v>
      </c>
      <c r="T15" s="487">
        <f>IFERROR(ROUND(R15/S15,3),"")</f>
        <v>0.112</v>
      </c>
      <c r="U15" s="124"/>
      <c r="V15" s="124"/>
      <c r="W15" s="488" t="s">
        <v>344</v>
      </c>
      <c r="X15" s="130"/>
      <c r="Y15" s="130"/>
      <c r="Z15" s="131"/>
      <c r="AA15" s="124"/>
      <c r="AB15" s="124"/>
    </row>
    <row r="16" spans="1:28">
      <c r="A16" s="25"/>
      <c r="B16" s="180"/>
      <c r="C16" s="189">
        <v>2020</v>
      </c>
      <c r="D16" s="144">
        <v>0</v>
      </c>
      <c r="E16" s="145">
        <v>0</v>
      </c>
      <c r="F16" s="146">
        <v>0</v>
      </c>
      <c r="G16" s="143"/>
      <c r="H16" s="143"/>
      <c r="I16" s="143"/>
      <c r="J16" s="143"/>
      <c r="K16" s="143"/>
      <c r="L16" s="27"/>
      <c r="M16" s="18"/>
      <c r="N16" s="30"/>
      <c r="O16" s="41"/>
      <c r="P16" s="124"/>
      <c r="Q16" s="174">
        <f>Q17-1</f>
        <v>2022</v>
      </c>
      <c r="R16" s="486">
        <f>D18</f>
        <v>45000</v>
      </c>
      <c r="S16" s="202">
        <f>IF(C10="classical",E18,AVERAGE(E18,F18))</f>
        <v>402000</v>
      </c>
      <c r="T16" s="487">
        <f>IFERROR(ROUND(R16/S16,3),"")</f>
        <v>0.112</v>
      </c>
      <c r="U16" s="124"/>
      <c r="V16" s="124"/>
      <c r="W16" s="132" t="s">
        <v>345</v>
      </c>
      <c r="X16" s="133"/>
      <c r="Y16" s="133"/>
      <c r="Z16" s="134"/>
      <c r="AA16" s="124"/>
      <c r="AB16" s="124"/>
    </row>
    <row r="17" spans="1:28">
      <c r="A17" s="25"/>
      <c r="B17" s="180"/>
      <c r="C17" s="189">
        <v>2021</v>
      </c>
      <c r="D17" s="144">
        <v>56000</v>
      </c>
      <c r="E17" s="145">
        <v>498000</v>
      </c>
      <c r="F17" s="146">
        <v>430000</v>
      </c>
      <c r="G17" s="143"/>
      <c r="H17" s="143"/>
      <c r="I17" s="143"/>
      <c r="J17" s="143"/>
      <c r="K17" s="143"/>
      <c r="L17" s="27"/>
      <c r="M17" s="18"/>
      <c r="N17" s="30"/>
      <c r="O17"/>
      <c r="P17" s="124"/>
      <c r="Q17" s="174">
        <f>Q18-1</f>
        <v>2023</v>
      </c>
      <c r="R17" s="486">
        <f>D19</f>
        <v>53000</v>
      </c>
      <c r="S17" s="202">
        <f>IF(C10="classical",E19,AVERAGE(E19,F19))</f>
        <v>364000</v>
      </c>
      <c r="T17" s="487">
        <f>IFERROR(ROUND(R17/S17,3),"")</f>
        <v>0.14599999999999999</v>
      </c>
      <c r="U17" s="124"/>
      <c r="V17" s="124"/>
      <c r="W17" s="137" t="s">
        <v>346</v>
      </c>
      <c r="X17" s="138"/>
      <c r="Y17" s="138"/>
      <c r="Z17" s="139"/>
      <c r="AA17" s="124"/>
      <c r="AB17" s="124"/>
    </row>
    <row r="18" spans="1:28" ht="15" customHeight="1">
      <c r="A18" s="25"/>
      <c r="B18" s="180"/>
      <c r="C18" s="189">
        <v>2022</v>
      </c>
      <c r="D18" s="144">
        <v>45000</v>
      </c>
      <c r="E18" s="145">
        <v>402000</v>
      </c>
      <c r="F18" s="146">
        <v>500000</v>
      </c>
      <c r="G18" s="143"/>
      <c r="H18" s="143"/>
      <c r="I18" s="143"/>
      <c r="J18" s="143"/>
      <c r="K18" s="143"/>
      <c r="L18" s="27"/>
      <c r="M18" s="18"/>
      <c r="N18" s="30"/>
      <c r="O18"/>
      <c r="P18" s="124"/>
      <c r="Q18" s="175">
        <f>C20</f>
        <v>2024</v>
      </c>
      <c r="R18" s="484">
        <f>D20</f>
        <v>42000</v>
      </c>
      <c r="S18" s="173">
        <f>IF(C10="classical",E20,AVERAGE(E20,F20))</f>
        <v>453000</v>
      </c>
      <c r="T18" s="489">
        <f>IFERROR(ROUND(R18/S18,3),"")</f>
        <v>9.2999999999999999E-2</v>
      </c>
      <c r="U18" s="124"/>
      <c r="V18" s="124"/>
      <c r="W18" s="124"/>
      <c r="X18" s="124"/>
      <c r="Y18" s="124"/>
      <c r="Z18" s="124"/>
      <c r="AA18" s="124"/>
      <c r="AB18" s="124"/>
    </row>
    <row r="19" spans="1:28" ht="15" customHeight="1">
      <c r="A19" s="25"/>
      <c r="B19" s="180"/>
      <c r="C19" s="189">
        <v>2023</v>
      </c>
      <c r="D19" s="144">
        <v>53000</v>
      </c>
      <c r="E19" s="145">
        <v>364000</v>
      </c>
      <c r="F19" s="146">
        <v>540000</v>
      </c>
      <c r="G19" s="143"/>
      <c r="H19" s="143"/>
      <c r="I19" s="143"/>
      <c r="J19" s="143"/>
      <c r="K19" s="143"/>
      <c r="L19" s="27"/>
      <c r="M19" s="18"/>
      <c r="N19" s="30"/>
      <c r="O19"/>
      <c r="P19" s="124"/>
      <c r="Q19" s="124"/>
      <c r="R19" s="124"/>
      <c r="S19" s="124"/>
      <c r="T19" s="490">
        <f>AVERAGE(T15:T18)</f>
        <v>0.11574999999999999</v>
      </c>
      <c r="U19" s="124" t="s">
        <v>916</v>
      </c>
      <c r="V19" s="124"/>
      <c r="W19" s="124"/>
      <c r="X19" s="124"/>
      <c r="Y19" s="124"/>
      <c r="Z19" s="124"/>
      <c r="AA19" s="124"/>
      <c r="AB19" s="124"/>
    </row>
    <row r="20" spans="1:28" ht="15" customHeight="1">
      <c r="A20" s="25"/>
      <c r="B20" s="180"/>
      <c r="C20" s="191">
        <v>2024</v>
      </c>
      <c r="D20" s="149">
        <v>42000</v>
      </c>
      <c r="E20" s="150">
        <v>453000</v>
      </c>
      <c r="F20" s="151">
        <v>480000</v>
      </c>
      <c r="G20" s="143"/>
      <c r="H20" s="143"/>
      <c r="I20" s="143"/>
      <c r="J20" s="143"/>
      <c r="K20" s="143"/>
      <c r="L20" s="27"/>
      <c r="M20" s="18"/>
      <c r="N20" s="30"/>
      <c r="O20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spans="1:28" ht="15" customHeight="1">
      <c r="A21" s="25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27"/>
      <c r="M21" s="18"/>
      <c r="N21" s="30"/>
      <c r="O21"/>
      <c r="P21" s="157" t="s">
        <v>326</v>
      </c>
      <c r="Q21" s="124" t="s">
        <v>347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spans="1:28" ht="15" customHeight="1">
      <c r="A22" s="25"/>
      <c r="B22" s="143"/>
      <c r="C22" s="188">
        <v>100000</v>
      </c>
      <c r="D22" s="141" t="s">
        <v>913</v>
      </c>
      <c r="E22" s="141"/>
      <c r="F22" s="141"/>
      <c r="G22" s="141"/>
      <c r="H22" s="141"/>
      <c r="I22" s="141"/>
      <c r="J22" s="142"/>
      <c r="K22" s="143"/>
      <c r="L22" s="27"/>
      <c r="M22" s="18"/>
      <c r="N22" s="30"/>
      <c r="O22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spans="1:28" ht="15" customHeight="1">
      <c r="A23" s="25"/>
      <c r="B23" s="143"/>
      <c r="C23" s="190">
        <v>93000</v>
      </c>
      <c r="D23" s="145" t="s">
        <v>914</v>
      </c>
      <c r="E23" s="145"/>
      <c r="F23" s="145"/>
      <c r="G23" s="145"/>
      <c r="H23" s="145"/>
      <c r="I23" s="145"/>
      <c r="J23" s="146"/>
      <c r="K23" s="143"/>
      <c r="L23" s="27"/>
      <c r="M23" s="18"/>
      <c r="N23" s="30"/>
      <c r="O23"/>
      <c r="P23" s="124"/>
      <c r="Q23" s="491" t="s">
        <v>348</v>
      </c>
      <c r="R23" s="491"/>
      <c r="S23" s="156" t="s">
        <v>33</v>
      </c>
      <c r="T23" s="491" t="s">
        <v>349</v>
      </c>
      <c r="U23" s="491"/>
      <c r="V23" s="155" t="s">
        <v>150</v>
      </c>
      <c r="W23" s="230" t="str">
        <f>"[ "&amp;C27*100&amp;"%   x"</f>
        <v>[ 50%   x</v>
      </c>
      <c r="X23" s="154" t="s">
        <v>350</v>
      </c>
      <c r="Y23" s="155"/>
      <c r="Z23" s="155" t="s">
        <v>34</v>
      </c>
      <c r="AA23" s="155" t="s">
        <v>351</v>
      </c>
      <c r="AB23" s="124" t="s">
        <v>352</v>
      </c>
    </row>
    <row r="24" spans="1:28" ht="15" customHeight="1">
      <c r="A24" s="25"/>
      <c r="B24" s="143"/>
      <c r="C24" s="504">
        <v>0.56999999999999995</v>
      </c>
      <c r="D24" s="150" t="s">
        <v>353</v>
      </c>
      <c r="E24" s="150"/>
      <c r="F24" s="150"/>
      <c r="G24" s="150"/>
      <c r="H24" s="150"/>
      <c r="I24" s="150"/>
      <c r="J24" s="151"/>
      <c r="K24" s="143"/>
      <c r="L24" s="27"/>
      <c r="M24" s="18"/>
      <c r="N24" s="30"/>
      <c r="O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spans="1:28" ht="15" customHeight="1">
      <c r="A25" s="25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27"/>
      <c r="M25" s="18"/>
      <c r="N25" s="30"/>
      <c r="O25"/>
      <c r="P25" s="124"/>
      <c r="Q25" s="492" t="s">
        <v>354</v>
      </c>
      <c r="R25" s="35"/>
      <c r="S25" s="35"/>
      <c r="T25" s="35"/>
      <c r="U25" s="35"/>
      <c r="V25" s="35"/>
      <c r="W25" s="35"/>
      <c r="X25" s="35"/>
      <c r="Y25" s="35"/>
      <c r="Z25" s="35"/>
      <c r="AA25" s="124"/>
      <c r="AB25" s="124"/>
    </row>
    <row r="26" spans="1:28" ht="15" customHeight="1">
      <c r="A26" s="25"/>
      <c r="B26" s="143"/>
      <c r="C26" s="505">
        <v>0.5</v>
      </c>
      <c r="D26" s="141" t="s">
        <v>355</v>
      </c>
      <c r="E26" s="141"/>
      <c r="F26" s="141"/>
      <c r="G26" s="141"/>
      <c r="H26" s="141"/>
      <c r="I26" s="141"/>
      <c r="J26" s="142"/>
      <c r="K26" s="143"/>
      <c r="L26" s="27"/>
      <c r="M26" s="18"/>
      <c r="N26" s="30"/>
      <c r="O26"/>
      <c r="P26" s="124"/>
      <c r="Q26" s="35"/>
      <c r="R26" s="35"/>
      <c r="S26" s="35"/>
      <c r="T26" s="35"/>
      <c r="U26" s="35"/>
      <c r="V26" s="124"/>
      <c r="W26" s="124"/>
      <c r="X26" s="124"/>
      <c r="Y26" s="124"/>
      <c r="Z26" s="124"/>
      <c r="AA26" s="124"/>
      <c r="AB26" s="124"/>
    </row>
    <row r="27" spans="1:28" ht="15" customHeight="1">
      <c r="A27" s="25"/>
      <c r="B27" s="143"/>
      <c r="C27" s="504">
        <v>0.5</v>
      </c>
      <c r="D27" s="150" t="s">
        <v>915</v>
      </c>
      <c r="E27" s="150"/>
      <c r="F27" s="150"/>
      <c r="G27" s="150"/>
      <c r="H27" s="150"/>
      <c r="I27" s="150"/>
      <c r="J27" s="151"/>
      <c r="K27" s="143"/>
      <c r="L27" s="27"/>
      <c r="M27" s="18"/>
      <c r="N27" s="30"/>
      <c r="O27"/>
      <c r="P27" s="124"/>
      <c r="Q27" s="155" t="s">
        <v>356</v>
      </c>
      <c r="R27" s="155" t="s">
        <v>33</v>
      </c>
      <c r="S27" s="253">
        <f>C24</f>
        <v>0.56999999999999995</v>
      </c>
      <c r="T27" s="155" t="s">
        <v>150</v>
      </c>
      <c r="U27" s="124" t="s">
        <v>357</v>
      </c>
      <c r="V27" s="124"/>
      <c r="W27" s="493" t="s">
        <v>358</v>
      </c>
      <c r="X27" s="124"/>
      <c r="Y27" s="124"/>
      <c r="Z27" s="124"/>
      <c r="AA27" s="124"/>
      <c r="AB27" s="124"/>
    </row>
    <row r="28" spans="1:28" ht="15" customHeight="1">
      <c r="A28" s="25"/>
      <c r="B28" s="1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8"/>
      <c r="N28" s="30"/>
      <c r="O28"/>
      <c r="P28" s="124"/>
      <c r="Q28" s="124"/>
      <c r="R28" s="155" t="s">
        <v>33</v>
      </c>
      <c r="S28" s="253">
        <f>S27</f>
        <v>0.56999999999999995</v>
      </c>
      <c r="T28" s="155" t="s">
        <v>150</v>
      </c>
      <c r="U28" s="124">
        <f>C23</f>
        <v>93000</v>
      </c>
      <c r="V28" s="124"/>
      <c r="W28" s="124"/>
      <c r="X28" s="124"/>
      <c r="Y28" s="124"/>
      <c r="Z28" s="124"/>
      <c r="AA28" s="124"/>
      <c r="AB28" s="124"/>
    </row>
    <row r="29" spans="1:28" ht="15" customHeight="1">
      <c r="A29" s="25"/>
      <c r="B29" s="1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8"/>
      <c r="N29" s="30"/>
      <c r="O29"/>
      <c r="P29" s="124"/>
      <c r="Q29" s="124"/>
      <c r="R29" s="155" t="s">
        <v>33</v>
      </c>
      <c r="S29" s="155">
        <f>S28*U28</f>
        <v>53009.999999999993</v>
      </c>
      <c r="T29" s="124"/>
      <c r="U29" s="124"/>
      <c r="V29" s="124"/>
      <c r="W29" s="124"/>
      <c r="X29" s="124"/>
      <c r="Y29" s="124"/>
      <c r="Z29" s="124"/>
      <c r="AA29" s="124"/>
      <c r="AB29" s="124"/>
    </row>
    <row r="30" spans="1:28" ht="15" customHeight="1" thickBot="1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30"/>
      <c r="O30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spans="1:28" ht="1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/>
      <c r="P31" s="124"/>
      <c r="Q31" s="155" t="s">
        <v>359</v>
      </c>
      <c r="R31" s="155" t="s">
        <v>33</v>
      </c>
      <c r="S31" s="124" t="s">
        <v>360</v>
      </c>
      <c r="T31" s="156" t="s">
        <v>123</v>
      </c>
      <c r="U31" s="155" t="s">
        <v>356</v>
      </c>
      <c r="V31" s="124"/>
      <c r="W31" s="493" t="s">
        <v>361</v>
      </c>
      <c r="X31" s="124"/>
      <c r="Y31" s="124"/>
      <c r="Z31" s="124"/>
      <c r="AA31" s="124"/>
      <c r="AB31" s="124"/>
    </row>
    <row r="32" spans="1:28" ht="15" customHeight="1">
      <c r="N32" s="30"/>
      <c r="O32"/>
      <c r="P32" s="124"/>
      <c r="Q32" s="124"/>
      <c r="R32" s="155" t="s">
        <v>33</v>
      </c>
      <c r="S32" s="155">
        <f>C23</f>
        <v>93000</v>
      </c>
      <c r="T32" s="156" t="s">
        <v>123</v>
      </c>
      <c r="U32" s="155">
        <f>S29</f>
        <v>53009.999999999993</v>
      </c>
      <c r="V32" s="124"/>
      <c r="W32" s="124"/>
      <c r="X32" s="124"/>
      <c r="Y32" s="124"/>
      <c r="Z32" s="124"/>
      <c r="AA32" s="124"/>
      <c r="AB32" s="124"/>
    </row>
    <row r="33" spans="2:28" ht="15" customHeight="1">
      <c r="N33" s="30"/>
      <c r="O33" s="41"/>
      <c r="P33" s="124"/>
      <c r="Q33" s="124"/>
      <c r="R33" s="155" t="s">
        <v>33</v>
      </c>
      <c r="S33" s="155">
        <f>S32-U32</f>
        <v>39990.000000000007</v>
      </c>
      <c r="T33" s="124"/>
      <c r="U33" s="124"/>
      <c r="V33" s="124"/>
      <c r="W33" s="124"/>
      <c r="X33" s="124"/>
      <c r="Y33" s="124"/>
      <c r="Z33" s="124"/>
      <c r="AA33" s="124"/>
      <c r="AB33" s="124"/>
    </row>
    <row r="34" spans="2:28" ht="15" customHeight="1">
      <c r="N34" s="30"/>
      <c r="O3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spans="2:28" ht="15" customHeight="1">
      <c r="N35" s="30"/>
      <c r="O35" s="41"/>
      <c r="P35" s="124"/>
      <c r="Q35" s="170" t="s">
        <v>362</v>
      </c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spans="2:28" ht="15" customHeight="1">
      <c r="N36" s="30"/>
      <c r="O36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spans="2:28" ht="15" customHeight="1">
      <c r="N37" s="30"/>
      <c r="O37"/>
      <c r="P37" s="124"/>
      <c r="Q37" s="491" t="s">
        <v>348</v>
      </c>
      <c r="R37" s="491"/>
      <c r="S37" s="156" t="s">
        <v>33</v>
      </c>
      <c r="T37" s="494">
        <f>T19</f>
        <v>0.11574999999999999</v>
      </c>
      <c r="U37" s="491"/>
      <c r="V37" s="155" t="s">
        <v>150</v>
      </c>
      <c r="W37" s="230" t="str">
        <f>"[ "&amp;C27*100&amp;"%   x"</f>
        <v>[ 50%   x</v>
      </c>
      <c r="X37" s="155">
        <f>C22+S29</f>
        <v>153010</v>
      </c>
      <c r="Y37" s="155" t="s">
        <v>34</v>
      </c>
      <c r="Z37" s="155" t="s">
        <v>351</v>
      </c>
      <c r="AA37" s="155">
        <f>S33</f>
        <v>39990.000000000007</v>
      </c>
      <c r="AB37" s="124" t="s">
        <v>363</v>
      </c>
    </row>
    <row r="38" spans="2:28" ht="15" customHeight="1">
      <c r="N38" s="30"/>
      <c r="O38"/>
      <c r="P38" s="124"/>
      <c r="Q38" s="495" t="s">
        <v>348</v>
      </c>
      <c r="R38" s="496"/>
      <c r="S38" s="497" t="s">
        <v>33</v>
      </c>
      <c r="T38" s="498">
        <f>T19*(C27*X37+AA37)</f>
        <v>13484.296249999999</v>
      </c>
      <c r="U38" s="499" t="s">
        <v>364</v>
      </c>
      <c r="V38" s="124"/>
      <c r="W38" s="124"/>
      <c r="X38" s="124"/>
      <c r="Y38" s="124"/>
      <c r="Z38" s="124"/>
      <c r="AA38" s="124"/>
      <c r="AB38" s="124"/>
    </row>
    <row r="39" spans="2:28" ht="15" customHeight="1">
      <c r="N39" s="30"/>
      <c r="O39"/>
      <c r="Z39" s="89"/>
      <c r="AA39" s="155"/>
    </row>
    <row r="40" spans="2:28" ht="15" customHeight="1">
      <c r="N40" s="30"/>
      <c r="O40"/>
      <c r="Z40" s="89"/>
      <c r="AA40" s="155"/>
    </row>
    <row r="41" spans="2:28" ht="15" customHeight="1">
      <c r="N41" s="30"/>
      <c r="O41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89"/>
      <c r="AA41" s="155"/>
    </row>
    <row r="42" spans="2:28" ht="15" customHeight="1">
      <c r="N42" s="30"/>
      <c r="O42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89"/>
      <c r="AA42" s="155"/>
    </row>
    <row r="43" spans="2:28" ht="15" customHeight="1">
      <c r="N43" s="30"/>
      <c r="O43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89"/>
      <c r="AA43" s="155"/>
    </row>
    <row r="44" spans="2:28" ht="15" customHeight="1">
      <c r="N44" s="30"/>
      <c r="O4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89"/>
      <c r="AA44" s="155"/>
    </row>
    <row r="45" spans="2:28" ht="15" customHeight="1">
      <c r="N45" s="30"/>
      <c r="O45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89"/>
      <c r="AA45" s="155"/>
    </row>
    <row r="46" spans="2:28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89"/>
      <c r="AA46" s="155"/>
    </row>
    <row r="47" spans="2:28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89"/>
      <c r="AA47" s="155"/>
    </row>
    <row r="48" spans="2:28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89"/>
      <c r="AA48" s="155"/>
    </row>
    <row r="49" spans="2:27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89"/>
      <c r="AA49" s="155"/>
    </row>
    <row r="50" spans="2:27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89"/>
      <c r="AA50" s="155"/>
    </row>
    <row r="51" spans="2:27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89"/>
      <c r="AA51" s="155"/>
    </row>
    <row r="52" spans="2:27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27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2:27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27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27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27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27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27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27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27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27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27" ht="1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27" ht="1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 ht="1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ht="1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ht="1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 ht="1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 ht="1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 ht="1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 ht="1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 ht="1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 ht="1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 ht="1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 ht="1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 ht="1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 ht="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 ht="1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 ht="1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 ht="1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 ht="1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 ht="1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 ht="1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 ht="1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 ht="1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ht="1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 ht="1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ht="1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 ht="1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ht="1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 ht="1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 ht="1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 ht="1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1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1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1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ht="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ht="1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 ht="1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1">
    <mergeCell ref="L1:M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2024-10-12T10:33:03Z</dcterms:modified>
</cp:coreProperties>
</file>