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pratice exams\BA_Exam_B_02\"/>
    </mc:Choice>
  </mc:AlternateContent>
  <bookViews>
    <workbookView xWindow="0" yWindow="0" windowWidth="24000" windowHeight="9735" tabRatio="681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69" r:id="rId28"/>
    <sheet name="27" sheetId="68" r:id="rId29"/>
    <sheet name="28" sheetId="67" r:id="rId30"/>
    <sheet name="29" sheetId="66" r:id="rId31"/>
    <sheet name="30" sheetId="65" r:id="rId32"/>
  </sheets>
  <externalReferences>
    <externalReference r:id="rId3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20" l="1"/>
  <c r="W31" i="20"/>
  <c r="W30" i="20"/>
  <c r="W29" i="20"/>
  <c r="W28" i="20"/>
  <c r="R32" i="20"/>
  <c r="R31" i="20"/>
  <c r="R30" i="20"/>
  <c r="R29" i="20"/>
  <c r="R28" i="20"/>
  <c r="P1" i="40" l="1"/>
  <c r="E15" i="67" l="1"/>
  <c r="E16" i="67" s="1"/>
  <c r="E14" i="67"/>
  <c r="E13" i="67"/>
  <c r="W28" i="40"/>
  <c r="Q28" i="40"/>
  <c r="R43" i="40"/>
  <c r="R38" i="40"/>
  <c r="W27" i="40"/>
  <c r="Q27" i="40"/>
  <c r="W25" i="40"/>
  <c r="S25" i="40"/>
  <c r="O25" i="40"/>
  <c r="X12" i="40"/>
  <c r="T12" i="40"/>
  <c r="P12" i="40"/>
  <c r="N18" i="1"/>
  <c r="O18" i="1"/>
  <c r="A15" i="40"/>
  <c r="A11" i="40"/>
  <c r="A7" i="40"/>
  <c r="W102" i="40"/>
  <c r="U102" i="40"/>
  <c r="X101" i="40"/>
  <c r="U101" i="40"/>
  <c r="P84" i="40"/>
  <c r="P83" i="40"/>
  <c r="U76" i="40"/>
  <c r="U77" i="40" s="1"/>
  <c r="P75" i="40"/>
  <c r="P74" i="40"/>
  <c r="P73" i="40"/>
  <c r="Q72" i="40"/>
  <c r="P72" i="40"/>
  <c r="P71" i="40"/>
  <c r="Q67" i="40"/>
  <c r="Q84" i="40" s="1"/>
  <c r="P67" i="40"/>
  <c r="R66" i="40"/>
  <c r="Q74" i="40" s="1"/>
  <c r="Q66" i="40"/>
  <c r="P66" i="40"/>
  <c r="S65" i="40"/>
  <c r="R65" i="40"/>
  <c r="Q73" i="40" s="1"/>
  <c r="Q65" i="40"/>
  <c r="P65" i="40"/>
  <c r="T64" i="40"/>
  <c r="S64" i="40"/>
  <c r="R72" i="40" s="1"/>
  <c r="R64" i="40"/>
  <c r="Q64" i="40"/>
  <c r="P64" i="40"/>
  <c r="U63" i="40"/>
  <c r="T71" i="40" s="1"/>
  <c r="T76" i="40" s="1"/>
  <c r="T63" i="40"/>
  <c r="S71" i="40" s="1"/>
  <c r="S63" i="40"/>
  <c r="R63" i="40"/>
  <c r="Q63" i="40"/>
  <c r="P63" i="40"/>
  <c r="T62" i="40"/>
  <c r="U62" i="40" s="1"/>
  <c r="S62" i="40"/>
  <c r="R62" i="40"/>
  <c r="Q57" i="40"/>
  <c r="Q56" i="40"/>
  <c r="P56" i="40"/>
  <c r="P57" i="40" s="1"/>
  <c r="P49" i="40"/>
  <c r="P46" i="40"/>
  <c r="Y43" i="40"/>
  <c r="T43" i="40"/>
  <c r="Y38" i="40"/>
  <c r="W38" i="40"/>
  <c r="T38" i="40"/>
  <c r="R39" i="40"/>
  <c r="X47" i="40" s="1"/>
  <c r="P36" i="40"/>
  <c r="V33" i="40"/>
  <c r="R33" i="40"/>
  <c r="W32" i="40"/>
  <c r="S32" i="40"/>
  <c r="I10" i="40"/>
  <c r="AN6" i="40"/>
  <c r="AM6" i="40"/>
  <c r="AL6" i="40"/>
  <c r="X6" i="40" s="1"/>
  <c r="Z6" i="40"/>
  <c r="Y6" i="40"/>
  <c r="I6" i="40"/>
  <c r="P41" i="40" s="1"/>
  <c r="AN5" i="40"/>
  <c r="AM5" i="40"/>
  <c r="R5" i="40"/>
  <c r="U3" i="40"/>
  <c r="X5" i="40" s="1"/>
  <c r="AL5" i="40" s="1"/>
  <c r="Q71" i="40" l="1"/>
  <c r="Q76" i="40" s="1"/>
  <c r="S72" i="40"/>
  <c r="R73" i="40"/>
  <c r="R34" i="40"/>
  <c r="V47" i="40" s="1"/>
  <c r="Z47" i="40" s="1"/>
  <c r="R56" i="40" s="1"/>
  <c r="T56" i="40" s="1"/>
  <c r="R92" i="40" s="1"/>
  <c r="T77" i="40"/>
  <c r="S77" i="40" s="1"/>
  <c r="Q83" i="40"/>
  <c r="S76" i="40"/>
  <c r="R9" i="40"/>
  <c r="S56" i="40" s="1"/>
  <c r="S84" i="40"/>
  <c r="S57" i="40"/>
  <c r="V50" i="40"/>
  <c r="R71" i="40"/>
  <c r="R76" i="40" s="1"/>
  <c r="W43" i="40"/>
  <c r="R44" i="40" s="1"/>
  <c r="X50" i="40" s="1"/>
  <c r="R77" i="40" l="1"/>
  <c r="S83" i="40"/>
  <c r="Q77" i="40"/>
  <c r="R84" i="40" s="1"/>
  <c r="T84" i="40" s="1"/>
  <c r="U91" i="40" s="1"/>
  <c r="R83" i="40"/>
  <c r="T83" i="40" s="1"/>
  <c r="R91" i="40" s="1"/>
  <c r="Z50" i="40"/>
  <c r="R57" i="40" s="1"/>
  <c r="T57" i="40" s="1"/>
  <c r="U92" i="40" s="1"/>
  <c r="R94" i="40" l="1"/>
  <c r="S101" i="40" s="1"/>
  <c r="R104" i="40" s="1"/>
  <c r="O58" i="39" l="1"/>
  <c r="R57" i="39"/>
  <c r="O57" i="39"/>
  <c r="R52" i="39"/>
  <c r="R51" i="39"/>
  <c r="R46" i="39"/>
  <c r="P58" i="39" s="1"/>
  <c r="R45" i="39"/>
  <c r="P45" i="39"/>
  <c r="Z40" i="39"/>
  <c r="V40" i="39"/>
  <c r="S40" i="39"/>
  <c r="R41" i="39" s="1"/>
  <c r="Y6" i="39" s="1"/>
  <c r="Z39" i="39"/>
  <c r="V39" i="39"/>
  <c r="R39" i="39"/>
  <c r="P37" i="39"/>
  <c r="X35" i="39"/>
  <c r="V35" i="39"/>
  <c r="T35" i="39"/>
  <c r="V33" i="39"/>
  <c r="R35" i="39" s="1"/>
  <c r="Z35" i="39" s="1"/>
  <c r="T26" i="39" s="1"/>
  <c r="P33" i="39"/>
  <c r="Y31" i="39"/>
  <c r="W31" i="39"/>
  <c r="Y30" i="39"/>
  <c r="W30" i="39"/>
  <c r="Y29" i="39"/>
  <c r="V26" i="39"/>
  <c r="Q26" i="39"/>
  <c r="Q27" i="39" s="1"/>
  <c r="Y4" i="39" s="1"/>
  <c r="O20" i="39"/>
  <c r="P19" i="39" s="1"/>
  <c r="O19" i="39"/>
  <c r="O18" i="39"/>
  <c r="O17" i="39"/>
  <c r="O16" i="39"/>
  <c r="AA8" i="39"/>
  <c r="Y5" i="39"/>
  <c r="M1" i="29"/>
  <c r="R58" i="39" l="1"/>
  <c r="R48" i="39" s="1"/>
  <c r="U52" i="39" s="1"/>
  <c r="P18" i="39"/>
  <c r="P20" i="39"/>
  <c r="Q14" i="39"/>
  <c r="Q16" i="39"/>
  <c r="P16" i="39"/>
  <c r="P15" i="39"/>
  <c r="P17" i="39"/>
  <c r="Z45" i="65"/>
  <c r="Y32" i="65"/>
  <c r="Z27" i="65"/>
  <c r="X27" i="65"/>
  <c r="V27" i="65"/>
  <c r="T27" i="65"/>
  <c r="Z26" i="65"/>
  <c r="X26" i="65"/>
  <c r="V26" i="65"/>
  <c r="T26" i="65"/>
  <c r="R26" i="65"/>
  <c r="Z25" i="65"/>
  <c r="X25" i="65"/>
  <c r="V25" i="65"/>
  <c r="T25" i="65"/>
  <c r="T28" i="65" s="1"/>
  <c r="Y33" i="65" s="1"/>
  <c r="Z24" i="65"/>
  <c r="X24" i="65"/>
  <c r="V24" i="65"/>
  <c r="R24" i="65" s="1"/>
  <c r="T24" i="65"/>
  <c r="Q24" i="65"/>
  <c r="Q25" i="65" s="1"/>
  <c r="Q26" i="65" s="1"/>
  <c r="Q27" i="65" s="1"/>
  <c r="S17" i="65"/>
  <c r="T17" i="65" s="1"/>
  <c r="R17" i="65"/>
  <c r="S16" i="65"/>
  <c r="T16" i="65" s="1"/>
  <c r="R16" i="65"/>
  <c r="S15" i="65"/>
  <c r="T15" i="65" s="1"/>
  <c r="R15" i="65"/>
  <c r="S14" i="65"/>
  <c r="T14" i="65" s="1"/>
  <c r="R14" i="65"/>
  <c r="Q14" i="65"/>
  <c r="Q15" i="65" s="1"/>
  <c r="Q16" i="65" s="1"/>
  <c r="Q17" i="65" s="1"/>
  <c r="O36" i="1"/>
  <c r="A15" i="66"/>
  <c r="N36" i="1"/>
  <c r="A11" i="66"/>
  <c r="U20" i="39" l="1"/>
  <c r="Q19" i="39"/>
  <c r="Q17" i="39"/>
  <c r="U17" i="39" s="1"/>
  <c r="Q20" i="39"/>
  <c r="R20" i="39" s="1"/>
  <c r="S20" i="39" s="1"/>
  <c r="Q18" i="39"/>
  <c r="R18" i="39" s="1"/>
  <c r="S18" i="39" s="1"/>
  <c r="R16" i="39"/>
  <c r="S16" i="39" s="1"/>
  <c r="U16" i="39"/>
  <c r="U18" i="39"/>
  <c r="R53" i="39"/>
  <c r="Y7" i="39" s="1"/>
  <c r="R25" i="65"/>
  <c r="R27" i="65"/>
  <c r="R28" i="65"/>
  <c r="W33" i="65" s="1"/>
  <c r="AA33" i="65" s="1"/>
  <c r="S38" i="65" s="1"/>
  <c r="U40" i="65" s="1"/>
  <c r="W45" i="65" s="1"/>
  <c r="T18" i="65"/>
  <c r="S45" i="65" s="1"/>
  <c r="S46" i="65" s="1"/>
  <c r="W32" i="65"/>
  <c r="AA32" i="65" s="1"/>
  <c r="U45" i="65" s="1"/>
  <c r="R17" i="39" l="1"/>
  <c r="S17" i="39" s="1"/>
  <c r="R19" i="39"/>
  <c r="S19" i="39" s="1"/>
  <c r="U19" i="39"/>
  <c r="U46" i="65"/>
  <c r="S47" i="65" s="1"/>
  <c r="S21" i="39" l="1"/>
  <c r="Y3" i="39" s="1"/>
  <c r="Y8" i="39" s="1"/>
  <c r="Y9" i="39" s="1"/>
  <c r="U30" i="68"/>
  <c r="S30" i="68"/>
  <c r="Q30" i="68"/>
  <c r="U29" i="68"/>
  <c r="S29" i="68"/>
  <c r="U28" i="68"/>
  <c r="S28" i="68"/>
  <c r="U27" i="68"/>
  <c r="S27" i="68"/>
  <c r="U18" i="68"/>
  <c r="U19" i="68" s="1"/>
  <c r="Q17" i="68"/>
  <c r="W14" i="68"/>
  <c r="U13" i="68"/>
  <c r="T13" i="68"/>
  <c r="S13" i="68"/>
  <c r="R13" i="68"/>
  <c r="R9" i="68"/>
  <c r="Q9" i="68"/>
  <c r="S8" i="68"/>
  <c r="R16" i="68" s="1"/>
  <c r="R8" i="68"/>
  <c r="Q8" i="68"/>
  <c r="Q29" i="68" s="1"/>
  <c r="T7" i="68"/>
  <c r="S15" i="68" s="1"/>
  <c r="S7" i="68"/>
  <c r="R15" i="68" s="1"/>
  <c r="R7" i="68"/>
  <c r="Q7" i="68"/>
  <c r="Q6" i="68" s="1"/>
  <c r="U6" i="68"/>
  <c r="T14" i="68" s="1"/>
  <c r="T18" i="68" s="1"/>
  <c r="T6" i="68"/>
  <c r="S14" i="68" s="1"/>
  <c r="S18" i="68" s="1"/>
  <c r="S6" i="68"/>
  <c r="R14" i="68" s="1"/>
  <c r="R18" i="68" s="1"/>
  <c r="R6" i="68"/>
  <c r="S54" i="69"/>
  <c r="U54" i="69" s="1"/>
  <c r="Q54" i="69"/>
  <c r="Q41" i="69"/>
  <c r="U48" i="69"/>
  <c r="U47" i="69"/>
  <c r="T44" i="69"/>
  <c r="S44" i="69"/>
  <c r="T43" i="69"/>
  <c r="R32" i="69"/>
  <c r="R51" i="69" s="1"/>
  <c r="S31" i="69"/>
  <c r="T30" i="69"/>
  <c r="T51" i="69" s="1"/>
  <c r="Q30" i="69"/>
  <c r="Q31" i="69" s="1"/>
  <c r="Q32" i="69" s="1"/>
  <c r="U29" i="69"/>
  <c r="U51" i="69" s="1"/>
  <c r="W17" i="69"/>
  <c r="W18" i="69" s="1"/>
  <c r="W19" i="69" s="1"/>
  <c r="W20" i="69" s="1"/>
  <c r="Q17" i="69"/>
  <c r="Q18" i="69" s="1"/>
  <c r="Q19" i="69" s="1"/>
  <c r="Q20" i="69" s="1"/>
  <c r="R10" i="69"/>
  <c r="R11" i="69" s="1"/>
  <c r="S9" i="69"/>
  <c r="S11" i="69" s="1"/>
  <c r="R9" i="69"/>
  <c r="T8" i="69"/>
  <c r="T11" i="69" s="1"/>
  <c r="S8" i="69"/>
  <c r="R8" i="69"/>
  <c r="U7" i="69"/>
  <c r="U11" i="69" s="1"/>
  <c r="U17" i="69" s="1"/>
  <c r="AA17" i="69" s="1"/>
  <c r="T7" i="69"/>
  <c r="S7" i="69"/>
  <c r="R7" i="69"/>
  <c r="Q7" i="69"/>
  <c r="Q8" i="69" s="1"/>
  <c r="Q9" i="69" s="1"/>
  <c r="Q10" i="69" s="1"/>
  <c r="B19" i="69"/>
  <c r="B20" i="69" s="1"/>
  <c r="B21" i="69" s="1"/>
  <c r="B12" i="69"/>
  <c r="B13" i="69" s="1"/>
  <c r="B14" i="69" s="1"/>
  <c r="Q15" i="68" l="1"/>
  <c r="Q28" i="68"/>
  <c r="Q16" i="68"/>
  <c r="Q27" i="68"/>
  <c r="Q14" i="68"/>
  <c r="T19" i="68"/>
  <c r="T20" i="68" s="1"/>
  <c r="R28" i="68" s="1"/>
  <c r="T28" i="68" s="1"/>
  <c r="V28" i="68" s="1"/>
  <c r="U20" i="68"/>
  <c r="R27" i="68" s="1"/>
  <c r="T27" i="68" s="1"/>
  <c r="V27" i="68" s="1"/>
  <c r="U52" i="69"/>
  <c r="T22" i="69"/>
  <c r="R20" i="69"/>
  <c r="X20" i="69" s="1"/>
  <c r="R17" i="69"/>
  <c r="R19" i="69"/>
  <c r="X19" i="69" s="1"/>
  <c r="R18" i="69"/>
  <c r="X18" i="69" s="1"/>
  <c r="T18" i="69"/>
  <c r="Z18" i="69" s="1"/>
  <c r="T17" i="69"/>
  <c r="Z17" i="69" s="1"/>
  <c r="S17" i="69"/>
  <c r="Y17" i="69" s="1"/>
  <c r="T23" i="69"/>
  <c r="S19" i="69"/>
  <c r="Y19" i="69" s="1"/>
  <c r="S18" i="69"/>
  <c r="Q42" i="69"/>
  <c r="Q43" i="69" s="1"/>
  <c r="Q44" i="69" s="1"/>
  <c r="S51" i="69"/>
  <c r="S19" i="68" l="1"/>
  <c r="S29" i="69"/>
  <c r="X17" i="69"/>
  <c r="R22" i="69"/>
  <c r="R31" i="69"/>
  <c r="R43" i="69" s="1"/>
  <c r="R23" i="69"/>
  <c r="Y18" i="69"/>
  <c r="T29" i="69"/>
  <c r="S36" i="69"/>
  <c r="R30" i="69"/>
  <c r="S20" i="68" l="1"/>
  <c r="R29" i="68" s="1"/>
  <c r="T29" i="68" s="1"/>
  <c r="V29" i="68" s="1"/>
  <c r="R19" i="68"/>
  <c r="R20" i="68" s="1"/>
  <c r="R30" i="68" s="1"/>
  <c r="T30" i="68" s="1"/>
  <c r="V30" i="68" s="1"/>
  <c r="S41" i="69"/>
  <c r="R36" i="69"/>
  <c r="T41" i="69"/>
  <c r="T45" i="69" s="1"/>
  <c r="T48" i="69" s="1"/>
  <c r="S34" i="69"/>
  <c r="R29" i="69"/>
  <c r="R34" i="69" s="1"/>
  <c r="S30" i="69"/>
  <c r="S35" i="69"/>
  <c r="R41" i="69"/>
  <c r="V31" i="68" l="1"/>
  <c r="T52" i="69"/>
  <c r="R42" i="69"/>
  <c r="R45" i="69" s="1"/>
  <c r="R35" i="69"/>
  <c r="S42" i="69"/>
  <c r="S45" i="69" s="1"/>
  <c r="S48" i="69" s="1"/>
  <c r="R48" i="69" l="1"/>
  <c r="R52" i="69" s="1"/>
  <c r="S52" i="69"/>
  <c r="P61" i="27" l="1"/>
  <c r="N61" i="27"/>
  <c r="M57" i="27"/>
  <c r="M58" i="27" s="1"/>
  <c r="M59" i="27" s="1"/>
  <c r="M56" i="27"/>
  <c r="V46" i="27"/>
  <c r="M44" i="27"/>
  <c r="M45" i="27" s="1"/>
  <c r="M46" i="27" s="1"/>
  <c r="M43" i="27"/>
  <c r="W36" i="27"/>
  <c r="W35" i="27"/>
  <c r="M35" i="27"/>
  <c r="M36" i="27" s="1"/>
  <c r="M37" i="27" s="1"/>
  <c r="W34" i="27"/>
  <c r="M34" i="27"/>
  <c r="N28" i="27"/>
  <c r="X43" i="27" s="1"/>
  <c r="O27" i="27"/>
  <c r="W26" i="27"/>
  <c r="P26" i="27"/>
  <c r="M26" i="27"/>
  <c r="M27" i="27" s="1"/>
  <c r="M28" i="27" s="1"/>
  <c r="Q25" i="27"/>
  <c r="R43" i="27" s="1"/>
  <c r="O56" i="27" s="1"/>
  <c r="M25" i="27"/>
  <c r="Q19" i="27"/>
  <c r="W18" i="27"/>
  <c r="U18" i="27"/>
  <c r="S18" i="27" s="1"/>
  <c r="N18" i="27"/>
  <c r="W17" i="27"/>
  <c r="U17" i="27"/>
  <c r="S17" i="27"/>
  <c r="O17" i="27"/>
  <c r="N17" i="27"/>
  <c r="W16" i="27"/>
  <c r="U16" i="27"/>
  <c r="S16" i="27" s="1"/>
  <c r="P16" i="27"/>
  <c r="P19" i="27" s="1"/>
  <c r="U28" i="27" s="1"/>
  <c r="O16" i="27"/>
  <c r="O19" i="27" s="1"/>
  <c r="N16" i="27"/>
  <c r="N19" i="27" s="1"/>
  <c r="U26" i="27" s="1"/>
  <c r="M16" i="27"/>
  <c r="M17" i="27" s="1"/>
  <c r="M18" i="27" s="1"/>
  <c r="M19" i="27" s="1"/>
  <c r="N10" i="27"/>
  <c r="O9" i="27"/>
  <c r="N36" i="27" s="1"/>
  <c r="N9" i="27"/>
  <c r="P8" i="27"/>
  <c r="O35" i="27" s="1"/>
  <c r="O8" i="27"/>
  <c r="N8" i="27"/>
  <c r="Q7" i="27"/>
  <c r="U36" i="27" s="1"/>
  <c r="S36" i="27" s="1"/>
  <c r="P7" i="27"/>
  <c r="O34" i="27" s="1"/>
  <c r="O37" i="27" s="1"/>
  <c r="O7" i="27"/>
  <c r="U34" i="27" s="1"/>
  <c r="N7" i="27"/>
  <c r="M7" i="27"/>
  <c r="M8" i="27" s="1"/>
  <c r="M9" i="27" s="1"/>
  <c r="M10" i="27" s="1"/>
  <c r="B19" i="27"/>
  <c r="B20" i="27" s="1"/>
  <c r="B21" i="27" s="1"/>
  <c r="B12" i="27"/>
  <c r="B13" i="27" s="1"/>
  <c r="B14" i="27" s="1"/>
  <c r="S26" i="27" l="1"/>
  <c r="S34" i="27"/>
  <c r="Q26" i="27"/>
  <c r="R44" i="27" s="1"/>
  <c r="N56" i="27"/>
  <c r="P34" i="27"/>
  <c r="P37" i="27" s="1"/>
  <c r="Q44" i="27" s="1"/>
  <c r="U27" i="27"/>
  <c r="P27" i="27"/>
  <c r="Q27" i="27" s="1"/>
  <c r="R45" i="27" s="1"/>
  <c r="P45" i="27"/>
  <c r="V44" i="27"/>
  <c r="V45" i="27"/>
  <c r="Q45" i="27"/>
  <c r="U35" i="27"/>
  <c r="S35" i="27" s="1"/>
  <c r="N34" i="27"/>
  <c r="N35" i="27"/>
  <c r="O28" i="27"/>
  <c r="S73" i="28"/>
  <c r="R73" i="28"/>
  <c r="Q73" i="28"/>
  <c r="O67" i="28"/>
  <c r="O68" i="28" s="1"/>
  <c r="O69" i="28" s="1"/>
  <c r="O70" i="28" s="1"/>
  <c r="O49" i="28"/>
  <c r="O50" i="28" s="1"/>
  <c r="O51" i="28" s="1"/>
  <c r="O52" i="28" s="1"/>
  <c r="O39" i="28"/>
  <c r="O40" i="28" s="1"/>
  <c r="O41" i="28" s="1"/>
  <c r="O42" i="28" s="1"/>
  <c r="P33" i="28"/>
  <c r="V33" i="28" s="1"/>
  <c r="V32" i="28"/>
  <c r="Q32" i="28"/>
  <c r="W32" i="28" s="1"/>
  <c r="P32" i="28"/>
  <c r="R31" i="28"/>
  <c r="Q31" i="28"/>
  <c r="P31" i="28"/>
  <c r="V31" i="28" s="1"/>
  <c r="U30" i="28"/>
  <c r="U31" i="28" s="1"/>
  <c r="U32" i="28" s="1"/>
  <c r="U33" i="28" s="1"/>
  <c r="S30" i="28"/>
  <c r="R30" i="28"/>
  <c r="X30" i="28" s="1"/>
  <c r="Q30" i="28"/>
  <c r="P30" i="28"/>
  <c r="V30" i="28" s="1"/>
  <c r="O30" i="28"/>
  <c r="O31" i="28" s="1"/>
  <c r="O32" i="28" s="1"/>
  <c r="O33" i="28" s="1"/>
  <c r="P24" i="28"/>
  <c r="R56" i="28" s="1"/>
  <c r="Q23" i="28"/>
  <c r="P23" i="28"/>
  <c r="P41" i="28" s="1"/>
  <c r="R22" i="28"/>
  <c r="Q22" i="28"/>
  <c r="Q40" i="28" s="1"/>
  <c r="P22" i="28"/>
  <c r="V22" i="28" s="1"/>
  <c r="U21" i="28"/>
  <c r="U22" i="28" s="1"/>
  <c r="U23" i="28" s="1"/>
  <c r="U24" i="28" s="1"/>
  <c r="S21" i="28"/>
  <c r="S39" i="28" s="1"/>
  <c r="R21" i="28"/>
  <c r="R39" i="28" s="1"/>
  <c r="Q21" i="28"/>
  <c r="P21" i="28"/>
  <c r="P39" i="28" s="1"/>
  <c r="O21" i="28"/>
  <c r="O22" i="28" s="1"/>
  <c r="O23" i="28" s="1"/>
  <c r="O24" i="28" s="1"/>
  <c r="S32" i="29"/>
  <c r="P32" i="29"/>
  <c r="R29" i="29"/>
  <c r="W32" i="29" s="1"/>
  <c r="X26" i="29"/>
  <c r="V26" i="29"/>
  <c r="T26" i="29"/>
  <c r="R23" i="29"/>
  <c r="S20" i="29"/>
  <c r="Q20" i="29"/>
  <c r="O20" i="29"/>
  <c r="U20" i="29" s="1"/>
  <c r="S19" i="29"/>
  <c r="U19" i="29" s="1"/>
  <c r="Q19" i="29"/>
  <c r="O19" i="29"/>
  <c r="U18" i="29"/>
  <c r="S18" i="29"/>
  <c r="Q18" i="29"/>
  <c r="O18" i="29"/>
  <c r="N18" i="29"/>
  <c r="N19" i="29" s="1"/>
  <c r="N20" i="29" s="1"/>
  <c r="S17" i="29"/>
  <c r="Q17" i="29"/>
  <c r="O17" i="29"/>
  <c r="U17" i="29" s="1"/>
  <c r="N17" i="29"/>
  <c r="S11" i="29"/>
  <c r="U11" i="29" s="1"/>
  <c r="Q11" i="29"/>
  <c r="O11" i="29"/>
  <c r="U10" i="29"/>
  <c r="S10" i="29"/>
  <c r="Q10" i="29"/>
  <c r="O10" i="29"/>
  <c r="S9" i="29"/>
  <c r="Q9" i="29"/>
  <c r="O9" i="29"/>
  <c r="U9" i="29" s="1"/>
  <c r="N9" i="29"/>
  <c r="N10" i="29" s="1"/>
  <c r="N11" i="29" s="1"/>
  <c r="S8" i="29"/>
  <c r="Q8" i="29"/>
  <c r="O8" i="29"/>
  <c r="U8" i="29" s="1"/>
  <c r="N8" i="29"/>
  <c r="A7" i="29"/>
  <c r="N58" i="27" l="1"/>
  <c r="O57" i="27"/>
  <c r="N57" i="27"/>
  <c r="X44" i="27"/>
  <c r="T44" i="27" s="1"/>
  <c r="P28" i="27"/>
  <c r="W27" i="27"/>
  <c r="S27" i="27" s="1"/>
  <c r="P46" i="27"/>
  <c r="O58" i="27"/>
  <c r="N37" i="27"/>
  <c r="P68" i="28"/>
  <c r="R40" i="28"/>
  <c r="R43" i="28" s="1"/>
  <c r="X60" i="28" s="1"/>
  <c r="R57" i="28"/>
  <c r="W21" i="28"/>
  <c r="X21" i="28"/>
  <c r="Y30" i="28"/>
  <c r="W31" i="28"/>
  <c r="R60" i="28"/>
  <c r="X31" i="28"/>
  <c r="R55" i="28"/>
  <c r="V23" i="28"/>
  <c r="P69" i="28" s="1"/>
  <c r="P70" i="28" s="1"/>
  <c r="W30" i="28"/>
  <c r="U57" i="28"/>
  <c r="U56" i="28"/>
  <c r="W67" i="28"/>
  <c r="Q67" i="28"/>
  <c r="U67" i="28" s="1"/>
  <c r="R67" i="28"/>
  <c r="Y21" i="28"/>
  <c r="S67" i="28" s="1"/>
  <c r="S70" i="28" s="1"/>
  <c r="P42" i="28"/>
  <c r="P43" i="28" s="1"/>
  <c r="V21" i="28"/>
  <c r="P67" i="28" s="1"/>
  <c r="Q39" i="28"/>
  <c r="P40" i="28"/>
  <c r="W22" i="28"/>
  <c r="W68" i="28" s="1"/>
  <c r="R58" i="28"/>
  <c r="R59" i="28"/>
  <c r="X22" i="28"/>
  <c r="R68" i="28" s="1"/>
  <c r="W23" i="28"/>
  <c r="Q69" i="28" s="1"/>
  <c r="V24" i="28"/>
  <c r="Q41" i="28"/>
  <c r="Q43" i="28" s="1"/>
  <c r="P56" i="28"/>
  <c r="R52" i="28" s="1"/>
  <c r="R71" i="28" s="1"/>
  <c r="U12" i="29"/>
  <c r="P26" i="29" s="1"/>
  <c r="U21" i="29"/>
  <c r="R26" i="29" s="1"/>
  <c r="R37" i="29"/>
  <c r="O46" i="27" l="1"/>
  <c r="V43" i="27"/>
  <c r="T43" i="27" s="1"/>
  <c r="X45" i="27"/>
  <c r="T45" i="27" s="1"/>
  <c r="Q28" i="27"/>
  <c r="W28" i="27"/>
  <c r="S28" i="27" s="1"/>
  <c r="Q46" i="27"/>
  <c r="U58" i="28"/>
  <c r="U60" i="28"/>
  <c r="P60" i="28"/>
  <c r="S50" i="28" s="1"/>
  <c r="U59" i="28"/>
  <c r="P55" i="28"/>
  <c r="Q52" i="28" s="1"/>
  <c r="Q71" i="28" s="1"/>
  <c r="Q70" i="28"/>
  <c r="U69" i="28"/>
  <c r="Q72" i="28"/>
  <c r="Q74" i="28" s="1"/>
  <c r="Q68" i="28"/>
  <c r="U68" i="28" s="1"/>
  <c r="X59" i="28"/>
  <c r="X58" i="28"/>
  <c r="U55" i="28"/>
  <c r="R70" i="28"/>
  <c r="R72" i="28" s="1"/>
  <c r="R74" i="28" s="1"/>
  <c r="W69" i="28"/>
  <c r="X57" i="28"/>
  <c r="X56" i="28"/>
  <c r="X55" i="28"/>
  <c r="P57" i="28"/>
  <c r="S52" i="28" s="1"/>
  <c r="S71" i="28" s="1"/>
  <c r="S72" i="28" s="1"/>
  <c r="S74" i="28" s="1"/>
  <c r="P58" i="28"/>
  <c r="R51" i="28" s="1"/>
  <c r="P59" i="28"/>
  <c r="S51" i="28" s="1"/>
  <c r="P27" i="29"/>
  <c r="U32" i="29" s="1"/>
  <c r="P33" i="29" s="1"/>
  <c r="P37" i="29" s="1"/>
  <c r="P38" i="29" s="1"/>
  <c r="R46" i="27" l="1"/>
  <c r="N59" i="27" s="1"/>
  <c r="X46" i="27"/>
  <c r="T46" i="27" s="1"/>
  <c r="O59" i="27"/>
  <c r="R61" i="27" s="1"/>
  <c r="T74" i="28"/>
  <c r="T75" i="28" s="1"/>
  <c r="T54" i="30"/>
  <c r="R49" i="30"/>
  <c r="S47" i="30"/>
  <c r="R44" i="30"/>
  <c r="R39" i="30"/>
  <c r="P39" i="30"/>
  <c r="P40" i="30" s="1"/>
  <c r="P44" i="30" s="1"/>
  <c r="P45" i="30" s="1"/>
  <c r="P49" i="30" s="1"/>
  <c r="P50" i="30" s="1"/>
  <c r="P54" i="30" s="1"/>
  <c r="P55" i="30" s="1"/>
  <c r="R34" i="30"/>
  <c r="P34" i="30"/>
  <c r="P35" i="30" s="1"/>
  <c r="T39" i="30" s="1"/>
  <c r="T27" i="30"/>
  <c r="R22" i="30"/>
  <c r="S20" i="30"/>
  <c r="R17" i="30"/>
  <c r="R12" i="30"/>
  <c r="P12" i="30"/>
  <c r="P13" i="30" s="1"/>
  <c r="P17" i="30" s="1"/>
  <c r="P18" i="30" s="1"/>
  <c r="P22" i="30" s="1"/>
  <c r="P23" i="30" s="1"/>
  <c r="P27" i="30" s="1"/>
  <c r="P28" i="30" s="1"/>
  <c r="P29" i="23" l="1"/>
  <c r="Q28" i="23"/>
  <c r="P28" i="23"/>
  <c r="R27" i="23"/>
  <c r="Q27" i="23"/>
  <c r="P27" i="23"/>
  <c r="S26" i="23"/>
  <c r="R26" i="23"/>
  <c r="Q26" i="23"/>
  <c r="P26" i="23"/>
  <c r="T25" i="23"/>
  <c r="S25" i="23"/>
  <c r="R25" i="23"/>
  <c r="Q25" i="23"/>
  <c r="P25" i="23"/>
  <c r="U24" i="23"/>
  <c r="T24" i="23"/>
  <c r="S24" i="23"/>
  <c r="R24" i="23"/>
  <c r="Q24" i="23"/>
  <c r="P24" i="23"/>
  <c r="R16" i="23"/>
  <c r="R15" i="23"/>
  <c r="T14" i="23"/>
  <c r="S14" i="23"/>
  <c r="P14" i="23"/>
  <c r="U13" i="23"/>
  <c r="R13" i="23"/>
  <c r="Q13" i="23"/>
  <c r="E22" i="23"/>
  <c r="F22" i="23" s="1"/>
  <c r="G22" i="23" s="1"/>
  <c r="H22" i="23" s="1"/>
  <c r="D22" i="23"/>
  <c r="P18" i="23"/>
  <c r="Q17" i="23"/>
  <c r="P17" i="23"/>
  <c r="Q16" i="23"/>
  <c r="P16" i="23"/>
  <c r="S15" i="23"/>
  <c r="Q15" i="23"/>
  <c r="P15" i="23"/>
  <c r="B15" i="23"/>
  <c r="B16" i="23" s="1"/>
  <c r="B17" i="23" s="1"/>
  <c r="B18" i="23" s="1"/>
  <c r="B19" i="23" s="1"/>
  <c r="R14" i="23"/>
  <c r="Q14" i="23"/>
  <c r="T13" i="23"/>
  <c r="S13" i="23"/>
  <c r="P13" i="23"/>
  <c r="D13" i="23"/>
  <c r="E13" i="23" s="1"/>
  <c r="F13" i="23" s="1"/>
  <c r="G13" i="23" s="1"/>
  <c r="H13" i="23" s="1"/>
  <c r="R38" i="22" l="1"/>
  <c r="S38" i="22" s="1"/>
  <c r="R29" i="22"/>
  <c r="S29" i="22" s="1"/>
  <c r="W20" i="22"/>
  <c r="X20" i="22" s="1"/>
  <c r="R20" i="22"/>
  <c r="S20" i="22" s="1"/>
  <c r="P12" i="22"/>
  <c r="P13" i="22" s="1"/>
  <c r="T11" i="22"/>
  <c r="R21" i="22" s="1"/>
  <c r="Y30" i="22" s="1"/>
  <c r="Y31" i="22" s="1"/>
  <c r="P11" i="22"/>
  <c r="W11" i="22" s="1"/>
  <c r="X21" i="22" s="1"/>
  <c r="V7" i="22"/>
  <c r="T7" i="22"/>
  <c r="R7" i="22"/>
  <c r="P23" i="22" l="1"/>
  <c r="U13" i="22"/>
  <c r="S13" i="22"/>
  <c r="V13" i="22"/>
  <c r="Q23" i="22" s="1"/>
  <c r="Q32" i="22" s="1"/>
  <c r="Q41" i="22" s="1"/>
  <c r="P14" i="22"/>
  <c r="T13" i="22"/>
  <c r="W13" i="22"/>
  <c r="V23" i="22" s="1"/>
  <c r="R13" i="22"/>
  <c r="U11" i="22"/>
  <c r="W21" i="22" s="1"/>
  <c r="V12" i="22"/>
  <c r="R22" i="22" s="1"/>
  <c r="P21" i="22"/>
  <c r="P22" i="22"/>
  <c r="R11" i="22"/>
  <c r="Q21" i="22" s="1"/>
  <c r="V11" i="22"/>
  <c r="S21" i="22" s="1"/>
  <c r="AA31" i="22" s="1"/>
  <c r="S12" i="22"/>
  <c r="W12" i="22"/>
  <c r="W22" i="22" s="1"/>
  <c r="U12" i="22"/>
  <c r="V22" i="22" s="1"/>
  <c r="R12" i="22"/>
  <c r="S11" i="22"/>
  <c r="V21" i="22" s="1"/>
  <c r="T12" i="22"/>
  <c r="Q22" i="22" s="1"/>
  <c r="P31" i="22" l="1"/>
  <c r="P40" i="22" s="1"/>
  <c r="U22" i="22"/>
  <c r="Q31" i="22"/>
  <c r="Q40" i="22" s="1"/>
  <c r="R31" i="22"/>
  <c r="R40" i="22" s="1"/>
  <c r="P30" i="22"/>
  <c r="P39" i="22" s="1"/>
  <c r="U21" i="22"/>
  <c r="W30" i="22"/>
  <c r="W31" i="22" s="1"/>
  <c r="S30" i="22"/>
  <c r="R30" i="22"/>
  <c r="Q30" i="22"/>
  <c r="Q39" i="22" s="1"/>
  <c r="P24" i="22"/>
  <c r="V14" i="22"/>
  <c r="R14" i="22"/>
  <c r="U14" i="22"/>
  <c r="T14" i="22"/>
  <c r="W14" i="22"/>
  <c r="S14" i="22"/>
  <c r="P32" i="22"/>
  <c r="P41" i="22" s="1"/>
  <c r="U23" i="22"/>
  <c r="S39" i="22" l="1"/>
  <c r="U31" i="22"/>
  <c r="P33" i="22"/>
  <c r="P42" i="22" s="1"/>
  <c r="U24" i="22"/>
  <c r="U30" i="22"/>
  <c r="R39" i="22"/>
  <c r="S28" i="54" l="1"/>
  <c r="Q28" i="54"/>
  <c r="T25" i="54"/>
  <c r="S16" i="54"/>
  <c r="S15" i="54"/>
  <c r="P15" i="54"/>
  <c r="Q15" i="54" s="1"/>
  <c r="O15" i="54"/>
  <c r="N15" i="54"/>
  <c r="S14" i="54"/>
  <c r="P14" i="54"/>
  <c r="Q14" i="54" s="1"/>
  <c r="O14" i="54"/>
  <c r="N14" i="54"/>
  <c r="S13" i="54"/>
  <c r="P13" i="54"/>
  <c r="Q13" i="54" s="1"/>
  <c r="O13" i="54"/>
  <c r="M28" i="54" s="1"/>
  <c r="N13" i="54"/>
  <c r="S18" i="36"/>
  <c r="M18" i="36"/>
  <c r="O13" i="36"/>
  <c r="N13" i="36"/>
  <c r="S19" i="36" s="1"/>
  <c r="P10" i="36"/>
  <c r="P9" i="36"/>
  <c r="P8" i="36"/>
  <c r="P13" i="36" s="1"/>
  <c r="P19" i="36" s="1"/>
  <c r="O7" i="36"/>
  <c r="N7" i="36"/>
  <c r="E19" i="36"/>
  <c r="D19" i="36"/>
  <c r="O26" i="35"/>
  <c r="R20" i="35"/>
  <c r="P20" i="35"/>
  <c r="P14" i="35"/>
  <c r="P7" i="35"/>
  <c r="O8" i="35" s="1"/>
  <c r="R6" i="35"/>
  <c r="P6" i="35"/>
  <c r="A15" i="35"/>
  <c r="A11" i="35"/>
  <c r="V37" i="38"/>
  <c r="R37" i="38"/>
  <c r="V36" i="38"/>
  <c r="R36" i="38"/>
  <c r="V35" i="38"/>
  <c r="R35" i="38"/>
  <c r="Z13" i="38"/>
  <c r="Y13" i="38"/>
  <c r="V13" i="38"/>
  <c r="U13" i="38"/>
  <c r="R13" i="38"/>
  <c r="Q13" i="38"/>
  <c r="Z12" i="38"/>
  <c r="Y12" i="38"/>
  <c r="V12" i="38"/>
  <c r="U12" i="38"/>
  <c r="R12" i="38"/>
  <c r="Q12" i="38"/>
  <c r="Z11" i="38"/>
  <c r="Y11" i="38"/>
  <c r="V11" i="38"/>
  <c r="U11" i="38"/>
  <c r="R11" i="38"/>
  <c r="Q11" i="38"/>
  <c r="Q16" i="54" l="1"/>
  <c r="N16" i="54"/>
  <c r="T34" i="54"/>
  <c r="P20" i="36"/>
  <c r="R14" i="35"/>
  <c r="O15" i="35" s="1"/>
  <c r="U20" i="35" s="1"/>
  <c r="O21" i="35" s="1"/>
  <c r="Q26" i="35"/>
  <c r="O27" i="35"/>
  <c r="U14" i="38"/>
  <c r="Q25" i="38" s="1"/>
  <c r="T25" i="38" s="1"/>
  <c r="V14" i="38"/>
  <c r="R25" i="38" s="1"/>
  <c r="R14" i="38"/>
  <c r="R24" i="38" s="1"/>
  <c r="Z14" i="38"/>
  <c r="R26" i="38" s="1"/>
  <c r="R38" i="38"/>
  <c r="S25" i="38"/>
  <c r="Q36" i="38" s="1"/>
  <c r="S36" i="38"/>
  <c r="R13" i="54" l="1"/>
  <c r="T13" i="54" s="1"/>
  <c r="U13" i="54" s="1"/>
  <c r="P34" i="54" s="1"/>
  <c r="R16" i="54"/>
  <c r="O28" i="54" s="1"/>
  <c r="W28" i="54" s="1"/>
  <c r="R15" i="54"/>
  <c r="T15" i="54" s="1"/>
  <c r="U15" i="54" s="1"/>
  <c r="R41" i="54" s="1"/>
  <c r="R14" i="54"/>
  <c r="T14" i="54" s="1"/>
  <c r="U14" i="54" s="1"/>
  <c r="P41" i="54" s="1"/>
  <c r="T41" i="54" s="1"/>
  <c r="R43" i="54" s="1"/>
  <c r="Y14" i="38"/>
  <c r="Q26" i="38" s="1"/>
  <c r="Q14" i="38"/>
  <c r="Q24" i="38" s="1"/>
  <c r="T24" i="38"/>
  <c r="S24" i="38"/>
  <c r="Q35" i="38" s="1"/>
  <c r="T26" i="38"/>
  <c r="S26" i="38"/>
  <c r="Q37" i="38" s="1"/>
  <c r="S37" i="38" s="1"/>
  <c r="Q48" i="54" l="1"/>
  <c r="R34" i="54"/>
  <c r="P35" i="54"/>
  <c r="R37" i="54" s="1"/>
  <c r="P37" i="54"/>
  <c r="T16" i="54"/>
  <c r="U16" i="54" s="1"/>
  <c r="Q38" i="38"/>
  <c r="S38" i="38" s="1"/>
  <c r="S35" i="38"/>
  <c r="T37" i="38"/>
  <c r="T37" i="54" l="1"/>
  <c r="P43" i="54" s="1"/>
  <c r="T43" i="54" s="1"/>
  <c r="S48" i="54" s="1"/>
  <c r="Q49" i="54"/>
  <c r="U42" i="38"/>
  <c r="U37" i="38" s="1"/>
  <c r="T35" i="38"/>
  <c r="T38" i="38"/>
  <c r="T36" i="38"/>
  <c r="U38" i="38" l="1"/>
  <c r="U20" i="41" l="1"/>
  <c r="X20" i="41" s="1"/>
  <c r="Y20" i="41" s="1"/>
  <c r="S20" i="41"/>
  <c r="S19" i="41"/>
  <c r="U19" i="41" s="1"/>
  <c r="S18" i="41"/>
  <c r="U18" i="41" s="1"/>
  <c r="S17" i="41"/>
  <c r="U17" i="41" s="1"/>
  <c r="Q37" i="42"/>
  <c r="W27" i="42"/>
  <c r="AK17" i="42" s="1"/>
  <c r="P21" i="42"/>
  <c r="P20" i="42"/>
  <c r="Q20" i="42" s="1"/>
  <c r="P19" i="42"/>
  <c r="Q19" i="42" s="1"/>
  <c r="O19" i="42"/>
  <c r="O20" i="42" s="1"/>
  <c r="O21" i="42" s="1"/>
  <c r="AM18" i="42"/>
  <c r="Y28" i="42" s="1"/>
  <c r="AL18" i="42"/>
  <c r="X28" i="42" s="1"/>
  <c r="AK18" i="42"/>
  <c r="W28" i="42" s="1"/>
  <c r="P18" i="42"/>
  <c r="AM17" i="42"/>
  <c r="AL17" i="42"/>
  <c r="V19" i="41" l="1"/>
  <c r="X19" i="41"/>
  <c r="Y19" i="41" s="1"/>
  <c r="V18" i="41"/>
  <c r="X18" i="41"/>
  <c r="Y18" i="41" s="1"/>
  <c r="X17" i="41"/>
  <c r="Y17" i="41" s="1"/>
  <c r="V17" i="41"/>
  <c r="V20" i="41"/>
  <c r="U37" i="42"/>
  <c r="Q31" i="42"/>
  <c r="Q22" i="42"/>
  <c r="S37" i="42" s="1"/>
  <c r="Q38" i="42" s="1"/>
  <c r="Q21" i="42"/>
  <c r="AE21" i="42"/>
  <c r="V21" i="41" l="1"/>
  <c r="V28" i="41" s="1"/>
  <c r="Y21" i="41"/>
  <c r="V29" i="41" s="1"/>
  <c r="N23" i="51" l="1"/>
  <c r="N19" i="51"/>
  <c r="P23" i="51" s="1"/>
  <c r="P18" i="51"/>
  <c r="Q12" i="51"/>
  <c r="S10" i="51"/>
  <c r="P10" i="51"/>
  <c r="N10" i="51"/>
  <c r="P9" i="51"/>
  <c r="S9" i="51"/>
  <c r="N9" i="51"/>
  <c r="N24" i="51" l="1"/>
  <c r="W26" i="52" l="1"/>
  <c r="U26" i="52"/>
  <c r="S26" i="52"/>
  <c r="Q26" i="52"/>
  <c r="P26" i="52"/>
  <c r="Y26" i="52" s="1"/>
  <c r="O26" i="52"/>
  <c r="AA26" i="52" s="1"/>
  <c r="W25" i="52"/>
  <c r="U25" i="52"/>
  <c r="S25" i="52"/>
  <c r="Q25" i="52"/>
  <c r="P25" i="52"/>
  <c r="Y25" i="52" s="1"/>
  <c r="O25" i="52"/>
  <c r="AA25" i="52" s="1"/>
  <c r="W24" i="52"/>
  <c r="U24" i="52"/>
  <c r="S24" i="52"/>
  <c r="Q24" i="52"/>
  <c r="P24" i="52"/>
  <c r="Y24" i="52" s="1"/>
  <c r="O24" i="52"/>
  <c r="AA24" i="52" s="1"/>
  <c r="W23" i="52"/>
  <c r="U23" i="52"/>
  <c r="S23" i="52"/>
  <c r="Q23" i="52"/>
  <c r="P23" i="52"/>
  <c r="Y23" i="52" s="1"/>
  <c r="O23" i="52"/>
  <c r="AA23" i="52" s="1"/>
  <c r="W22" i="52"/>
  <c r="U22" i="52"/>
  <c r="S22" i="52"/>
  <c r="Q22" i="52"/>
  <c r="P22" i="52"/>
  <c r="Y22" i="52" s="1"/>
  <c r="O22" i="52"/>
  <c r="AA22" i="52" s="1"/>
  <c r="W21" i="52"/>
  <c r="U21" i="52"/>
  <c r="S21" i="52"/>
  <c r="Q21" i="52"/>
  <c r="P21" i="52"/>
  <c r="Y21" i="52" s="1"/>
  <c r="O21" i="52"/>
  <c r="AA21" i="52" s="1"/>
  <c r="W20" i="52"/>
  <c r="U20" i="52"/>
  <c r="S20" i="52"/>
  <c r="Q20" i="52"/>
  <c r="P20" i="52"/>
  <c r="O20" i="52"/>
  <c r="AA20" i="52" s="1"/>
  <c r="W19" i="52"/>
  <c r="U19" i="52"/>
  <c r="S19" i="52"/>
  <c r="Q19" i="52"/>
  <c r="P19" i="52"/>
  <c r="Y19" i="52" s="1"/>
  <c r="O19" i="52"/>
  <c r="AA19" i="52" s="1"/>
  <c r="W18" i="52"/>
  <c r="U18" i="52"/>
  <c r="S18" i="52"/>
  <c r="Q18" i="52"/>
  <c r="P18" i="52"/>
  <c r="O18" i="52"/>
  <c r="AA18" i="52" s="1"/>
  <c r="W17" i="52"/>
  <c r="U17" i="52"/>
  <c r="S17" i="52"/>
  <c r="Q17" i="52"/>
  <c r="P17" i="52"/>
  <c r="Y17" i="52" s="1"/>
  <c r="O17" i="52"/>
  <c r="AA17" i="52" s="1"/>
  <c r="W16" i="52"/>
  <c r="U16" i="52"/>
  <c r="S16" i="52"/>
  <c r="Q16" i="52"/>
  <c r="P16" i="52"/>
  <c r="O16" i="52"/>
  <c r="W15" i="52"/>
  <c r="U15" i="52"/>
  <c r="S15" i="52"/>
  <c r="Q15" i="52"/>
  <c r="P15" i="52"/>
  <c r="Y15" i="52" s="1"/>
  <c r="O15" i="52"/>
  <c r="AA15" i="52" s="1"/>
  <c r="W14" i="52"/>
  <c r="U14" i="52"/>
  <c r="S14" i="52"/>
  <c r="Q14" i="52"/>
  <c r="P14" i="52"/>
  <c r="O14" i="52"/>
  <c r="W13" i="52"/>
  <c r="U13" i="52"/>
  <c r="S13" i="52"/>
  <c r="Q13" i="52"/>
  <c r="P13" i="52"/>
  <c r="Y13" i="52" s="1"/>
  <c r="O13" i="52"/>
  <c r="AA13" i="52" s="1"/>
  <c r="W12" i="52"/>
  <c r="U12" i="52"/>
  <c r="S12" i="52"/>
  <c r="Q12" i="52"/>
  <c r="P12" i="52"/>
  <c r="O12" i="52"/>
  <c r="AA12" i="52" s="1"/>
  <c r="W11" i="52"/>
  <c r="U11" i="52"/>
  <c r="S11" i="52"/>
  <c r="Q11" i="52"/>
  <c r="P11" i="52"/>
  <c r="Y11" i="52" s="1"/>
  <c r="O11" i="52"/>
  <c r="AA11" i="52" s="1"/>
  <c r="Z4" i="52"/>
  <c r="U4" i="52"/>
  <c r="Y12" i="52" l="1"/>
  <c r="Y14" i="52"/>
  <c r="AA14" i="52" s="1"/>
  <c r="Y16" i="52"/>
  <c r="AA16" i="52" s="1"/>
  <c r="Y18" i="52"/>
  <c r="Y20" i="52"/>
  <c r="U7" i="52" l="1"/>
  <c r="AA27" i="52"/>
  <c r="A7" i="69" l="1"/>
  <c r="Q29" i="20" l="1"/>
  <c r="Q30" i="20" s="1"/>
  <c r="Q31" i="20" s="1"/>
  <c r="T21" i="20"/>
  <c r="T20" i="20"/>
  <c r="V18" i="20"/>
  <c r="R18" i="20"/>
  <c r="P29" i="20" s="1"/>
  <c r="Q12" i="20"/>
  <c r="Q13" i="20" s="1"/>
  <c r="Q14" i="20" s="1"/>
  <c r="Q11" i="20"/>
  <c r="P10" i="20"/>
  <c r="R10" i="20" s="1"/>
  <c r="V6" i="20"/>
  <c r="R6" i="20"/>
  <c r="P30" i="20" l="1"/>
  <c r="P31" i="20"/>
  <c r="V10" i="20"/>
  <c r="W10" i="20"/>
  <c r="Q32" i="20"/>
  <c r="V31" i="20"/>
  <c r="V29" i="20"/>
  <c r="V30" i="20"/>
  <c r="P11" i="20"/>
  <c r="P32" i="20"/>
  <c r="P28" i="20"/>
  <c r="P24" i="1"/>
  <c r="V32" i="20" l="1"/>
  <c r="V28" i="20"/>
  <c r="P12" i="20"/>
  <c r="V11" i="20"/>
  <c r="R11" i="20"/>
  <c r="W11" i="20"/>
  <c r="R33" i="20" l="1"/>
  <c r="W12" i="20"/>
  <c r="P13" i="20"/>
  <c r="V12" i="20"/>
  <c r="R12" i="20"/>
  <c r="V13" i="20" l="1"/>
  <c r="W13" i="20"/>
  <c r="R13" i="20"/>
  <c r="P14" i="20"/>
  <c r="R14" i="20" l="1"/>
  <c r="R15" i="20" s="1"/>
  <c r="W14" i="20"/>
  <c r="V14" i="20"/>
  <c r="P23" i="1" l="1"/>
  <c r="A7" i="51" l="1"/>
  <c r="A7" i="53"/>
  <c r="A7" i="5"/>
  <c r="A7" i="4"/>
  <c r="A11" i="65"/>
  <c r="A22" i="67"/>
  <c r="A11" i="28"/>
  <c r="A11" i="30"/>
  <c r="A11" i="20"/>
  <c r="A11" i="54"/>
  <c r="A11" i="41"/>
  <c r="A12" i="42"/>
  <c r="A18" i="49"/>
  <c r="A11" i="50"/>
  <c r="N37" i="1"/>
  <c r="M37" i="1"/>
  <c r="M36" i="1"/>
  <c r="N35" i="1"/>
  <c r="M35" i="1"/>
  <c r="M34" i="1"/>
  <c r="O33" i="1"/>
  <c r="N33" i="1"/>
  <c r="M33" i="1"/>
  <c r="M32" i="1"/>
  <c r="N31" i="1"/>
  <c r="M31" i="1"/>
  <c r="M30" i="1"/>
  <c r="N29" i="1"/>
  <c r="M29" i="1"/>
  <c r="M28" i="1"/>
  <c r="M27" i="1"/>
  <c r="M26" i="1"/>
  <c r="N25" i="1"/>
  <c r="M25" i="1"/>
  <c r="O24" i="1"/>
  <c r="N24" i="1"/>
  <c r="M24" i="1"/>
  <c r="O23" i="1"/>
  <c r="N23" i="1"/>
  <c r="M23" i="1"/>
  <c r="M22" i="1"/>
  <c r="M21" i="1"/>
  <c r="M20" i="1"/>
  <c r="M19" i="1"/>
  <c r="M18" i="1"/>
  <c r="N17" i="1"/>
  <c r="M17" i="1"/>
  <c r="N16" i="1"/>
  <c r="M16" i="1"/>
  <c r="N15" i="1"/>
  <c r="M15" i="1"/>
  <c r="O14" i="1"/>
  <c r="N14" i="1"/>
  <c r="M14" i="1"/>
  <c r="M13" i="1"/>
  <c r="M12" i="1"/>
  <c r="M11" i="1"/>
  <c r="M10" i="1"/>
  <c r="M9" i="1"/>
  <c r="M8" i="1"/>
  <c r="A7" i="2" l="1"/>
  <c r="J33" i="1"/>
  <c r="J37" i="1"/>
  <c r="J35" i="1"/>
  <c r="J34" i="1"/>
  <c r="J36" i="1"/>
  <c r="A7" i="52" l="1"/>
  <c r="A7" i="50" l="1"/>
  <c r="A7" i="49" l="1"/>
  <c r="A7" i="42" l="1"/>
  <c r="A7" i="41" l="1"/>
  <c r="A7" i="39" l="1"/>
  <c r="A7" i="38" l="1"/>
  <c r="A7" i="37" l="1"/>
  <c r="A7" i="36" l="1"/>
  <c r="A7" i="35" l="1"/>
  <c r="A7" i="54" l="1"/>
  <c r="M2" i="1" a="1"/>
  <c r="M2" i="1" s="1"/>
  <c r="P2" i="1" s="1"/>
  <c r="A7" i="20" l="1"/>
  <c r="B9" i="1"/>
  <c r="B10" i="1"/>
  <c r="B11" i="1"/>
  <c r="B12" i="1"/>
  <c r="B13" i="1"/>
  <c r="B14" i="1"/>
  <c r="B15" i="1"/>
  <c r="B16" i="1"/>
  <c r="B17" i="1"/>
  <c r="B18" i="1"/>
  <c r="A4" i="40" s="1"/>
  <c r="B19" i="1"/>
  <c r="B20" i="1"/>
  <c r="B21" i="1"/>
  <c r="B22" i="1"/>
  <c r="B23" i="1"/>
  <c r="B24" i="1"/>
  <c r="B25" i="1"/>
  <c r="B26" i="1"/>
  <c r="B8" i="1"/>
  <c r="A4" i="53" l="1"/>
  <c r="A4" i="50"/>
  <c r="A4" i="5"/>
  <c r="A4" i="51"/>
  <c r="A4" i="4"/>
  <c r="A4" i="52"/>
  <c r="A4" i="21"/>
  <c r="A4" i="20"/>
  <c r="A4" i="54"/>
  <c r="A4" i="35"/>
  <c r="A4" i="36"/>
  <c r="A4" i="37"/>
  <c r="A4" i="38"/>
  <c r="A4" i="39"/>
  <c r="A4" i="41"/>
  <c r="A4" i="42"/>
  <c r="A4" i="49"/>
  <c r="A7" i="21"/>
  <c r="A7" i="22" l="1"/>
  <c r="B27" i="1"/>
  <c r="L26" i="1"/>
  <c r="L32" i="1"/>
  <c r="L31" i="1"/>
  <c r="L30" i="1"/>
  <c r="L29" i="1"/>
  <c r="L28" i="1"/>
  <c r="L27" i="1"/>
  <c r="J27" i="1"/>
  <c r="J15" i="1"/>
  <c r="J13" i="1"/>
  <c r="J21" i="1"/>
  <c r="J30" i="1"/>
  <c r="J14" i="1"/>
  <c r="J28" i="1"/>
  <c r="J20" i="1"/>
  <c r="J26" i="1"/>
  <c r="J19" i="1"/>
  <c r="J16" i="1"/>
  <c r="J10" i="1"/>
  <c r="J31" i="1"/>
  <c r="J17" i="1"/>
  <c r="J25" i="1"/>
  <c r="J32" i="1"/>
  <c r="J18" i="1"/>
  <c r="J29" i="1"/>
  <c r="J9" i="1"/>
  <c r="J12" i="1"/>
  <c r="J11" i="1"/>
  <c r="J22" i="1"/>
  <c r="J24" i="1"/>
  <c r="J23" i="1"/>
  <c r="A4" i="22" l="1"/>
  <c r="A7" i="23"/>
  <c r="B2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J8" i="1"/>
  <c r="L1" i="5" l="1"/>
  <c r="L1" i="50"/>
  <c r="L1" i="36"/>
  <c r="L1" i="21"/>
  <c r="P1" i="68"/>
  <c r="L1" i="53"/>
  <c r="L1" i="49"/>
  <c r="P1" i="39"/>
  <c r="L1" i="35"/>
  <c r="O1" i="22"/>
  <c r="N1" i="28"/>
  <c r="L1" i="67"/>
  <c r="L1" i="2"/>
  <c r="P1" i="52"/>
  <c r="N1" i="42"/>
  <c r="O1" i="38"/>
  <c r="L1" i="54"/>
  <c r="O1" i="23"/>
  <c r="L1" i="27"/>
  <c r="Q1" i="66"/>
  <c r="L1" i="4"/>
  <c r="L1" i="51"/>
  <c r="P1" i="41"/>
  <c r="N1" i="37"/>
  <c r="P1" i="20"/>
  <c r="N1" i="30"/>
  <c r="P1" i="69"/>
  <c r="P1" i="65"/>
  <c r="A4" i="23"/>
  <c r="A7" i="30"/>
  <c r="B29" i="1"/>
  <c r="A4" i="30" s="1"/>
  <c r="A4" i="2"/>
  <c r="B30" i="1" l="1"/>
  <c r="A4" i="29" s="1"/>
  <c r="A7" i="28" l="1"/>
  <c r="B31" i="1"/>
  <c r="A4" i="28" l="1"/>
  <c r="A7" i="27"/>
  <c r="B32" i="1"/>
  <c r="A4" i="27" l="1"/>
  <c r="B33" i="1"/>
  <c r="A4" i="69" s="1"/>
  <c r="A7" i="68" l="1"/>
  <c r="B34" i="1"/>
  <c r="A4" i="68" l="1"/>
  <c r="A7" i="67"/>
  <c r="B35" i="1"/>
  <c r="A4" i="67" l="1"/>
  <c r="A7" i="66"/>
  <c r="B36" i="1"/>
  <c r="A4" i="66" l="1"/>
  <c r="A7" i="65"/>
  <c r="B37" i="1"/>
  <c r="A4" i="65" l="1"/>
  <c r="M3" i="1" l="1"/>
</calcChain>
</file>

<file path=xl/sharedStrings.xml><?xml version="1.0" encoding="utf-8"?>
<sst xmlns="http://schemas.openxmlformats.org/spreadsheetml/2006/main" count="2569" uniqueCount="1098">
  <si>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</si>
  <si>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</si>
  <si>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</si>
  <si>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</si>
  <si>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</si>
  <si>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</si>
  <si>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</si>
  <si>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</si>
  <si>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</si>
  <si>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</si>
  <si>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</si>
  <si>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</si>
  <si>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</si>
  <si>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</si>
  <si>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</si>
  <si>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</si>
  <si>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</si>
  <si>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</si>
  <si>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</si>
  <si>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</si>
  <si>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</si>
  <si>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</si>
  <si>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</si>
  <si>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</si>
  <si>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</si>
  <si>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</si>
  <si>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</si>
  <si>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F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</si>
  <si>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</si>
  <si>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</si>
  <si>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</si>
  <si>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</si>
  <si>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</si>
  <si>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Answers:</t>
  </si>
  <si>
    <t>=</t>
  </si>
  <si>
    <t>+</t>
  </si>
  <si>
    <t>/</t>
  </si>
  <si>
    <t>Answer:</t>
  </si>
  <si>
    <t>R</t>
  </si>
  <si>
    <t>Select the best answer to the following question.</t>
  </si>
  <si>
    <t xml:space="preserve">(B)    </t>
  </si>
  <si>
    <t xml:space="preserve">(A)    </t>
  </si>
  <si>
    <t xml:space="preserve">(C)    </t>
  </si>
  <si>
    <t xml:space="preserve">(D)    </t>
  </si>
  <si>
    <t>General Pricing</t>
  </si>
  <si>
    <t>General Reserving</t>
  </si>
  <si>
    <t>Enter your answer in the space provided.</t>
  </si>
  <si>
    <t>counts</t>
  </si>
  <si>
    <t>Exposures (X)</t>
  </si>
  <si>
    <t>Losses (L)</t>
  </si>
  <si>
    <t>Earned Premium (EP)</t>
  </si>
  <si>
    <t>Written Premium (WP)</t>
  </si>
  <si>
    <t>Loss Adjustment Expense (LAE)</t>
  </si>
  <si>
    <t>Comm, Other, TLF</t>
  </si>
  <si>
    <t>General Expense</t>
  </si>
  <si>
    <t># of policies renewed</t>
  </si>
  <si>
    <t># of potential renewals</t>
  </si>
  <si>
    <t># of accepted quotes</t>
  </si>
  <si>
    <t># of quotes</t>
  </si>
  <si>
    <t>(i)</t>
  </si>
  <si>
    <t>(ii)</t>
  </si>
  <si>
    <t>Pricing - Chap 3,4: Data, Exposures</t>
  </si>
  <si>
    <t>Pricing - Chap 5: Premiums</t>
  </si>
  <si>
    <t>EP for CY 2020</t>
  </si>
  <si>
    <t>EP for CY 2021</t>
  </si>
  <si>
    <t>EP 2020 @ CRL</t>
  </si>
  <si>
    <t>EP 2021 @ CRL</t>
  </si>
  <si>
    <t>Diagram</t>
  </si>
  <si>
    <t>CRL</t>
  </si>
  <si>
    <t>A1</t>
  </si>
  <si>
    <t>A2</t>
  </si>
  <si>
    <t>A3</t>
  </si>
  <si>
    <t>A4</t>
  </si>
  <si>
    <t>=  product of all rate changes</t>
  </si>
  <si>
    <t>=  Σ [ area x (rate level) ]</t>
  </si>
  <si>
    <r>
      <t>= CRL / ARL</t>
    </r>
    <r>
      <rPr>
        <vertAlign val="subscript"/>
        <sz val="11"/>
        <color theme="1"/>
        <rFont val="Calibri"/>
        <family val="2"/>
        <scheme val="minor"/>
      </rPr>
      <t>CY</t>
    </r>
  </si>
  <si>
    <r>
      <t>ARL</t>
    </r>
    <r>
      <rPr>
        <vertAlign val="subscript"/>
        <sz val="11"/>
        <color theme="1"/>
        <rFont val="Calibri"/>
        <family val="2"/>
        <scheme val="minor"/>
      </rPr>
      <t>CY</t>
    </r>
  </si>
  <si>
    <r>
      <t>CRLF</t>
    </r>
    <r>
      <rPr>
        <vertAlign val="subscript"/>
        <sz val="11"/>
        <color theme="1"/>
        <rFont val="Calibri"/>
        <family val="2"/>
        <scheme val="minor"/>
      </rPr>
      <t>CY</t>
    </r>
  </si>
  <si>
    <r>
      <t>ARL</t>
    </r>
    <r>
      <rPr>
        <vertAlign val="subscript"/>
        <sz val="11"/>
        <color theme="1"/>
        <rFont val="Calibri"/>
        <family val="2"/>
        <scheme val="minor"/>
      </rPr>
      <t>20</t>
    </r>
  </si>
  <si>
    <r>
      <t>ARL</t>
    </r>
    <r>
      <rPr>
        <vertAlign val="subscript"/>
        <sz val="11"/>
        <color theme="1"/>
        <rFont val="Calibri"/>
        <family val="2"/>
        <scheme val="minor"/>
      </rPr>
      <t>21</t>
    </r>
  </si>
  <si>
    <r>
      <t>CRLF</t>
    </r>
    <r>
      <rPr>
        <vertAlign val="subscript"/>
        <sz val="11"/>
        <color theme="1"/>
        <rFont val="Calibri"/>
        <family val="2"/>
        <scheme val="minor"/>
      </rPr>
      <t>20</t>
    </r>
  </si>
  <si>
    <r>
      <t>CRLF</t>
    </r>
    <r>
      <rPr>
        <vertAlign val="subscript"/>
        <sz val="11"/>
        <color theme="1"/>
        <rFont val="Calibri"/>
        <family val="2"/>
        <scheme val="minor"/>
      </rPr>
      <t>21</t>
    </r>
  </si>
  <si>
    <r>
      <t>The relevant areas within each square (CY) are labelled A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.</t>
    </r>
  </si>
  <si>
    <t>AY</t>
  </si>
  <si>
    <t>reported</t>
  </si>
  <si>
    <t>claims</t>
  </si>
  <si>
    <t>Total</t>
  </si>
  <si>
    <t>Reported</t>
  </si>
  <si>
    <t>Pricing - Chap 6: Loss &amp; LAE</t>
  </si>
  <si>
    <t>ratio</t>
  </si>
  <si>
    <t>(1)</t>
  </si>
  <si>
    <t>(2)</t>
  </si>
  <si>
    <t>(3)</t>
  </si>
  <si>
    <t>(4)</t>
  </si>
  <si>
    <t>(5)</t>
  </si>
  <si>
    <t>(6)</t>
  </si>
  <si>
    <t>Pricing - Chap 7: Other Expenses</t>
  </si>
  <si>
    <t>loss</t>
  </si>
  <si>
    <t>LAE</t>
  </si>
  <si>
    <t>Step 1</t>
  </si>
  <si>
    <t>Step 2</t>
  </si>
  <si>
    <t>(1 - V - QT)</t>
  </si>
  <si>
    <t>(final answer)</t>
  </si>
  <si>
    <t>(L&amp;LAE Ratio  +  F)</t>
  </si>
  <si>
    <t>-</t>
  </si>
  <si>
    <t>Pricing - Chap 8: Indication</t>
  </si>
  <si>
    <t>12-Ult</t>
  </si>
  <si>
    <t>24-Ult</t>
  </si>
  <si>
    <t>36-Ult</t>
  </si>
  <si>
    <t>effective date:</t>
  </si>
  <si>
    <t>months</t>
  </si>
  <si>
    <t>policy term:</t>
  </si>
  <si>
    <t>|</t>
  </si>
  <si>
    <t>AWD</t>
  </si>
  <si>
    <t xml:space="preserve"> AWD for historical and effective period</t>
  </si>
  <si>
    <t>year</t>
  </si>
  <si>
    <t>month</t>
  </si>
  <si>
    <t>day</t>
  </si>
  <si>
    <t>AAD 1</t>
  </si>
  <si>
    <t>07</t>
  </si>
  <si>
    <t>01</t>
  </si>
  <si>
    <t>AWD 1</t>
  </si>
  <si>
    <t>(mid-point of historical period) - 0.5 x (term)</t>
  </si>
  <si>
    <t>AAD 2</t>
  </si>
  <si>
    <t>(mid-point of effective period) + 0.5 x (term)</t>
  </si>
  <si>
    <t>AWD 2</t>
  </si>
  <si>
    <t>(mid-point of effective period)</t>
  </si>
  <si>
    <t>AY trend period</t>
  </si>
  <si>
    <t>Ultimate</t>
  </si>
  <si>
    <t>LDF</t>
  </si>
  <si>
    <t>A</t>
  </si>
  <si>
    <t>B</t>
  </si>
  <si>
    <t>C</t>
  </si>
  <si>
    <t>level</t>
  </si>
  <si>
    <t>of</t>
  </si>
  <si>
    <t>L + ALAE</t>
  </si>
  <si>
    <t>rebased</t>
  </si>
  <si>
    <t>pure</t>
  </si>
  <si>
    <t>indicated</t>
  </si>
  <si>
    <t>premium</t>
  </si>
  <si>
    <t>relativity</t>
  </si>
  <si>
    <t>(final answers in green)</t>
  </si>
  <si>
    <t>= (3) / (2)</t>
  </si>
  <si>
    <t>= (4) / (Tot4)</t>
  </si>
  <si>
    <t>= (5) / (Base5)</t>
  </si>
  <si>
    <t xml:space="preserve">where Base5 = </t>
  </si>
  <si>
    <t>Pricing - Chap 9: Risk Classification</t>
  </si>
  <si>
    <t>Pricing - Chap 10: Multivariate Analysis</t>
  </si>
  <si>
    <t>x</t>
  </si>
  <si>
    <t>*</t>
  </si>
  <si>
    <t>Step 3</t>
  </si>
  <si>
    <t>Pricing - Chap 11: Special Classification</t>
  </si>
  <si>
    <t>payment</t>
  </si>
  <si>
    <t>)</t>
  </si>
  <si>
    <t>Pricing - Chap 14: Implementation</t>
  </si>
  <si>
    <t>→ tighten U/W requirements to eliminate policies that are underpriced</t>
  </si>
  <si>
    <r>
      <t>→ reduce coverage levels </t>
    </r>
    <r>
      <rPr>
        <i/>
        <sz val="11"/>
        <color rgb="FF222222"/>
        <rFont val="Calibri"/>
        <family val="2"/>
        <scheme val="minor"/>
      </rPr>
      <t>(Ex: reduce limits or insert coverage exclusions)</t>
    </r>
  </si>
  <si>
    <r>
      <t>→ implement better loss controls </t>
    </r>
    <r>
      <rPr>
        <i/>
        <sz val="11"/>
        <color rgb="FF222222"/>
        <rFont val="Calibri"/>
        <family val="2"/>
        <scheme val="minor"/>
      </rPr>
      <t>(Ex: safety programs for WC)</t>
    </r>
  </si>
  <si>
    <t>Step 2a</t>
  </si>
  <si>
    <t>(iii)</t>
  </si>
  <si>
    <t>Reserving - Chap 1: Overview</t>
  </si>
  <si>
    <t>@</t>
  </si>
  <si>
    <t>Amounts</t>
  </si>
  <si>
    <t>Paid Loss</t>
  </si>
  <si>
    <t>Development Age</t>
  </si>
  <si>
    <t>Paid Count</t>
  </si>
  <si>
    <t>CY</t>
  </si>
  <si>
    <t>Rptd Loss</t>
  </si>
  <si>
    <t>Reserving - Chap 5: Triangles</t>
  </si>
  <si>
    <t>Reserving - Chap 7: Development Method</t>
  </si>
  <si>
    <t>Reserving - Chap 10: Cape Cod Method</t>
  </si>
  <si>
    <t>Reserving - Chap 11: Frequency/Severity Methods</t>
  </si>
  <si>
    <t>Reserving - Chap 9: Bornhuetter Ferguson Method</t>
  </si>
  <si>
    <t>Reserving - Chap 12: Case O/S Methods</t>
  </si>
  <si>
    <t>Reserving - Chap 13: Berquist-Sherman Methods</t>
  </si>
  <si>
    <t>Reserving - Chap 14: Recoveries</t>
  </si>
  <si>
    <t>Reserving - Chap 15: Evaluation of Methods</t>
  </si>
  <si>
    <t>Reserving - Chap 16: ALAE</t>
  </si>
  <si>
    <t>Reserving - Chap 17: ULAE</t>
  </si>
  <si>
    <t>48-ult</t>
  </si>
  <si>
    <t>selected</t>
  </si>
  <si>
    <t>age -&gt; ult</t>
  </si>
  <si>
    <t>diagonal</t>
  </si>
  <si>
    <t>ultimate</t>
  </si>
  <si>
    <t>24-36</t>
  </si>
  <si>
    <t>36-48</t>
  </si>
  <si>
    <t>12-24</t>
  </si>
  <si>
    <t>ECR</t>
  </si>
  <si>
    <t>EP</t>
  </si>
  <si>
    <t xml:space="preserve">Calculate the </t>
  </si>
  <si>
    <t>for AY</t>
  </si>
  <si>
    <t>Step 2b</t>
  </si>
  <si>
    <t>(1 - 1/CDF)</t>
  </si>
  <si>
    <t>Final</t>
  </si>
  <si>
    <t>unpaid</t>
  </si>
  <si>
    <t>paid</t>
  </si>
  <si>
    <t>IBNR</t>
  </si>
  <si>
    <t>Advantage:</t>
  </si>
  <si>
    <r>
      <t xml:space="preserve"> calculate the adjusted reported losses </t>
    </r>
    <r>
      <rPr>
        <i/>
        <sz val="11"/>
        <rFont val="Calibri"/>
        <family val="2"/>
        <scheme val="minor"/>
      </rPr>
      <t>(do not apply CDFs to the losses - we are not calculating the ultimate here)</t>
    </r>
  </si>
  <si>
    <t>rptd clms</t>
  </si>
  <si>
    <t>PP trend</t>
  </si>
  <si>
    <t>adjusted reported claims</t>
  </si>
  <si>
    <t>using the reported Cape Cod method.</t>
  </si>
  <si>
    <t>CDF</t>
  </si>
  <si>
    <t>trend</t>
  </si>
  <si>
    <t xml:space="preserve"> calculate the used-up-premium (UUP)</t>
  </si>
  <si>
    <t>CY/AY</t>
  </si>
  <si>
    <t>UUP</t>
  </si>
  <si>
    <r>
      <t xml:space="preserve"> calculate the adjusted ECR </t>
    </r>
    <r>
      <rPr>
        <u/>
        <sz val="11"/>
        <color theme="1"/>
        <rFont val="Calibri"/>
        <family val="2"/>
        <scheme val="minor"/>
      </rPr>
      <t>at the level</t>
    </r>
    <r>
      <rPr>
        <sz val="11"/>
        <color theme="1"/>
        <rFont val="Calibri"/>
        <family val="2"/>
        <scheme val="minor"/>
      </rPr>
      <t>:</t>
    </r>
  </si>
  <si>
    <t>Step 4</t>
  </si>
  <si>
    <t>( 1 -     1 /</t>
  </si>
  <si>
    <t>CDF )</t>
  </si>
  <si>
    <r>
      <t xml:space="preserve">  &lt;==  </t>
    </r>
    <r>
      <rPr>
        <i/>
        <sz val="11"/>
        <color rgb="FFFF0000"/>
        <rFont val="Calibri"/>
        <family val="2"/>
        <scheme val="minor"/>
      </rPr>
      <t>final answer</t>
    </r>
  </si>
  <si>
    <t>Identify and briefly describe 2 key assumptions of frequency-severity methods for estimating</t>
  </si>
  <si>
    <t>unpaid claims estimates.</t>
  </si>
  <si>
    <t>Any 2 of..</t>
  </si>
  <si>
    <t xml:space="preserve">  - LDFs within columns are roughly similar - no increasing/decreasing trends, no outliers.</t>
  </si>
  <si>
    <t xml:space="preserve">  - counts and severities will have stable development triangles.</t>
  </si>
  <si>
    <r>
      <rPr>
        <b/>
        <sz val="11"/>
        <color rgb="FFFF0000"/>
        <rFont val="Calibri"/>
        <family val="2"/>
        <scheme val="minor"/>
      </rPr>
      <t>D</t>
    </r>
    <r>
      <rPr>
        <sz val="11"/>
        <color rgb="FF222222"/>
        <rFont val="Calibri"/>
        <family val="2"/>
        <scheme val="minor"/>
      </rPr>
      <t>evelopment is stable</t>
    </r>
  </si>
  <si>
    <r>
      <t xml:space="preserve">  - counts are tallied according to either # of claimants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# of claims</t>
    </r>
  </si>
  <si>
    <r>
      <t>C</t>
    </r>
    <r>
      <rPr>
        <sz val="11"/>
        <color rgb="FF222222"/>
        <rFont val="Calibri"/>
        <family val="2"/>
        <scheme val="minor"/>
      </rPr>
      <t>ount definition is consistent</t>
    </r>
  </si>
  <si>
    <r>
      <t>T</t>
    </r>
    <r>
      <rPr>
        <sz val="11"/>
        <color rgb="FF222222"/>
        <rFont val="Calibri"/>
        <family val="2"/>
        <scheme val="minor"/>
      </rPr>
      <t>ypes of claims are homogeneous</t>
    </r>
  </si>
  <si>
    <r>
      <t xml:space="preserve">  - for example that all claims are liability claims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all claims are physical damage claims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the</t>
    </r>
  </si>
  <si>
    <t xml:space="preserve">    mix between these types of claims is conistent</t>
  </si>
  <si>
    <t>exposure</t>
  </si>
  <si>
    <t>--</t>
  </si>
  <si>
    <t>Step 1a</t>
  </si>
  <si>
    <t>Ex:</t>
  </si>
  <si>
    <t>Step 1b</t>
  </si>
  <si>
    <t>n/a</t>
  </si>
  <si>
    <t>Step 3b</t>
  </si>
  <si>
    <t>LDFs</t>
  </si>
  <si>
    <t>CDFs</t>
  </si>
  <si>
    <t>Ults.</t>
  </si>
  <si>
    <t xml:space="preserve"> &lt;-- final answer</t>
  </si>
  <si>
    <t>net loss</t>
  </si>
  <si>
    <t>Paid</t>
  </si>
  <si>
    <t>Development</t>
  </si>
  <si>
    <t>Berquist-Sherman</t>
  </si>
  <si>
    <t>Suppose you get to the end of your reserve analysis as of Dec 31, 2025 and have estimates of ultimates</t>
  </si>
  <si>
    <t>from several different methods:</t>
  </si>
  <si>
    <t>to</t>
  </si>
  <si>
    <t>Step 1:</t>
  </si>
  <si>
    <t>Use the</t>
  </si>
  <si>
    <t>approach to estimate the</t>
  </si>
  <si>
    <t>Step 2:</t>
  </si>
  <si>
    <r>
      <t xml:space="preserve">  &lt;</t>
    </r>
    <r>
      <rPr>
        <b/>
        <sz val="11"/>
        <color rgb="FFFF0000"/>
        <rFont val="Calibri"/>
        <family val="2"/>
        <scheme val="minor"/>
      </rPr>
      <t>===</t>
    </r>
  </si>
  <si>
    <t>cum</t>
  </si>
  <si>
    <t>Step 3:</t>
  </si>
  <si>
    <t>final answer</t>
  </si>
  <si>
    <t>ULAE</t>
  </si>
  <si>
    <t>incurred</t>
  </si>
  <si>
    <r>
      <t xml:space="preserve">Sometimes there is a </t>
    </r>
    <r>
      <rPr>
        <sz val="11"/>
        <color rgb="FFFF0000"/>
        <rFont val="Calibri"/>
        <family val="2"/>
        <scheme val="minor"/>
      </rPr>
      <t>trend</t>
    </r>
    <r>
      <rPr>
        <sz val="11"/>
        <color theme="1"/>
        <rFont val="Calibri"/>
        <family val="2"/>
        <scheme val="minor"/>
      </rPr>
      <t xml:space="preserve"> in ULAE ratios.</t>
    </r>
  </si>
  <si>
    <r>
      <t xml:space="preserve">If so, you may need to use </t>
    </r>
    <r>
      <rPr>
        <sz val="11"/>
        <color rgb="FFFF0000"/>
        <rFont val="Calibri"/>
        <family val="2"/>
        <scheme val="minor"/>
      </rPr>
      <t>judgement</t>
    </r>
  </si>
  <si>
    <t>instead of just selecting the average</t>
  </si>
  <si>
    <r>
      <t xml:space="preserve">  &lt;</t>
    </r>
    <r>
      <rPr>
        <b/>
        <sz val="11"/>
        <color theme="1"/>
        <rFont val="Calibri"/>
        <family val="2"/>
        <scheme val="minor"/>
      </rPr>
      <t xml:space="preserve">== </t>
    </r>
    <r>
      <rPr>
        <sz val="11"/>
        <color theme="1"/>
        <rFont val="Calibri"/>
        <family val="2"/>
        <scheme val="minor"/>
      </rPr>
      <t>selected (average)</t>
    </r>
  </si>
  <si>
    <t xml:space="preserve">  apply formula for unpaid ULAE</t>
  </si>
  <si>
    <t>IBNER</t>
  </si>
  <si>
    <t>IBNYR</t>
  </si>
  <si>
    <t>Identify the objectives of data aggregation for ratemaking.</t>
  </si>
  <si>
    <t>Hint:</t>
  </si>
  <si>
    <t>MMR</t>
  </si>
  <si>
    <t>M</t>
  </si>
  <si>
    <t>Match losses and premiums as closely as possible</t>
  </si>
  <si>
    <t>Minimize the cost of collecting the data</t>
  </si>
  <si>
    <t>Recent? (Use the most recent data available)</t>
  </si>
  <si>
    <t>from part (a). (Where appropriate, your answer can reference calendar year for comparison.)</t>
  </si>
  <si>
    <t>Calculate the EP @ CRL for CY 2020, 2021, and 202 assuming annual policies and 2 rate changes.</t>
  </si>
  <si>
    <t>EP for CY 2022</t>
  </si>
  <si>
    <t>rate change 1</t>
  </si>
  <si>
    <t>rate change 1 date</t>
  </si>
  <si>
    <t>rate change 2</t>
  </si>
  <si>
    <t>rate change 2 date</t>
  </si>
  <si>
    <t>EP 2022 @ CRL</t>
  </si>
  <si>
    <t>A5</t>
  </si>
  <si>
    <t>A6</t>
  </si>
  <si>
    <t>A7</t>
  </si>
  <si>
    <t>A8</t>
  </si>
  <si>
    <t>A9</t>
  </si>
  <si>
    <r>
      <t>ARL</t>
    </r>
    <r>
      <rPr>
        <vertAlign val="subscript"/>
        <sz val="11"/>
        <color theme="1"/>
        <rFont val="Calibri"/>
        <family val="2"/>
        <scheme val="minor"/>
      </rPr>
      <t>22</t>
    </r>
  </si>
  <si>
    <r>
      <t>CRLF</t>
    </r>
    <r>
      <rPr>
        <vertAlign val="subscript"/>
        <sz val="11"/>
        <color theme="1"/>
        <rFont val="Calibri"/>
        <family val="2"/>
        <scheme val="minor"/>
      </rPr>
      <t>22</t>
    </r>
  </si>
  <si>
    <t>ending</t>
  </si>
  <si>
    <t>claim</t>
  </si>
  <si>
    <t>==&gt;</t>
  </si>
  <si>
    <t>($000s)</t>
  </si>
  <si>
    <t>General Expenses</t>
  </si>
  <si>
    <t>CB</t>
  </si>
  <si>
    <t>OthAcq</t>
  </si>
  <si>
    <t>Gen</t>
  </si>
  <si>
    <t>TLF</t>
  </si>
  <si>
    <t>selection</t>
  </si>
  <si>
    <t xml:space="preserve"> (year, month, day)</t>
  </si>
  <si>
    <t>Non-pricing solutions for rebalancing the Fundamental Insurance Equation include reducing losses.</t>
  </si>
  <si>
    <t>Identify 2 specific ways of reducing losses to rebalance the FIE.</t>
  </si>
  <si>
    <t>To reduce losses:</t>
  </si>
  <si>
    <t>(need 2 of these for full credit)</t>
  </si>
  <si>
    <t>Pricing - Chap 16: Claims-Made Policies</t>
  </si>
  <si>
    <t xml:space="preserve">Calculate the reported losses for the </t>
  </si>
  <si>
    <t xml:space="preserve"> occurrence policy as of Dec 31</t>
  </si>
  <si>
    <t xml:space="preserve"> clms-made policy as of Dec 31</t>
  </si>
  <si>
    <t>Report</t>
  </si>
  <si>
    <t>Report Loss Dollars by Report Year Lag</t>
  </si>
  <si>
    <t>Year</t>
  </si>
  <si>
    <t>Policies run from January 1 to December 31.</t>
  </si>
  <si>
    <t>The insured's coverage changed from occurrence to claims-made on:</t>
  </si>
  <si>
    <t>Jan 1</t>
  </si>
  <si>
    <t>Reported loss for a</t>
  </si>
  <si>
    <t xml:space="preserve"> we SUM these values from a DIAGONAL.</t>
  </si>
  <si>
    <t>Loss</t>
  </si>
  <si>
    <t>Lag</t>
  </si>
  <si>
    <t>Dollars</t>
  </si>
  <si>
    <t>&lt;==</t>
  </si>
  <si>
    <t>diagonal value:</t>
  </si>
  <si>
    <t xml:space="preserve">SUM ==&gt; </t>
  </si>
  <si>
    <t xml:space="preserve"> final answer for part (a)</t>
  </si>
  <si>
    <t xml:space="preserve"> clms-made  policy as of Dec 31</t>
  </si>
  <si>
    <t xml:space="preserve"> we SUM these values from a ROW.</t>
  </si>
  <si>
    <t>Occurrence to Clms-Made:</t>
  </si>
  <si>
    <t>This is when the policyholder switched.</t>
  </si>
  <si>
    <t>with a retroactive date of:</t>
  </si>
  <si>
    <t>Claims before this date are NOT covered by the</t>
  </si>
  <si>
    <t>claims-made policy.</t>
  </si>
  <si>
    <t>So when calculating reported losses for a claims-made policy for</t>
  </si>
  <si>
    <t>row entry:</t>
  </si>
  <si>
    <t xml:space="preserve"> final answer for part (b)</t>
  </si>
  <si>
    <t>Side Note</t>
  </si>
  <si>
    <t>Date of Swich from Occurrence to Claims-Made Coverage:</t>
  </si>
  <si>
    <t>The data on which the insured's coverage changed from occurrence to claims-made is not relevant AS LONG AS the</t>
  </si>
  <si>
    <t>reported loss year in part (b) is on or after the date of the switch. This problem was constructed so that's always the case.</t>
  </si>
  <si>
    <t>Retroactive Date for Claims-Made Coverage:</t>
  </si>
  <si>
    <t>The retroactive data, however, is important. For part (b), you cannot simply sum all entries in the row. You have to</t>
  </si>
  <si>
    <t>know which entries to exclude by taking into account the retroactive data of the claims-made policies.</t>
  </si>
  <si>
    <t>Use this information for parts (a) and (b)</t>
  </si>
  <si>
    <t xml:space="preserve">with a retroactive date of:        </t>
  </si>
  <si>
    <t>Kittel</t>
  </si>
  <si>
    <t xml:space="preserve">  &lt;==  policy type</t>
  </si>
  <si>
    <t>D</t>
  </si>
  <si>
    <t>Exam 5 - Practice B-02 - Answers</t>
  </si>
  <si>
    <t>What is the purpose of adjusting raw premiums to Current Rate Level (CRL) in a pricing analysis?</t>
  </si>
  <si>
    <t>To account for changes in the mix of business and inflation</t>
  </si>
  <si>
    <t>To determine the rate of profit for the insurer</t>
  </si>
  <si>
    <t>To ensure the premiums are reflective of rate changes</t>
  </si>
  <si>
    <t>To simplify the computational load for legacy systems</t>
  </si>
  <si>
    <t>Which of the following is NOT a category of Underwriting (U/W) expenses?</t>
  </si>
  <si>
    <t>Taxes, Licenses &amp; Fees</t>
  </si>
  <si>
    <t>Commissions &amp; Brokerage</t>
  </si>
  <si>
    <t>Risk Assessment Charge</t>
  </si>
  <si>
    <t>What does an accident year (AY) represent in the context of a development triangle?</t>
  </si>
  <si>
    <t>The year in which the accident occurred</t>
  </si>
  <si>
    <t>The year in which the claim was reported</t>
  </si>
  <si>
    <t>The year in which the claim was settled</t>
  </si>
  <si>
    <t>The year in which the insurance policy was issued</t>
  </si>
  <si>
    <t>Why is it important for a reserving actuary to be aware of operational changes within a company?</t>
  </si>
  <si>
    <t>Operational changes can distort the data and cause reserving methods to give</t>
  </si>
  <si>
    <t>inaccurate results.</t>
  </si>
  <si>
    <t>Awareness of operational changes helps in predicting market trends and adjusting</t>
  </si>
  <si>
    <t>investment strategies accordingly.</t>
  </si>
  <si>
    <t>Understanding operational changes allows for better communication and</t>
  </si>
  <si>
    <t>collaboration with other departments, enhancing overall efficiency.</t>
  </si>
  <si>
    <t>Operational changes may signal shifts in regulatory requirements, necessitating</t>
  </si>
  <si>
    <t>adjustments in compliance strategies.</t>
  </si>
  <si>
    <t>Pricing - Chap 3: Data</t>
  </si>
  <si>
    <t>as of</t>
  </si>
  <si>
    <t>2025.2.01</t>
  </si>
  <si>
    <t>date format:   yyyy.mm.dd</t>
  </si>
  <si>
    <t>Calculate the incurred loss for AY</t>
  </si>
  <si>
    <t>accident</t>
  </si>
  <si>
    <t>transaction</t>
  </si>
  <si>
    <t>incremental</t>
  </si>
  <si>
    <t>date</t>
  </si>
  <si>
    <t>case reserve</t>
  </si>
  <si>
    <t>2021.9.01</t>
  </si>
  <si>
    <t>2022.09.01</t>
  </si>
  <si>
    <t>2023.03.01</t>
  </si>
  <si>
    <t>2022.4.01</t>
  </si>
  <si>
    <t>2023.04.01</t>
  </si>
  <si>
    <t>2024.01.01</t>
  </si>
  <si>
    <t>2024.07.01</t>
  </si>
  <si>
    <t>2024.10.01</t>
  </si>
  <si>
    <t>2021.1.01</t>
  </si>
  <si>
    <t>2021.07.01</t>
  </si>
  <si>
    <t>2021.10.01</t>
  </si>
  <si>
    <t>2022.10.01</t>
  </si>
  <si>
    <t xml:space="preserve"> (i)   SUM only rows with an accident date in:</t>
  </si>
  <si>
    <t>and transaction date on or prior to:</t>
  </si>
  <si>
    <t xml:space="preserve"> (ii)  calculate change in case reserve:</t>
  </si>
  <si>
    <t>(current ending case reserve) - (prior ending case reserve)</t>
  </si>
  <si>
    <t xml:space="preserve"> (iii) calculate incurred loss for each row as:</t>
  </si>
  <si>
    <t>(incremental paid) + (change in case reserve)</t>
  </si>
  <si>
    <t xml:space="preserve"> (iv)  sum the incurred losses:</t>
  </si>
  <si>
    <t>&lt;====</t>
  </si>
  <si>
    <t>change in</t>
  </si>
  <si>
    <t>use row?</t>
  </si>
  <si>
    <t>Claim Information:</t>
  </si>
  <si>
    <t>This is a reported loss triangle based on the same claim data as above but where the case</t>
  </si>
  <si>
    <t>reserve adequacy has increased by 20% beginning on Jan 1, 2023.</t>
  </si>
  <si>
    <t>(All claims are paid and closed by 72 months.)</t>
  </si>
  <si>
    <t>In the second triangle below, calculate the entry in the cell labelled</t>
  </si>
  <si>
    <t>Reasoning:</t>
  </si>
  <si>
    <t>reported loss for AY 2020 @ 48 months in the second triangle:</t>
  </si>
  <si>
    <r>
      <t xml:space="preserve">This is a </t>
    </r>
    <r>
      <rPr>
        <u/>
        <sz val="11"/>
        <rFont val="Calibri"/>
        <family val="2"/>
        <scheme val="minor"/>
      </rPr>
      <t>stable</t>
    </r>
    <r>
      <rPr>
        <sz val="11"/>
        <rFont val="Calibri"/>
        <family val="2"/>
        <scheme val="minor"/>
      </rPr>
      <t xml:space="preserve"> reported loss triangle where the case reserve adequacy is 100% for all entries.</t>
    </r>
  </si>
  <si>
    <t>In the stable reported loss triangle, the reported losses are:</t>
  </si>
  <si>
    <t>This shows an increase in new case reserves of:</t>
  </si>
  <si>
    <t>But in the second triangle, this increase is now</t>
  </si>
  <si>
    <t>higher</t>
  </si>
  <si>
    <t xml:space="preserve"> (final answer)</t>
  </si>
  <si>
    <t>Therefore, the corresponding increase in the second triangle should be:</t>
  </si>
  <si>
    <t>The final answer for the unknown entry in the second triangle is then:</t>
  </si>
  <si>
    <t>Reserving  - Chap 6: Diagnostics</t>
  </si>
  <si>
    <t>compared with premiums earned on those same policies.</t>
  </si>
  <si>
    <r>
      <t xml:space="preserve">Losses and premiums are </t>
    </r>
    <r>
      <rPr>
        <u/>
        <sz val="11"/>
        <color theme="1"/>
        <rFont val="Calibri"/>
        <family val="2"/>
        <scheme val="minor"/>
      </rPr>
      <t>perfectly matched</t>
    </r>
    <r>
      <rPr>
        <sz val="11"/>
        <color theme="1"/>
        <rFont val="Calibri"/>
        <family val="2"/>
        <scheme val="minor"/>
      </rPr>
      <t xml:space="preserve"> because losses on policies written during the PY are</t>
    </r>
  </si>
  <si>
    <r>
      <rPr>
        <u/>
        <sz val="11"/>
        <color theme="1"/>
        <rFont val="Calibri"/>
        <family val="2"/>
        <scheme val="minor"/>
      </rPr>
      <t>Higher cost versus CY data</t>
    </r>
    <r>
      <rPr>
        <sz val="11"/>
        <color theme="1"/>
        <rFont val="Calibri"/>
        <family val="2"/>
        <scheme val="minor"/>
      </rPr>
      <t xml:space="preserve"> since PY data is specific to insurance</t>
    </r>
  </si>
  <si>
    <t>development (this is why actuaries exist.)</t>
  </si>
  <si>
    <r>
      <t xml:space="preserve">Fully developed PY data </t>
    </r>
    <r>
      <rPr>
        <u/>
        <sz val="11"/>
        <color theme="1"/>
        <rFont val="Calibri"/>
        <family val="2"/>
        <scheme val="minor"/>
      </rPr>
      <t>is not recent</t>
    </r>
    <r>
      <rPr>
        <sz val="11"/>
        <color theme="1"/>
        <rFont val="Calibri"/>
        <family val="2"/>
        <scheme val="minor"/>
      </rPr>
      <t xml:space="preserve"> so if you need recent PY data, you may need to estimate future </t>
    </r>
  </si>
  <si>
    <t>PY aggregation:</t>
  </si>
  <si>
    <r>
      <t xml:space="preserve">Evaluate </t>
    </r>
    <r>
      <rPr>
        <b/>
        <u/>
        <sz val="11"/>
        <rFont val="Calibri"/>
        <family val="2"/>
        <scheme val="minor"/>
      </rPr>
      <t>policy year data aggregation</t>
    </r>
    <r>
      <rPr>
        <sz val="11"/>
        <rFont val="Calibri"/>
        <family val="2"/>
        <scheme val="minor"/>
      </rPr>
      <t xml:space="preserve"> based on the objectives of data aggregation for ratemaking</t>
    </r>
  </si>
  <si>
    <t>There are 3 rate levels indicated by the labels 1 and 2. They are separated by a red diagonal.</t>
  </si>
  <si>
    <t>Briefly explain why earned premiums are brought to current rate level when performing a ratemaking</t>
  </si>
  <si>
    <t>analysis.</t>
  </si>
  <si>
    <t>There are many ways to express why earned premium should be brought to current rate level.</t>
  </si>
  <si>
    <t>comparable across different periods. This standardization allows actuaries to assess the full history</t>
  </si>
  <si>
    <t>of premiums against losses accurately, facilitating the determination of rate adequacy and the</t>
  </si>
  <si>
    <t>calculation of necessary rate adjustments to meet desired profitability targets.</t>
  </si>
  <si>
    <t>Bringing premiums to current rate level and losses to a current level ensures that all historical data is</t>
  </si>
  <si>
    <t>be comparable across periods due to changes in pricing, leading to inaccurate assessments of rate</t>
  </si>
  <si>
    <t>adequacy and profitability. This could result in misinformed rate adjustments, either</t>
  </si>
  <si>
    <t>overestimating or underestimating the necessary rate changes to achieve target profitability levels.</t>
  </si>
  <si>
    <t>Your answer can be shorter to receive full credit but here is one way to explain it:</t>
  </si>
  <si>
    <t>If raw premiums were used without adjustment to current rate level, historical data would not</t>
  </si>
  <si>
    <t>Another acceptable way to answer the question is to provide an example like the one</t>
  </si>
  <si>
    <t>from Chapter 5 in the  Werner text that was referenced in the wiki.</t>
  </si>
  <si>
    <t>Identify 2 methods of analysis for catastrophe losses in ratemaking.</t>
  </si>
  <si>
    <t>For each method, identify 1 scenario for each where that method of</t>
  </si>
  <si>
    <t>catastrophe analysis is likely to be used in a ratemaking analysis.</t>
  </si>
  <si>
    <t xml:space="preserve">  - non-modeled catstrophe analysis</t>
  </si>
  <si>
    <t xml:space="preserve">  - catastrophe models</t>
  </si>
  <si>
    <t>non-modeled catastrophe analysis</t>
  </si>
  <si>
    <t xml:space="preserve">  - for events that happen regularly over a period of decades</t>
  </si>
  <si>
    <t xml:space="preserve">    (Ex: hail storms for personal auto)</t>
  </si>
  <si>
    <t>catastrophe models</t>
  </si>
  <si>
    <t xml:space="preserve">  - for infrequent events with very high total losses</t>
  </si>
  <si>
    <t xml:space="preserve">    (Ex: hurricanes, earthquakes)</t>
  </si>
  <si>
    <t>Using the data below, calculate the following quantities:</t>
  </si>
  <si>
    <t>trend selection</t>
  </si>
  <si>
    <r>
      <t xml:space="preserve">trend period for 1-step loss trending </t>
    </r>
    <r>
      <rPr>
        <u/>
        <sz val="11"/>
        <color theme="1"/>
        <rFont val="Calibri"/>
        <family val="2"/>
        <scheme val="minor"/>
      </rPr>
      <t>assuming</t>
    </r>
    <r>
      <rPr>
        <sz val="11"/>
        <color theme="1"/>
        <rFont val="Calibri"/>
        <family val="2"/>
        <scheme val="minor"/>
      </rPr>
      <t xml:space="preserve"> historical period data is on an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basis</t>
    </r>
  </si>
  <si>
    <r>
      <t xml:space="preserve">trended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2020 losses</t>
    </r>
  </si>
  <si>
    <t>historical period:</t>
  </si>
  <si>
    <t>rates in effect for</t>
  </si>
  <si>
    <t>historical period</t>
  </si>
  <si>
    <t>losses</t>
  </si>
  <si>
    <t>paid loss:</t>
  </si>
  <si>
    <t>calculate year-over-year % change in losses and select a reasonable trend</t>
  </si>
  <si>
    <t>% change</t>
  </si>
  <si>
    <t>trend period</t>
  </si>
  <si>
    <t>select average</t>
  </si>
  <si>
    <r>
      <t xml:space="preserve">calculate trend period assuming historical period data is on an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basis</t>
    </r>
  </si>
  <si>
    <t>(mid-point of historical period)</t>
  </si>
  <si>
    <r>
      <t xml:space="preserve"> calculate the trend loss assuming historical data is on an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basis</t>
    </r>
  </si>
  <si>
    <t>AY 2020 trended loss</t>
  </si>
  <si>
    <t>x   (</t>
  </si>
  <si>
    <t>)^</t>
  </si>
  <si>
    <t>Identify 1 advantage and 1 disadvantage of the Exposure-Based Expense Method.</t>
  </si>
  <si>
    <t>Calculate the average fixed expense per exposure and the average varaible expense per dollars of premium</t>
  </si>
  <si>
    <t>using the exposure-based projection method.</t>
  </si>
  <si>
    <t>% fixed</t>
  </si>
  <si>
    <t>(000s)</t>
  </si>
  <si>
    <t>Written Premium</t>
  </si>
  <si>
    <t>WP</t>
  </si>
  <si>
    <t>Written Exposure</t>
  </si>
  <si>
    <t>Earned Premium</t>
  </si>
  <si>
    <t>Earned Exposure</t>
  </si>
  <si>
    <t>Agency Commission</t>
  </si>
  <si>
    <t>Other Acquisition Cost</t>
  </si>
  <si>
    <t>Premium Tax &amp; Licensing Fees</t>
  </si>
  <si>
    <t>notation:</t>
  </si>
  <si>
    <t xml:space="preserve"> separate each expense category into its fixed and variable components</t>
  </si>
  <si>
    <t>$ fixed</t>
  </si>
  <si>
    <t>$ variable</t>
  </si>
  <si>
    <t>divided by</t>
  </si>
  <si>
    <t>====&gt;</t>
  </si>
  <si>
    <t xml:space="preserve">  (use written prem. or expos.)</t>
  </si>
  <si>
    <t xml:space="preserve">Gen </t>
  </si>
  <si>
    <r>
      <t xml:space="preserve">  (use </t>
    </r>
    <r>
      <rPr>
        <i/>
        <u/>
        <sz val="11"/>
        <color theme="1"/>
        <rFont val="Calibri"/>
        <family val="2"/>
        <scheme val="minor"/>
      </rPr>
      <t>earned</t>
    </r>
    <r>
      <rPr>
        <i/>
        <sz val="11"/>
        <color theme="1"/>
        <rFont val="Calibri"/>
        <family val="2"/>
        <scheme val="minor"/>
      </rPr>
      <t xml:space="preserve"> prem. or expos.)</t>
    </r>
  </si>
  <si>
    <r>
      <t xml:space="preserve">CB, OthAcq, TLF are divded by </t>
    </r>
    <r>
      <rPr>
        <i/>
        <u/>
        <sz val="11"/>
        <color theme="1"/>
        <rFont val="Calibri"/>
        <family val="2"/>
        <scheme val="minor"/>
      </rPr>
      <t>written</t>
    </r>
    <r>
      <rPr>
        <i/>
        <sz val="11"/>
        <color theme="1"/>
        <rFont val="Calibri"/>
        <family val="2"/>
        <scheme val="minor"/>
      </rPr>
      <t xml:space="preserve"> exposure for fixed expenses and by </t>
    </r>
    <r>
      <rPr>
        <i/>
        <u/>
        <sz val="11"/>
        <color theme="1"/>
        <rFont val="Calibri"/>
        <family val="2"/>
        <scheme val="minor"/>
      </rPr>
      <t>written</t>
    </r>
    <r>
      <rPr>
        <i/>
        <sz val="11"/>
        <color theme="1"/>
        <rFont val="Calibri"/>
        <family val="2"/>
        <scheme val="minor"/>
      </rPr>
      <t xml:space="preserve"> premium for variable expenses</t>
    </r>
  </si>
  <si>
    <r>
      <t xml:space="preserve">General Expenses is divided by </t>
    </r>
    <r>
      <rPr>
        <i/>
        <u/>
        <sz val="11"/>
        <color theme="1"/>
        <rFont val="Calibri"/>
        <family val="2"/>
        <scheme val="minor"/>
      </rPr>
      <t>earned</t>
    </r>
    <r>
      <rPr>
        <i/>
        <sz val="11"/>
        <color theme="1"/>
        <rFont val="Calibri"/>
        <family val="2"/>
        <scheme val="minor"/>
      </rPr>
      <t xml:space="preserve"> exposure for fixed expenses and by </t>
    </r>
    <r>
      <rPr>
        <i/>
        <u/>
        <sz val="11"/>
        <color theme="1"/>
        <rFont val="Calibri"/>
        <family val="2"/>
        <scheme val="minor"/>
      </rPr>
      <t>earned</t>
    </r>
    <r>
      <rPr>
        <i/>
        <sz val="11"/>
        <color theme="1"/>
        <rFont val="Calibri"/>
        <family val="2"/>
        <scheme val="minor"/>
      </rPr>
      <t xml:space="preserve"> premium for variable expenses</t>
    </r>
  </si>
  <si>
    <t>Note:</t>
  </si>
  <si>
    <t xml:space="preserve"> you cannot sum the fixed and variable expenses because they are in different units</t>
  </si>
  <si>
    <t>average fixed expense per exposure:</t>
  </si>
  <si>
    <t>average variable expense per dollars of premium:</t>
  </si>
  <si>
    <t>Any 1 of..</t>
  </si>
  <si>
    <t>more accurate than premium-based methods because fixed expenses are measured against exposures rather than premiums</t>
  </si>
  <si>
    <t>requires judgment for percentage split between fixed and variable expenses</t>
  </si>
  <si>
    <t>using countrywide data can skew true state-level expenses</t>
  </si>
  <si>
    <t>some expenses treated as fixed are actually variable by certain characteristics (Ex: by new versus renewal business)</t>
  </si>
  <si>
    <t>economies of scale may reduce fixed expenses but this is not captured in the method</t>
  </si>
  <si>
    <t>Disadvantages:</t>
  </si>
  <si>
    <t>Propose rating factors for rating variable 2, adjusting for distributional bias.</t>
  </si>
  <si>
    <t>Exposure Distribution</t>
  </si>
  <si>
    <t>Current Relativities for Rating Variable 1</t>
  </si>
  <si>
    <t>variable 2</t>
  </si>
  <si>
    <t>variable 1</t>
  </si>
  <si>
    <t>2A</t>
  </si>
  <si>
    <t>2B</t>
  </si>
  <si>
    <t>2C</t>
  </si>
  <si>
    <t>1A</t>
  </si>
  <si>
    <t>1B</t>
  </si>
  <si>
    <t>1C</t>
  </si>
  <si>
    <t>variable 1 has rating levels:</t>
  </si>
  <si>
    <t>1A, 1B, 1C</t>
  </si>
  <si>
    <t>variable 2 has rating levels:</t>
  </si>
  <si>
    <t>2A, 2B, 2C</t>
  </si>
  <si>
    <t>Loss Distribution</t>
  </si>
  <si>
    <t>Base level for variable 2 is   ====&gt;</t>
  </si>
  <si>
    <t xml:space="preserve"> calculate variable 2 relativites as a weighted average of variable 1 relativities</t>
  </si>
  <si>
    <t>you can do these calculations all in 1 table - I broke it up to (hopefully?) make it easier to see what's going on</t>
  </si>
  <si>
    <t>(2A exposures)</t>
  </si>
  <si>
    <t>(2B exposures)</t>
  </si>
  <si>
    <t>(2C exposures)</t>
  </si>
  <si>
    <t>var 1</t>
  </si>
  <si>
    <t>var 1 rels</t>
  </si>
  <si>
    <t>weights</t>
  </si>
  <si>
    <t>total</t>
  </si>
  <si>
    <t>(wtd avg)</t>
  </si>
  <si>
    <r>
      <t xml:space="preserve"> use step 1 to calculate </t>
    </r>
    <r>
      <rPr>
        <u/>
        <sz val="11"/>
        <color theme="1"/>
        <rFont val="Calibri"/>
        <family val="2"/>
        <scheme val="minor"/>
      </rPr>
      <t>adjusted exposures</t>
    </r>
    <r>
      <rPr>
        <sz val="11"/>
        <color theme="1"/>
        <rFont val="Calibri"/>
        <family val="2"/>
        <scheme val="minor"/>
      </rPr>
      <t xml:space="preserve"> for rating variable 2</t>
    </r>
  </si>
  <si>
    <t>total adjusted exposures</t>
  </si>
  <si>
    <t xml:space="preserve"> =</t>
  </si>
  <si>
    <t>(wtd avg relativity)  x  (total unadjusted exposures)</t>
  </si>
  <si>
    <t>wtd avg</t>
  </si>
  <si>
    <t>unadj.</t>
  </si>
  <si>
    <t>adjusted</t>
  </si>
  <si>
    <t>var 2</t>
  </si>
  <si>
    <t>expos.</t>
  </si>
  <si>
    <t xml:space="preserve"> now just apply the "regular" pure premium method but use the adjusted exposures</t>
  </si>
  <si>
    <t>You must use the adjusted pure premium method because the question asks you to</t>
  </si>
  <si>
    <t>adjust for distributional bias.</t>
  </si>
  <si>
    <t>Using the data below, calculate the coinsurance penalty.</t>
  </si>
  <si>
    <t>Using the data below, calculate the indemnity payment.</t>
  </si>
  <si>
    <t>Using the data below, calculate the maximum coinsurance penalty.</t>
  </si>
  <si>
    <t>Data for this problem:</t>
  </si>
  <si>
    <t>V:  Value of property</t>
  </si>
  <si>
    <t>F:  Face value of property (AOI)</t>
  </si>
  <si>
    <t>c:  conisurance percentage</t>
  </si>
  <si>
    <t>L:  Loss (after deductible)</t>
  </si>
  <si>
    <t xml:space="preserve"> calculate the apportionment ratio "a"</t>
  </si>
  <si>
    <t>a = min( F/(cV), 1.0)</t>
  </si>
  <si>
    <t>a</t>
  </si>
  <si>
    <t>min(</t>
  </si>
  <si>
    <t>cV</t>
  </si>
  <si>
    <t>,</t>
  </si>
  <si>
    <t>1.0 )</t>
  </si>
  <si>
    <t xml:space="preserve"> calculate the indemnity payment "I"</t>
  </si>
  <si>
    <t>I = min( F, L*a)</t>
  </si>
  <si>
    <t>I</t>
  </si>
  <si>
    <t>L x a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</si>
  <si>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(a)</t>
    </r>
  </si>
  <si>
    <t xml:space="preserve"> calculate the coininsurance penalty "e"</t>
  </si>
  <si>
    <t>e = min(F, L) - I</t>
  </si>
  <si>
    <t>e</t>
  </si>
  <si>
    <t>L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</si>
  <si>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(b)</t>
    </r>
  </si>
  <si>
    <t>Step 2c</t>
  </si>
  <si>
    <t xml:space="preserve"> calculate the MAXIMUM coininsurance penalty e(MAX)</t>
  </si>
  <si>
    <t>eMAX = F x (1-a)</t>
  </si>
  <si>
    <t>e(MAX)</t>
  </si>
  <si>
    <t>(1 - a)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</si>
  <si>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(c)</t>
    </r>
  </si>
  <si>
    <t>Calculate the loss elimination ratio and deductible relativity from deductible D1 to D2.</t>
  </si>
  <si>
    <t>deductible D1</t>
  </si>
  <si>
    <t>deductible D2</t>
  </si>
  <si>
    <t>for</t>
  </si>
  <si>
    <t>D = 500</t>
  </si>
  <si>
    <t>D = 1000</t>
  </si>
  <si>
    <t xml:space="preserve"> calculate the loss eliminated in moving from D1 to D2</t>
  </si>
  <si>
    <t>elim.</t>
  </si>
  <si>
    <t xml:space="preserve"> calculate LER (Loss Elimination Ratio)</t>
  </si>
  <si>
    <t>(loss eliminated)</t>
  </si>
  <si>
    <t>(0.75 pts)</t>
  </si>
  <si>
    <t>(0.5 pts)</t>
  </si>
  <si>
    <t>overall rate change</t>
  </si>
  <si>
    <t>maximum premium increase for any level of the rating variable</t>
  </si>
  <si>
    <t>Rating variable information prior to capping</t>
  </si>
  <si>
    <t>current</t>
  </si>
  <si>
    <t>Calculate the relativities that satisfy the given requirements.</t>
  </si>
  <si>
    <t xml:space="preserve"> calculate total % change for each rating variable level</t>
  </si>
  <si>
    <t>(7)</t>
  </si>
  <si>
    <t>(8)</t>
  </si>
  <si>
    <t>(9)</t>
  </si>
  <si>
    <t>change</t>
  </si>
  <si>
    <t>off-bal</t>
  </si>
  <si>
    <t>overall</t>
  </si>
  <si>
    <t>total chg</t>
  </si>
  <si>
    <t>new prem</t>
  </si>
  <si>
    <t>= Δs%</t>
  </si>
  <si>
    <t xml:space="preserve"> =  (4) / (3) - 1.0</t>
  </si>
  <si>
    <t>(Tot5)</t>
  </si>
  <si>
    <t xml:space="preserve"> =  (5) weighted by (2)</t>
  </si>
  <si>
    <t xml:space="preserve"> =  1.0 / (1.0 + (Tot5))</t>
  </si>
  <si>
    <t xml:space="preserve">       =  off-balance</t>
  </si>
  <si>
    <t xml:space="preserve"> =  1 / (1 + Δs%)</t>
  </si>
  <si>
    <t xml:space="preserve"> =  given</t>
  </si>
  <si>
    <t xml:space="preserve"> =  [1.0 + (5)] x (6) x [1.0 + (7)] - 1.0</t>
  </si>
  <si>
    <t xml:space="preserve"> =  (2) x (1.0 + (8))</t>
  </si>
  <si>
    <t xml:space="preserve"> cap relativity for non-base level A so that total change doesn't exceed </t>
  </si>
  <si>
    <t xml:space="preserve"> by solving for R below:</t>
  </si>
  <si>
    <t>R / current</t>
  </si>
  <si>
    <t>(1 + overall)</t>
  </si>
  <si>
    <t>1+ max</t>
  </si>
  <si>
    <t>new indicated relativity for level A</t>
  </si>
  <si>
    <t xml:space="preserve"> calculate the premium shortfall created by the cap in step 2a</t>
  </si>
  <si>
    <t>revised premium for A</t>
  </si>
  <si>
    <t>shortfall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</si>
  <si>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premium shortfall</t>
    </r>
  </si>
  <si>
    <t>Step 3a</t>
  </si>
  <si>
    <r>
      <t xml:space="preserve"> redistribute this shortfall across levels B and C by </t>
    </r>
    <r>
      <rPr>
        <u/>
        <sz val="11"/>
        <color theme="1"/>
        <rFont val="Calibri"/>
        <family val="2"/>
        <scheme val="minor"/>
      </rPr>
      <t>increasing the base rate</t>
    </r>
    <r>
      <rPr>
        <sz val="11"/>
        <color theme="1"/>
        <rFont val="Calibri"/>
        <family val="2"/>
        <scheme val="minor"/>
      </rPr>
      <t xml:space="preserve"> by a proportional amount</t>
    </r>
  </si>
  <si>
    <t>premium for levels B &amp; C</t>
  </si>
  <si>
    <t>required base rate increase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</si>
  <si>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base rate increase</t>
    </r>
  </si>
  <si>
    <r>
      <t xml:space="preserve"> BUT, we must now </t>
    </r>
    <r>
      <rPr>
        <u/>
        <sz val="11"/>
        <color theme="1"/>
        <rFont val="Calibri"/>
        <family val="2"/>
        <scheme val="minor"/>
      </rPr>
      <t>back out this base rate increase</t>
    </r>
    <r>
      <rPr>
        <sz val="11"/>
        <color theme="1"/>
        <rFont val="Calibri"/>
        <family val="2"/>
        <scheme val="minor"/>
      </rPr>
      <t xml:space="preserve"> from level A otherwise the cap will be exceeded by that same amount</t>
    </r>
  </si>
  <si>
    <t>final indicated relativity for level A</t>
  </si>
  <si>
    <t>(1 + base rate increase)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</si>
  <si>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 for proposed Level A relavitiy</t>
    </r>
  </si>
  <si>
    <t>Relativities for B &amp; C are equal to the original indication</t>
  </si>
  <si>
    <t>have a material impact on the user's interpretation. Identify 2 pieces of of information that</t>
  </si>
  <si>
    <t xml:space="preserve">  - intended user</t>
  </si>
  <si>
    <t>Many answers are possible and include:</t>
  </si>
  <si>
    <t xml:space="preserve">  - scope of the unpaid claim estimate</t>
  </si>
  <si>
    <t xml:space="preserve">  - limitations of the analysis</t>
  </si>
  <si>
    <t xml:space="preserve">  - significant events</t>
  </si>
  <si>
    <t xml:space="preserve">  - assumptions made during the analysis</t>
  </si>
  <si>
    <t xml:space="preserve">  - methodology</t>
  </si>
  <si>
    <t xml:space="preserve">  - data used</t>
  </si>
  <si>
    <t xml:space="preserve">  - potential for changes and uncertainty</t>
  </si>
  <si>
    <t xml:space="preserve">  - comparisons with prior estimates</t>
  </si>
  <si>
    <t>(Any 2 of these are required but other reasonable answers are also accepted.)</t>
  </si>
  <si>
    <t>Regarding unpaid claim estimates, the actuary should communicate information that may</t>
  </si>
  <si>
    <t>would reasonably be communicated.</t>
  </si>
  <si>
    <t>paid in</t>
  </si>
  <si>
    <t>case O/S</t>
  </si>
  <si>
    <t>claim id</t>
  </si>
  <si>
    <t>RY</t>
  </si>
  <si>
    <r>
      <t xml:space="preserve">Sum across </t>
    </r>
    <r>
      <rPr>
        <b/>
        <sz val="11"/>
        <color rgb="FF00B050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(This is simple in Excel but easy to make a mistake with pencil and paper.)</t>
    </r>
  </si>
  <si>
    <r>
      <t xml:space="preserve">Suggestion: </t>
    </r>
    <r>
      <rPr>
        <i/>
        <sz val="11"/>
        <color theme="1"/>
        <rFont val="Calibri"/>
        <family val="2"/>
        <scheme val="minor"/>
      </rPr>
      <t>Use a ruler to draw a horizontal line between one AY and the next.</t>
    </r>
  </si>
  <si>
    <t>all</t>
  </si>
  <si>
    <t>Transfer the colour-coded values from Step 1 into these triangles…</t>
  </si>
  <si>
    <t>incremental PAID claims</t>
  </si>
  <si>
    <r>
      <t xml:space="preserve">Form the CUMULATIVE </t>
    </r>
    <r>
      <rPr>
        <u/>
        <sz val="11"/>
        <color theme="1"/>
        <rFont val="Calibri"/>
        <family val="2"/>
        <scheme val="minor"/>
      </rPr>
      <t>paid</t>
    </r>
    <r>
      <rPr>
        <sz val="11"/>
        <color theme="1"/>
        <rFont val="Calibri"/>
        <family val="2"/>
        <scheme val="minor"/>
      </rPr>
      <t xml:space="preserve"> triangle by summing across rows in the incremental paid triangle</t>
    </r>
  </si>
  <si>
    <t>(final</t>
  </si>
  <si>
    <t>answer)</t>
  </si>
  <si>
    <t>cumulative PAID claims</t>
  </si>
  <si>
    <t xml:space="preserve">Ex:  </t>
  </si>
  <si>
    <r>
      <t xml:space="preserve">Form the CUMULATIVE </t>
    </r>
    <r>
      <rPr>
        <u/>
        <sz val="11"/>
        <color theme="1"/>
        <rFont val="Calibri"/>
        <family val="2"/>
        <scheme val="minor"/>
      </rPr>
      <t>reported</t>
    </r>
    <r>
      <rPr>
        <sz val="11"/>
        <color theme="1"/>
        <rFont val="Calibri"/>
        <family val="2"/>
        <scheme val="minor"/>
      </rPr>
      <t xml:space="preserve"> triangle: </t>
    </r>
  </si>
  <si>
    <t>cumulative reported claims   =   (cumulative paid claims)  +  (Case O/S)</t>
  </si>
  <si>
    <t>cumulative REPORTED claims</t>
  </si>
  <si>
    <r>
      <t xml:space="preserve">Build the </t>
    </r>
    <r>
      <rPr>
        <b/>
        <sz val="11"/>
        <color rgb="FF00B050"/>
        <rFont val="Calibri"/>
        <family val="2"/>
        <scheme val="minor"/>
      </rPr>
      <t>AY (Accident Year)</t>
    </r>
    <r>
      <rPr>
        <sz val="11"/>
        <color theme="1"/>
        <rFont val="Calibri"/>
        <family val="2"/>
        <scheme val="minor"/>
      </rPr>
      <t xml:space="preserve"> paid &amp; reported claim triangles. (Unless stated otherwise these are cumulative triangles)</t>
    </r>
  </si>
  <si>
    <t>Operational change:</t>
  </si>
  <si>
    <t>Ian-the-Actuary took the minutes for a reserve committee meeting where a previous material operational change was discussed. He</t>
  </si>
  <si>
    <t>When the change occurred:</t>
  </si>
  <si>
    <t xml:space="preserve">got mixed up however as to whether the operational change was a change in settlment rate of claims or a change in case reserve adequacy. </t>
  </si>
  <si>
    <t xml:space="preserve">  - Jan 1, 2023</t>
  </si>
  <si>
    <r>
      <t xml:space="preserve">Help Ian get the minutes right by by deducing the operational change </t>
    </r>
    <r>
      <rPr>
        <b/>
        <u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when the change occurred using the triangles given below.</t>
    </r>
  </si>
  <si>
    <t>(We know the change occurred on Jan 1 but Ian couldn't remember the year.)</t>
  </si>
  <si>
    <t>An appropriate diagnostic triangle to support this conclusion is:</t>
  </si>
  <si>
    <t>Justify your answer with an appropriate diagnostic triange.</t>
  </si>
  <si>
    <t>paid/rptd loss</t>
  </si>
  <si>
    <t>Counts</t>
  </si>
  <si>
    <t>Rptd Count</t>
  </si>
  <si>
    <t>Another valid diagnostic triangle to support the conclusion is:</t>
  </si>
  <si>
    <t xml:space="preserve">  - increase in settlement rate</t>
  </si>
  <si>
    <t>paid/rptd counts</t>
  </si>
  <si>
    <t>Identify 2 situations where the key assumption of the Bornhuetter-Ferguson method is likely to be</t>
  </si>
  <si>
    <t>satisfied.</t>
  </si>
  <si>
    <t xml:space="preserve"> - New line or territory (where data is thin or volatile)</t>
  </si>
  <si>
    <t xml:space="preserve"> - less mature development periods (because LDFs could be highly leveraged for less mature</t>
  </si>
  <si>
    <t xml:space="preserve">   development so the pure development method may be volatile whereas the expected claims</t>
  </si>
  <si>
    <t xml:space="preserve">   ratio provides stability)</t>
  </si>
  <si>
    <t>using:</t>
  </si>
  <si>
    <t>reported development method</t>
  </si>
  <si>
    <t>reported Bornhuetter-Ferguson method</t>
  </si>
  <si>
    <t>Data is for CY/AY 2024 as of Dec 31, 2024</t>
  </si>
  <si>
    <t>Tort reform is passed on Dec 31, 2024 causing an</t>
  </si>
  <si>
    <t>expected</t>
  </si>
  <si>
    <t>reduction on future claim payments.</t>
  </si>
  <si>
    <t>reported loss @ 12 months</t>
  </si>
  <si>
    <t>reported CDF for 12-ult</t>
  </si>
  <si>
    <t>paid loss @ 12 months</t>
  </si>
  <si>
    <r>
      <t xml:space="preserve">reported development estimate </t>
    </r>
    <r>
      <rPr>
        <u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tort reform adjustment</t>
    </r>
  </si>
  <si>
    <t>rptd loss</t>
  </si>
  <si>
    <r>
      <t xml:space="preserve">unpaid claims </t>
    </r>
    <r>
      <rPr>
        <i/>
        <sz val="11"/>
        <color theme="1"/>
        <rFont val="Calibri"/>
        <family val="2"/>
        <scheme val="minor"/>
      </rPr>
      <t xml:space="preserve">(need this because we make the tort reform adjustment </t>
    </r>
    <r>
      <rPr>
        <i/>
        <u/>
        <sz val="11"/>
        <color theme="1"/>
        <rFont val="Calibri"/>
        <family val="2"/>
        <scheme val="minor"/>
      </rPr>
      <t>only</t>
    </r>
    <r>
      <rPr>
        <i/>
        <sz val="11"/>
        <color theme="1"/>
        <rFont val="Calibri"/>
        <family val="2"/>
        <scheme val="minor"/>
      </rPr>
      <t xml:space="preserve"> to unpaid claims)</t>
    </r>
  </si>
  <si>
    <t>paid loss</t>
  </si>
  <si>
    <t>adjust unpaid loss downward by:</t>
  </si>
  <si>
    <t>adjusted unpaid loss</t>
  </si>
  <si>
    <t>adjusted ultimate</t>
  </si>
  <si>
    <t xml:space="preserve">  * Steps 2,3,4 are the same as for part (i)</t>
  </si>
  <si>
    <r>
      <t xml:space="preserve">ECR method estimate </t>
    </r>
    <r>
      <rPr>
        <u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tort reform adjustment</t>
    </r>
  </si>
  <si>
    <r>
      <t xml:space="preserve">BF method estimate </t>
    </r>
    <r>
      <rPr>
        <u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tort reform adjustment</t>
    </r>
  </si>
  <si>
    <t>ECR ult</t>
  </si>
  <si>
    <t>(1 pt)</t>
  </si>
  <si>
    <t>tort</t>
  </si>
  <si>
    <t>rptd CDF</t>
  </si>
  <si>
    <t>on-level</t>
  </si>
  <si>
    <t>reform</t>
  </si>
  <si>
    <t>adj.</t>
  </si>
  <si>
    <t>tort ref</t>
  </si>
  <si>
    <t>(back out on-level adj, pure premium trend, tort reform)</t>
  </si>
  <si>
    <t>tort reform</t>
  </si>
  <si>
    <r>
      <t xml:space="preserve"> calculate the </t>
    </r>
    <r>
      <rPr>
        <b/>
        <sz val="11"/>
        <color rgb="FFFF0000"/>
        <rFont val="Calibri"/>
        <family val="2"/>
        <scheme val="minor"/>
      </rPr>
      <t>ultimate</t>
    </r>
    <r>
      <rPr>
        <sz val="11"/>
        <color theme="1"/>
        <rFont val="Calibri"/>
        <family val="2"/>
        <scheme val="minor"/>
      </rPr>
      <t xml:space="preserve"> using the data for:</t>
    </r>
  </si>
  <si>
    <r>
      <t xml:space="preserve">  &lt;==  </t>
    </r>
    <r>
      <rPr>
        <i/>
        <sz val="11"/>
        <color rgb="FFFF0000"/>
        <rFont val="Calibri"/>
        <family val="2"/>
        <scheme val="minor"/>
      </rPr>
      <t>final answer (ultimate)</t>
    </r>
  </si>
  <si>
    <r>
      <t xml:space="preserve">Or if you're asked for the </t>
    </r>
    <r>
      <rPr>
        <b/>
        <sz val="11"/>
        <color rgb="FFFF0000"/>
        <rFont val="Calibri"/>
        <family val="2"/>
        <scheme val="minor"/>
      </rPr>
      <t>IBNR</t>
    </r>
    <r>
      <rPr>
        <sz val="11"/>
        <color theme="1"/>
        <rFont val="Calibri"/>
        <family val="2"/>
        <scheme val="minor"/>
      </rPr>
      <t>, the answer is:</t>
    </r>
  </si>
  <si>
    <r>
      <t xml:space="preserve">  &lt;==  </t>
    </r>
    <r>
      <rPr>
        <i/>
        <sz val="11"/>
        <color rgb="FFFF0000"/>
        <rFont val="Calibri"/>
        <family val="2"/>
        <scheme val="minor"/>
      </rPr>
      <t>IBNR</t>
    </r>
  </si>
  <si>
    <t>You are NOT being asked about the most recent AY. You are being asked about AY 2022.</t>
  </si>
  <si>
    <t>Use the frequency-severity disposal rate method to estimate</t>
  </si>
  <si>
    <t xml:space="preserve">  claims for AY 2025</t>
  </si>
  <si>
    <t>A court ruling on Dec 31, 2025 will increase future claims payments by</t>
  </si>
  <si>
    <t>All claims are closed by 60 months</t>
  </si>
  <si>
    <t>Cumulative Paid Counts (CPC)</t>
  </si>
  <si>
    <t>Cumulative Paid Loss ($000s)  (CPL)</t>
  </si>
  <si>
    <t xml:space="preserve"> calculate CPC and IPC</t>
  </si>
  <si>
    <t>(you will be given 1 of them and have to calculate the other)</t>
  </si>
  <si>
    <t>given</t>
  </si>
  <si>
    <r>
      <rPr>
        <u/>
        <sz val="11"/>
        <color theme="1"/>
        <rFont val="Calibri"/>
        <family val="2"/>
        <scheme val="minor"/>
      </rPr>
      <t>Cumulative</t>
    </r>
    <r>
      <rPr>
        <sz val="11"/>
        <color theme="1"/>
        <rFont val="Calibri"/>
        <family val="2"/>
        <scheme val="minor"/>
      </rPr>
      <t xml:space="preserve"> Paid Counts </t>
    </r>
    <r>
      <rPr>
        <b/>
        <sz val="11"/>
        <color rgb="FFFF0000"/>
        <rFont val="Calibri"/>
        <family val="2"/>
        <scheme val="minor"/>
      </rPr>
      <t>(CPC)</t>
    </r>
  </si>
  <si>
    <r>
      <rPr>
        <u/>
        <sz val="11"/>
        <color theme="1"/>
        <rFont val="Calibri"/>
        <family val="2"/>
        <scheme val="minor"/>
      </rPr>
      <t>Incremental</t>
    </r>
    <r>
      <rPr>
        <sz val="11"/>
        <color theme="1"/>
        <rFont val="Calibri"/>
        <family val="2"/>
        <scheme val="minor"/>
      </rPr>
      <t xml:space="preserve"> Paid Counts </t>
    </r>
    <r>
      <rPr>
        <b/>
        <sz val="11"/>
        <color rgb="FFFF0000"/>
        <rFont val="Calibri"/>
        <family val="2"/>
        <scheme val="minor"/>
      </rPr>
      <t>(IPC)</t>
    </r>
  </si>
  <si>
    <t xml:space="preserve"> calculate CPL and IPL</t>
  </si>
  <si>
    <r>
      <rPr>
        <u/>
        <sz val="11"/>
        <color theme="1"/>
        <rFont val="Calibri"/>
        <family val="2"/>
        <scheme val="minor"/>
      </rPr>
      <t>Incremental</t>
    </r>
    <r>
      <rPr>
        <sz val="11"/>
        <color theme="1"/>
        <rFont val="Calibri"/>
        <family val="2"/>
        <scheme val="minor"/>
      </rPr>
      <t xml:space="preserve"> Paid Loss ($000s)  </t>
    </r>
    <r>
      <rPr>
        <b/>
        <sz val="11"/>
        <color rgb="FFFF0000"/>
        <rFont val="Calibri"/>
        <family val="2"/>
        <scheme val="minor"/>
      </rPr>
      <t>(IPL)</t>
    </r>
  </si>
  <si>
    <t xml:space="preserve"> calculate CDR as:</t>
  </si>
  <si>
    <t>CPC / UC</t>
  </si>
  <si>
    <t xml:space="preserve">  (UC = Ultimate Counts)</t>
  </si>
  <si>
    <r>
      <t xml:space="preserve">Claims DIsposal Rate </t>
    </r>
    <r>
      <rPr>
        <b/>
        <sz val="11"/>
        <color rgb="FF00B050"/>
        <rFont val="Calibri"/>
        <family val="2"/>
        <scheme val="minor"/>
      </rPr>
      <t>(CDR)</t>
    </r>
  </si>
  <si>
    <t>select</t>
  </si>
  <si>
    <t xml:space="preserve">  &lt;-- select LATEST DIAGONAL</t>
  </si>
  <si>
    <t xml:space="preserve"> project IPC</t>
  </si>
  <si>
    <r>
      <t>(</t>
    </r>
    <r>
      <rPr>
        <i/>
        <u/>
        <sz val="11"/>
        <color theme="1"/>
        <rFont val="Calibri"/>
        <family val="2"/>
        <scheme val="minor"/>
      </rPr>
      <t>project</t>
    </r>
    <r>
      <rPr>
        <i/>
        <sz val="11"/>
        <color theme="1"/>
        <rFont val="Calibri"/>
        <family val="2"/>
        <scheme val="minor"/>
      </rPr>
      <t xml:space="preserve"> the Incremental Paid Counts to the lower right portion of the IPC triangle)</t>
    </r>
  </si>
  <si>
    <t>This is the part of the calculation where it's easy to make a</t>
  </si>
  <si>
    <t>mistake.</t>
  </si>
  <si>
    <t>You have to distribute the remaining counts</t>
  </si>
  <si>
    <t>proportionately using the disposal rate you selected in the</t>
  </si>
  <si>
    <t>previous step.</t>
  </si>
  <si>
    <t>remaining counts</t>
  </si>
  <si>
    <t>proportional distribution</t>
  </si>
  <si>
    <t>2025/24:</t>
  </si>
  <si>
    <t>2025/36:</t>
  </si>
  <si>
    <t>2025/48:</t>
  </si>
  <si>
    <t>2024/36:</t>
  </si>
  <si>
    <t>2024/48:</t>
  </si>
  <si>
    <t>2023/48:</t>
  </si>
  <si>
    <t>Note that don't have to project every AY. You only have to project the rows for AYs you're asked to calculate.</t>
  </si>
  <si>
    <r>
      <t xml:space="preserve"> calculate IPS </t>
    </r>
    <r>
      <rPr>
        <u/>
        <sz val="11"/>
        <color theme="1"/>
        <rFont val="Calibri"/>
        <family val="2"/>
        <scheme val="minor"/>
      </rPr>
      <t>trended to AY 2025</t>
    </r>
    <r>
      <rPr>
        <sz val="11"/>
        <color theme="1"/>
        <rFont val="Calibri"/>
        <family val="2"/>
        <scheme val="minor"/>
      </rPr>
      <t xml:space="preserve">, and select an AY 2025 severity for the </t>
    </r>
    <r>
      <rPr>
        <u/>
        <sz val="11"/>
        <color theme="1"/>
        <rFont val="Calibri"/>
        <family val="2"/>
        <scheme val="minor"/>
      </rPr>
      <t>unpaid periods</t>
    </r>
    <r>
      <rPr>
        <sz val="11"/>
        <color theme="1"/>
        <rFont val="Calibri"/>
        <family val="2"/>
        <scheme val="minor"/>
      </rPr>
      <t xml:space="preserve"> 24, 36, 48</t>
    </r>
  </si>
  <si>
    <r>
      <t xml:space="preserve">Incremental Paid Severity </t>
    </r>
    <r>
      <rPr>
        <b/>
        <sz val="11"/>
        <color rgb="FF00B050"/>
        <rFont val="Calibri"/>
        <family val="2"/>
        <scheme val="minor"/>
      </rPr>
      <t>(IPS)</t>
    </r>
  </si>
  <si>
    <t>demonstration of severity calc &amp; trending for age 24</t>
  </si>
  <si>
    <t xml:space="preserve">  &lt;-- from Step 2b</t>
  </si>
  <si>
    <t xml:space="preserve">  &lt;-- (selected severity) x counts</t>
  </si>
  <si>
    <t>court ruling adj.</t>
  </si>
  <si>
    <t xml:space="preserve">  &lt;-- adjust unpaid by this percentage</t>
  </si>
  <si>
    <t>adj. unpaid</t>
  </si>
  <si>
    <t xml:space="preserve">  &lt;-- final answer for UNPAID loss</t>
  </si>
  <si>
    <t xml:space="preserve">  &lt;-- ULTIMATE loss</t>
  </si>
  <si>
    <t>Cumulative Paid Loss (000s) (CPL)</t>
  </si>
  <si>
    <t>Incremental Paid Loss (000s)  (IPL)</t>
  </si>
  <si>
    <t xml:space="preserve">Severity trend    ====&gt; </t>
  </si>
  <si>
    <t>Use a Case O/S method to calculate the</t>
  </si>
  <si>
    <t xml:space="preserve">  for AY</t>
  </si>
  <si>
    <r>
      <rPr>
        <u/>
        <sz val="11"/>
        <color theme="1"/>
        <rFont val="Calibri"/>
        <family val="2"/>
        <scheme val="minor"/>
      </rPr>
      <t>Cumulative</t>
    </r>
    <r>
      <rPr>
        <sz val="11"/>
        <color theme="1"/>
        <rFont val="Calibri"/>
        <family val="2"/>
        <scheme val="minor"/>
      </rPr>
      <t xml:space="preserve"> Paid Loss ($000s)  </t>
    </r>
    <r>
      <rPr>
        <b/>
        <sz val="11"/>
        <color rgb="FFFF0000"/>
        <rFont val="Calibri"/>
        <family val="2"/>
        <scheme val="minor"/>
      </rPr>
      <t>(CPL)</t>
    </r>
  </si>
  <si>
    <r>
      <t xml:space="preserve">Case Outstanding ($000s) </t>
    </r>
    <r>
      <rPr>
        <b/>
        <sz val="11"/>
        <color rgb="FFFF0000"/>
        <rFont val="Calibri"/>
        <family val="2"/>
        <scheme val="minor"/>
      </rPr>
      <t>(COS)</t>
    </r>
  </si>
  <si>
    <t>48-ultimate paid loss to prior case O/S factor</t>
  </si>
  <si>
    <r>
      <t xml:space="preserve">* no development past </t>
    </r>
    <r>
      <rPr>
        <i/>
        <u/>
        <sz val="11"/>
        <color rgb="FFFF0000"/>
        <rFont val="Calibri"/>
        <family val="2"/>
        <scheme val="minor"/>
      </rPr>
      <t>60</t>
    </r>
    <r>
      <rPr>
        <i/>
        <sz val="11"/>
        <color rgb="FFFF0000"/>
        <rFont val="Calibri"/>
        <family val="2"/>
        <scheme val="minor"/>
      </rPr>
      <t xml:space="preserve"> months</t>
    </r>
  </si>
  <si>
    <t xml:space="preserve"> calculate   IPL</t>
  </si>
  <si>
    <t>(Incremental Paid Loss)</t>
  </si>
  <si>
    <r>
      <t xml:space="preserve">Sometimes you're </t>
    </r>
    <r>
      <rPr>
        <i/>
        <u/>
        <sz val="11"/>
        <color rgb="FFFF0000"/>
        <rFont val="Calibri"/>
        <family val="2"/>
        <scheme val="minor"/>
      </rPr>
      <t>given</t>
    </r>
    <r>
      <rPr>
        <i/>
        <sz val="11"/>
        <color rgb="FFFF0000"/>
        <rFont val="Calibri"/>
        <family val="2"/>
        <scheme val="minor"/>
      </rPr>
      <t xml:space="preserve"> the incremental paid loss.</t>
    </r>
  </si>
  <si>
    <t>If so, then step 1 is not necessary.</t>
  </si>
  <si>
    <t xml:space="preserve"> calculate &amp; make selections for:  (current case) / (prior case)</t>
  </si>
  <si>
    <r>
      <t xml:space="preserve">Demonstration for AY </t>
    </r>
    <r>
      <rPr>
        <i/>
        <u/>
        <sz val="11"/>
        <color rgb="FFFF0000"/>
        <rFont val="Calibri"/>
        <family val="2"/>
        <scheme val="minor"/>
      </rPr>
      <t>2022</t>
    </r>
    <r>
      <rPr>
        <i/>
        <sz val="11"/>
        <color rgb="FFFF0000"/>
        <rFont val="Calibri"/>
        <family val="2"/>
        <scheme val="minor"/>
      </rPr>
      <t xml:space="preserve"> calculations:</t>
    </r>
  </si>
  <si>
    <t>Current/Prior COS</t>
  </si>
  <si>
    <t>prior</t>
  </si>
  <si>
    <t>24/12</t>
  </si>
  <si>
    <t>36/24</t>
  </si>
  <si>
    <t>48/36</t>
  </si>
  <si>
    <t>60/48</t>
  </si>
  <si>
    <t xml:space="preserve">24/12 </t>
  </si>
  <si>
    <t xml:space="preserve">36/24 </t>
  </si>
  <si>
    <t xml:space="preserve">48/36 </t>
  </si>
  <si>
    <t xml:space="preserve">  &lt;-- default selection  =  all period average</t>
  </si>
  <si>
    <t xml:space="preserve"> project case O/S using selections from step 2a</t>
  </si>
  <si>
    <r>
      <rPr>
        <u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Case Outstanding </t>
    </r>
    <r>
      <rPr>
        <b/>
        <sz val="11"/>
        <color rgb="FFFF0000"/>
        <rFont val="Calibri"/>
        <family val="2"/>
        <scheme val="minor"/>
      </rPr>
      <t>(COS)</t>
    </r>
  </si>
  <si>
    <r>
      <t xml:space="preserve">Demonstration for AY </t>
    </r>
    <r>
      <rPr>
        <i/>
        <u/>
        <sz val="11"/>
        <color rgb="FFFF0000"/>
        <rFont val="Calibri"/>
        <family val="2"/>
        <scheme val="minor"/>
      </rPr>
      <t>2025</t>
    </r>
    <r>
      <rPr>
        <i/>
        <sz val="11"/>
        <color rgb="FFFF0000"/>
        <rFont val="Calibri"/>
        <family val="2"/>
        <scheme val="minor"/>
      </rPr>
      <t xml:space="preserve"> projections:</t>
    </r>
  </si>
  <si>
    <t>projection</t>
  </si>
  <si>
    <t xml:space="preserve">24 mths </t>
  </si>
  <si>
    <t xml:space="preserve">36 mths </t>
  </si>
  <si>
    <t xml:space="preserve">48 mths </t>
  </si>
  <si>
    <t xml:space="preserve"> calculate &amp; make selections for:  (current IPL) / (prior case)</t>
  </si>
  <si>
    <t>IPL / (prior case)</t>
  </si>
  <si>
    <t>IPL</t>
  </si>
  <si>
    <t xml:space="preserve"> project IPL using selections from step 3a</t>
  </si>
  <si>
    <r>
      <rPr>
        <u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Incremental Paid Loss </t>
    </r>
    <r>
      <rPr>
        <b/>
        <sz val="11"/>
        <color rgb="FFFF0000"/>
        <rFont val="Calibri"/>
        <family val="2"/>
        <scheme val="minor"/>
      </rPr>
      <t>(IPL)</t>
    </r>
  </si>
  <si>
    <r>
      <t xml:space="preserve">selection </t>
    </r>
    <r>
      <rPr>
        <sz val="11"/>
        <color rgb="FFFF0000"/>
        <rFont val="Calibri"/>
        <family val="2"/>
        <scheme val="minor"/>
      </rPr>
      <t>*</t>
    </r>
  </si>
  <si>
    <t xml:space="preserve">60 mths </t>
  </si>
  <si>
    <t>The IPL projection always has 1 extra column. In this</t>
  </si>
  <si>
    <r>
      <t xml:space="preserve">* The 60-mth selection was </t>
    </r>
    <r>
      <rPr>
        <i/>
        <u/>
        <sz val="11"/>
        <color rgb="FFFF0000"/>
        <rFont val="Calibri"/>
        <family val="2"/>
        <scheme val="minor"/>
      </rPr>
      <t>given info</t>
    </r>
    <r>
      <rPr>
        <i/>
        <sz val="11"/>
        <color rgb="FFFF0000"/>
        <rFont val="Calibri"/>
        <family val="2"/>
        <scheme val="minor"/>
      </rPr>
      <t>.</t>
    </r>
  </si>
  <si>
    <t>case 60-months. We use the 48-month case O/S</t>
  </si>
  <si>
    <t xml:space="preserve">   (It was not selected in step 3a)</t>
  </si>
  <si>
    <t>to project the IPL out to 60 months.</t>
  </si>
  <si>
    <t xml:space="preserve"> calculate ultimate &amp; unpaid amounts:</t>
  </si>
  <si>
    <t xml:space="preserve"> unpaid</t>
  </si>
  <si>
    <t>sum of rows in step 3b</t>
  </si>
  <si>
    <t xml:space="preserve"> ultimate</t>
  </si>
  <si>
    <r>
      <t xml:space="preserve">sum of rows in step 3b    +     last diagonal of </t>
    </r>
    <r>
      <rPr>
        <b/>
        <sz val="11"/>
        <color rgb="FFFF0000"/>
        <rFont val="Calibri"/>
        <family val="2"/>
        <scheme val="minor"/>
      </rPr>
      <t>CPL</t>
    </r>
  </si>
  <si>
    <t>Pay attention to whether the question asks for ultimate or unpaid.</t>
  </si>
  <si>
    <t>Also, pay attention to which AY is being asked about.</t>
  </si>
  <si>
    <t>The final</t>
  </si>
  <si>
    <t>is</t>
  </si>
  <si>
    <r>
      <t xml:space="preserve">Use the </t>
    </r>
    <r>
      <rPr>
        <u/>
        <sz val="11"/>
        <color theme="1"/>
        <rFont val="Calibri"/>
        <family val="2"/>
        <scheme val="minor"/>
      </rPr>
      <t>paid</t>
    </r>
    <r>
      <rPr>
        <sz val="11"/>
        <color theme="1"/>
        <rFont val="Calibri"/>
        <family val="2"/>
        <scheme val="minor"/>
      </rPr>
      <t xml:space="preserve"> Berquist-Sherman method to calculate the</t>
    </r>
  </si>
  <si>
    <t>* Assume no development past 48 mths.</t>
  </si>
  <si>
    <t>0 - 12</t>
  </si>
  <si>
    <t>12 - 24</t>
  </si>
  <si>
    <t>24 - 36</t>
  </si>
  <si>
    <t>36 - 48</t>
  </si>
  <si>
    <t>48 - 60</t>
  </si>
  <si>
    <t>b</t>
  </si>
  <si>
    <t>use 12 - 24 values</t>
  </si>
  <si>
    <t>not needed</t>
  </si>
  <si>
    <t>parameters for 2-point exponential fit:   y = aebx</t>
  </si>
  <si>
    <r>
      <t xml:space="preserve">We </t>
    </r>
    <r>
      <rPr>
        <i/>
        <u/>
        <sz val="11"/>
        <color rgb="FFFF0000"/>
        <rFont val="Calibri"/>
        <family val="2"/>
        <scheme val="minor"/>
      </rPr>
      <t>assume</t>
    </r>
    <r>
      <rPr>
        <i/>
        <sz val="11"/>
        <color rgb="FFFF0000"/>
        <rFont val="Calibri"/>
        <family val="2"/>
        <scheme val="minor"/>
      </rPr>
      <t xml:space="preserve"> the latest diagonal reflects current</t>
    </r>
  </si>
  <si>
    <t>disposal rates. (This is the most recent CY.)</t>
  </si>
  <si>
    <r>
      <t xml:space="preserve">We will </t>
    </r>
    <r>
      <rPr>
        <i/>
        <u/>
        <sz val="11"/>
        <color rgb="FFFF0000"/>
        <rFont val="Calibri"/>
        <family val="2"/>
        <scheme val="minor"/>
      </rPr>
      <t>restate</t>
    </r>
    <r>
      <rPr>
        <i/>
        <sz val="11"/>
        <color rgb="FFFF0000"/>
        <rFont val="Calibri"/>
        <family val="2"/>
        <scheme val="minor"/>
      </rPr>
      <t xml:space="preserve"> all AYs to be at the level of this</t>
    </r>
  </si>
  <si>
    <t>most recent CY.</t>
  </si>
  <si>
    <t>last CY</t>
  </si>
  <si>
    <r>
      <t xml:space="preserve">  &lt;-- select LATEST DIAGONAL (</t>
    </r>
    <r>
      <rPr>
        <i/>
        <u/>
        <sz val="11"/>
        <color rgb="FFFF0000"/>
        <rFont val="Calibri"/>
        <family val="2"/>
        <scheme val="minor"/>
      </rPr>
      <t>not</t>
    </r>
    <r>
      <rPr>
        <i/>
        <sz val="11"/>
        <color rgb="FFFF0000"/>
        <rFont val="Calibri"/>
        <family val="2"/>
        <scheme val="minor"/>
      </rPr>
      <t xml:space="preserve"> all-period-average)</t>
    </r>
  </si>
  <si>
    <t xml:space="preserve"> restate CPC using CDRs from last CY</t>
  </si>
  <si>
    <t>This "range" table is just a visual aid</t>
  </si>
  <si>
    <r>
      <rPr>
        <u/>
        <sz val="11"/>
        <color theme="1"/>
        <rFont val="Calibri"/>
        <family val="2"/>
        <scheme val="minor"/>
      </rPr>
      <t xml:space="preserve">Restated </t>
    </r>
    <r>
      <rPr>
        <sz val="11"/>
        <color theme="1"/>
        <rFont val="Calibri"/>
        <family val="2"/>
        <scheme val="minor"/>
      </rPr>
      <t xml:space="preserve">Cumulative Paid Counts </t>
    </r>
    <r>
      <rPr>
        <b/>
        <sz val="11"/>
        <color rgb="FFFF0000"/>
        <rFont val="Calibri"/>
        <family val="2"/>
        <scheme val="minor"/>
      </rPr>
      <t>(CPC)</t>
    </r>
  </si>
  <si>
    <t>===&gt;</t>
  </si>
  <si>
    <r>
      <rPr>
        <sz val="11"/>
        <color rgb="FFFF0000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 Relative to </t>
    </r>
    <r>
      <rPr>
        <u/>
        <sz val="11"/>
        <color theme="1"/>
        <rFont val="Calibri"/>
        <family val="2"/>
        <scheme val="minor"/>
      </rPr>
      <t>Original</t>
    </r>
    <r>
      <rPr>
        <sz val="11"/>
        <color theme="1"/>
        <rFont val="Calibri"/>
        <family val="2"/>
        <scheme val="minor"/>
      </rPr>
      <t xml:space="preserve"> Paid Counts</t>
    </r>
  </si>
  <si>
    <t>The range table is helpful in visualizing which data points</t>
  </si>
  <si>
    <t>or which regression parameters to use in Step 2.</t>
  </si>
  <si>
    <r>
      <t xml:space="preserve"> restate CPL using </t>
    </r>
    <r>
      <rPr>
        <sz val="11"/>
        <color rgb="FFFF0000"/>
        <rFont val="Calibri"/>
        <family val="2"/>
        <scheme val="minor"/>
      </rPr>
      <t>exponential regression interpolation</t>
    </r>
  </si>
  <si>
    <r>
      <rPr>
        <u/>
        <sz val="11"/>
        <color theme="1"/>
        <rFont val="Calibri"/>
        <family val="2"/>
        <scheme val="minor"/>
      </rPr>
      <t>Restated</t>
    </r>
    <r>
      <rPr>
        <sz val="11"/>
        <color theme="1"/>
        <rFont val="Calibri"/>
        <family val="2"/>
        <scheme val="minor"/>
      </rPr>
      <t xml:space="preserve"> Cumulative Paid Loss  </t>
    </r>
    <r>
      <rPr>
        <b/>
        <sz val="11"/>
        <color rgb="FFFF0000"/>
        <rFont val="Calibri"/>
        <family val="2"/>
        <scheme val="minor"/>
      </rPr>
      <t>(CPL)</t>
    </r>
  </si>
  <si>
    <t>Exs:</t>
  </si>
  <si>
    <t xml:space="preserve"> apply development method to restated CPL (Exp)</t>
  </si>
  <si>
    <t>tail</t>
  </si>
  <si>
    <t>factor:</t>
  </si>
  <si>
    <t xml:space="preserve"> &lt;-- estimate based on EXPONENTIAL REGRESSION INTERPOLATION</t>
  </si>
  <si>
    <t>'25@12</t>
  </si>
  <si>
    <t>'24@24</t>
  </si>
  <si>
    <t>'23@36</t>
  </si>
  <si>
    <t>'22@48</t>
  </si>
  <si>
    <t>Calculate the net unpaid claims for all accident years using reported claims development.</t>
  </si>
  <si>
    <t>cumulative gross reported claims:</t>
  </si>
  <si>
    <t>cumulative ceded reported claims:</t>
  </si>
  <si>
    <t>(no reported claim development beyond 48 months)</t>
  </si>
  <si>
    <t>(under excess-of-loss treaty)</t>
  </si>
  <si>
    <t>cumulative net paid claims:</t>
  </si>
  <si>
    <t>stop-loss limits</t>
  </si>
  <si>
    <t>(net of excess-of-loss treaty)</t>
  </si>
  <si>
    <t>(applies AFTER excess-of-loss treaty)</t>
  </si>
  <si>
    <t>pd clm</t>
  </si>
  <si>
    <t>limit</t>
  </si>
  <si>
    <t>none</t>
  </si>
  <si>
    <t>There is no further loss development past 48 months</t>
  </si>
  <si>
    <r>
      <t xml:space="preserve">Calculate the </t>
    </r>
    <r>
      <rPr>
        <u/>
        <sz val="11"/>
        <color theme="1"/>
        <rFont val="Calibri"/>
        <family val="2"/>
        <scheme val="minor"/>
      </rPr>
      <t>net reported</t>
    </r>
    <r>
      <rPr>
        <sz val="11"/>
        <color theme="1"/>
        <rFont val="Calibri"/>
        <family val="2"/>
        <scheme val="minor"/>
      </rPr>
      <t xml:space="preserve"> claims triangle as (gross reported) - (ceded reported)</t>
    </r>
  </si>
  <si>
    <r>
      <t xml:space="preserve">Calculate </t>
    </r>
    <r>
      <rPr>
        <u/>
        <sz val="11"/>
        <color theme="1"/>
        <rFont val="Calibri"/>
        <family val="2"/>
        <scheme val="minor"/>
      </rPr>
      <t>net ultimate</t>
    </r>
    <r>
      <rPr>
        <sz val="11"/>
        <color theme="1"/>
        <rFont val="Calibri"/>
        <family val="2"/>
        <scheme val="minor"/>
      </rPr>
      <t xml:space="preserve"> claims using reported development on the net triangle above </t>
    </r>
    <r>
      <rPr>
        <sz val="11"/>
        <color rgb="FFFF0000"/>
        <rFont val="Calibri"/>
        <family val="2"/>
        <scheme val="minor"/>
      </rPr>
      <t>(net of excess-of-loss)</t>
    </r>
  </si>
  <si>
    <t>tail = 1.0</t>
  </si>
  <si>
    <r>
      <rPr>
        <sz val="11"/>
        <color rgb="FF00B050"/>
        <rFont val="Calibri"/>
        <family val="2"/>
        <scheme val="minor"/>
      </rPr>
      <t>selected</t>
    </r>
    <r>
      <rPr>
        <sz val="11"/>
        <rFont val="Calibri"/>
        <family val="2"/>
        <scheme val="minor"/>
      </rPr>
      <t xml:space="preserve"> x (previous cum)</t>
    </r>
  </si>
  <si>
    <t>Ult Clms</t>
  </si>
  <si>
    <r>
      <rPr>
        <sz val="11"/>
        <color rgb="FF0070C0"/>
        <rFont val="Calibri"/>
        <family val="2"/>
        <scheme val="minor"/>
      </rPr>
      <t>cum</t>
    </r>
    <r>
      <rPr>
        <sz val="11"/>
        <color theme="1"/>
        <rFont val="Calibri"/>
        <family val="2"/>
        <scheme val="minor"/>
      </rPr>
      <t xml:space="preserve"> x (</t>
    </r>
    <r>
      <rPr>
        <sz val="11"/>
        <color theme="5" tint="-0.249977111117893"/>
        <rFont val="Calibri"/>
        <family val="2"/>
        <scheme val="minor"/>
      </rPr>
      <t>latest diagonal from Step 1</t>
    </r>
    <r>
      <rPr>
        <sz val="11"/>
        <color theme="1"/>
        <rFont val="Calibri"/>
        <family val="2"/>
        <scheme val="minor"/>
      </rPr>
      <t>)</t>
    </r>
  </si>
  <si>
    <t>net of EoL</t>
  </si>
  <si>
    <t>Put the results from Step 2 into a table and apply the given stop-loss limits</t>
  </si>
  <si>
    <t>stop-loss</t>
  </si>
  <si>
    <t>net</t>
  </si>
  <si>
    <t>net of ALL</t>
  </si>
  <si>
    <t>TOTAL</t>
  </si>
  <si>
    <t>Identify 3 common methods used to estimate ALAE.</t>
  </si>
  <si>
    <t xml:space="preserve">  - development of paid claims &amp; paid ALAE triangle to ultimate in the standard way</t>
  </si>
  <si>
    <t xml:space="preserve">     (ALAE is not separated from claims for development)</t>
  </si>
  <si>
    <t xml:space="preserve">  - development of paid ALAE triangle to ultimate in the standard way</t>
  </si>
  <si>
    <t xml:space="preserve">     (ALAE is separated from claims)</t>
  </si>
  <si>
    <t xml:space="preserve">  - ratio methods: uses triangle of (paid ALAE $s) / (paid claim $s)</t>
  </si>
  <si>
    <t>Briefly describe 2 advantages &amp; 2 disadvantages of using ratio methods to estimate ultimate ALAE.</t>
  </si>
  <si>
    <t>Advantages:</t>
  </si>
  <si>
    <t xml:space="preserve">  - ratios recognize the relationship between loss &amp; ALAE</t>
  </si>
  <si>
    <t xml:space="preserve">  - ratios are more stable than developing ALAE directly</t>
  </si>
  <si>
    <t xml:space="preserve">     (ALAE can be small &amp; highly leveraged, especially at early maturities)</t>
  </si>
  <si>
    <t xml:space="preserve">  - ratios provide diagnostics</t>
  </si>
  <si>
    <t xml:space="preserve">  - inaccurate ultimate loss estimates may cause inaccurate ALAE estimates</t>
  </si>
  <si>
    <t xml:space="preserve">  - large ALAE expense but claim settles with no payment</t>
  </si>
  <si>
    <t xml:space="preserve">     (causes distortions in ratio triangle)</t>
  </si>
  <si>
    <t xml:space="preserve">  - timing of ALAE payments may differ from timing of loss payments</t>
  </si>
  <si>
    <t xml:space="preserve">  - trend for ALAE payments may differ from trend for loss payments</t>
  </si>
  <si>
    <t>Identify 1 example of a typical ALAE expense for an insurance company.</t>
  </si>
  <si>
    <t>Many answers possible including:</t>
  </si>
  <si>
    <t xml:space="preserve">  - attorney</t>
  </si>
  <si>
    <t xml:space="preserve">  - experts</t>
  </si>
  <si>
    <t xml:space="preserve">  - investigators</t>
  </si>
  <si>
    <t xml:space="preserve">  - independent adjusters</t>
  </si>
  <si>
    <t xml:space="preserve">  - court costs and filing fees</t>
  </si>
  <si>
    <t xml:space="preserve">  - forensic analysis</t>
  </si>
  <si>
    <t xml:space="preserve">  - medical exams</t>
  </si>
  <si>
    <t xml:space="preserve">  - accident reconstruction experts</t>
  </si>
  <si>
    <t xml:space="preserve">  - engineering reports for property damage claims</t>
  </si>
  <si>
    <t xml:space="preserve">  - translation services</t>
  </si>
  <si>
    <t xml:space="preserve">  - mediation &amp; arbitration costs</t>
  </si>
  <si>
    <t xml:space="preserve">  - environmental assessments</t>
  </si>
  <si>
    <t xml:space="preserve">  - surveillance costs to verify claims or injuries</t>
  </si>
  <si>
    <t>Identify 1 shortcoming of the classical method for estimating unpaid ULALE that is addressed by the Kittle method, and identify</t>
  </si>
  <si>
    <t>2 shortcomings that are NOT addressed by the Kittle method.</t>
  </si>
  <si>
    <t>Kittel address the shortcoming of:</t>
  </si>
  <si>
    <t xml:space="preserve">  - distortions of the classical method when premium volume is changing rapidly</t>
  </si>
  <si>
    <t>Kittel does NOT address the shortcoming of:</t>
  </si>
  <si>
    <t xml:space="preserve">  - different rates of inflation between ULAE and claims</t>
  </si>
  <si>
    <t xml:space="preserve">  - 50/50 assumption (50% of ULAE sustained when claim is opened, 50% sustained when claim is paid)</t>
  </si>
  <si>
    <t>at CY</t>
  </si>
  <si>
    <t>year-end</t>
  </si>
  <si>
    <t xml:space="preserve">  &lt;==  Expected Clams Ratio (ECR)</t>
  </si>
  <si>
    <t>claims-made</t>
  </si>
  <si>
    <t>earned</t>
  </si>
  <si>
    <t>%</t>
  </si>
  <si>
    <t>unrpt'd</t>
  </si>
  <si>
    <r>
      <t xml:space="preserve"> Kittel ULAE ratio  </t>
    </r>
    <r>
      <rPr>
        <b/>
        <sz val="11"/>
        <color theme="1"/>
        <rFont val="Calibri"/>
        <family val="2"/>
        <scheme val="minor"/>
      </rPr>
      <t>==</t>
    </r>
    <r>
      <rPr>
        <sz val="11"/>
        <color theme="1"/>
        <rFont val="Calibri"/>
        <family val="2"/>
        <scheme val="minor"/>
      </rPr>
      <t>&gt;  (paid ULAE) / AVG [ (paid claims) , (incurred claims) ]</t>
    </r>
  </si>
  <si>
    <t>average</t>
  </si>
  <si>
    <t>(pd, inc)</t>
  </si>
  <si>
    <t xml:space="preserve"> calculate ultimate (use Bornhuetter-Ferguson reported method)</t>
  </si>
  <si>
    <t xml:space="preserve"> (usually, we are given case O/S and IBNR in these types of problems but here we have to calculate it ourselves)</t>
  </si>
  <si>
    <t>%unrptd</t>
  </si>
  <si>
    <t xml:space="preserve"> calculate case O/S and IBNR in total for all years</t>
  </si>
  <si>
    <t>Trick:</t>
  </si>
  <si>
    <r>
      <t xml:space="preserve">Since these policies are </t>
    </r>
    <r>
      <rPr>
        <b/>
        <sz val="11"/>
        <color rgb="FFFF3300"/>
        <rFont val="Calibri"/>
        <family val="2"/>
        <scheme val="minor"/>
      </rPr>
      <t>claims-made</t>
    </r>
    <r>
      <rPr>
        <sz val="11"/>
        <color theme="1"/>
        <rFont val="Calibri"/>
        <family val="2"/>
        <scheme val="minor"/>
      </rPr>
      <t>, there is no pure IBNR (no IBNYR).</t>
    </r>
  </si>
  <si>
    <t>total IBNR</t>
  </si>
  <si>
    <t>Therefore</t>
  </si>
  <si>
    <t>unpd ULAE</t>
  </si>
  <si>
    <t>ULAE ratio</t>
  </si>
  <si>
    <t>x [ 50% x (</t>
  </si>
  <si>
    <t>case</t>
  </si>
  <si>
    <t>+  100% x</t>
  </si>
  <si>
    <t>IBYNR</t>
  </si>
  <si>
    <t>Calculate the indicated rate given the following information:</t>
  </si>
  <si>
    <t>effective date</t>
  </si>
  <si>
    <t>term</t>
  </si>
  <si>
    <t>ren</t>
  </si>
  <si>
    <t>V: variable expense</t>
  </si>
  <si>
    <t>non-modeled cat-to-AIY ratio</t>
  </si>
  <si>
    <t>Q: profit provision</t>
  </si>
  <si>
    <t>2029 reinsurance cost</t>
  </si>
  <si>
    <t>E(F): fixed expenses</t>
  </si>
  <si>
    <t xml:space="preserve"> &lt;-- through 2029</t>
  </si>
  <si>
    <t>2029 reinsurance recoveries</t>
  </si>
  <si>
    <t>* assume the net per-exposure cost of reinsurance</t>
  </si>
  <si>
    <t>historical loss trend</t>
  </si>
  <si>
    <t xml:space="preserve">   for the effective period is the same as for CY 2029</t>
  </si>
  <si>
    <t>projected loss trend</t>
  </si>
  <si>
    <t>fixed expense trend</t>
  </si>
  <si>
    <t>* modeled cat pure premium</t>
  </si>
  <si>
    <t>exposure trend</t>
  </si>
  <si>
    <t>* projected</t>
  </si>
  <si>
    <t>non-cat</t>
  </si>
  <si>
    <t>rpt loss</t>
  </si>
  <si>
    <t>AIY / EE</t>
  </si>
  <si>
    <t>EE</t>
  </si>
  <si>
    <t>&amp; ALAE</t>
  </si>
  <si>
    <t>factor</t>
  </si>
  <si>
    <t>exp fit</t>
  </si>
  <si>
    <t>projected……..</t>
  </si>
  <si>
    <t>ultimate…………</t>
  </si>
  <si>
    <t>non-cat………</t>
  </si>
  <si>
    <t>pure premium</t>
  </si>
  <si>
    <t>non-modeled…</t>
  </si>
  <si>
    <t>cat……………..</t>
  </si>
  <si>
    <t>modeled………..</t>
  </si>
  <si>
    <t xml:space="preserve"> (given)</t>
  </si>
  <si>
    <t>net…………………</t>
  </si>
  <si>
    <t>reins………….</t>
  </si>
  <si>
    <t>fixed………………</t>
  </si>
  <si>
    <t>expense……..</t>
  </si>
  <si>
    <r>
      <t xml:space="preserve">total </t>
    </r>
    <r>
      <rPr>
        <b/>
        <i/>
        <sz val="11"/>
        <color theme="1"/>
        <rFont val="Calibri"/>
        <family val="2"/>
        <scheme val="minor"/>
      </rPr>
      <t xml:space="preserve">====&gt; </t>
    </r>
    <r>
      <rPr>
        <i/>
        <sz val="11"/>
        <color theme="1"/>
        <rFont val="Calibri"/>
        <family val="2"/>
        <scheme val="minor"/>
      </rPr>
      <t xml:space="preserve"> </t>
    </r>
  </si>
  <si>
    <t xml:space="preserve">VPLR = </t>
  </si>
  <si>
    <r>
      <t xml:space="preserve">divide by VPLR </t>
    </r>
    <r>
      <rPr>
        <b/>
        <sz val="11"/>
        <color theme="1"/>
        <rFont val="Calibri"/>
        <family val="2"/>
        <scheme val="minor"/>
      </rPr>
      <t xml:space="preserve">====&gt; </t>
    </r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</si>
  <si>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</t>
    </r>
  </si>
  <si>
    <r>
      <t xml:space="preserve"> calculate projected </t>
    </r>
    <r>
      <rPr>
        <u/>
        <sz val="11"/>
        <color theme="1"/>
        <rFont val="Calibri"/>
        <family val="2"/>
        <scheme val="minor"/>
      </rPr>
      <t>ultimate non-cat</t>
    </r>
    <r>
      <rPr>
        <sz val="11"/>
        <color theme="1"/>
        <rFont val="Calibri"/>
        <family val="2"/>
        <scheme val="minor"/>
      </rPr>
      <t xml:space="preserve"> pure premium</t>
    </r>
  </si>
  <si>
    <t>trend periods</t>
  </si>
  <si>
    <t>from CY</t>
  </si>
  <si>
    <r>
      <t xml:space="preserve">non-cat ultimate </t>
    </r>
    <r>
      <rPr>
        <b/>
        <sz val="11"/>
        <color rgb="FF0070C0"/>
        <rFont val="Calibri"/>
        <family val="2"/>
        <scheme val="minor"/>
      </rPr>
      <t>LOSS</t>
    </r>
  </si>
  <si>
    <t>to eff. per.</t>
  </si>
  <si>
    <t>LOSS</t>
  </si>
  <si>
    <t>Pure Pr.</t>
  </si>
  <si>
    <t>= (non-cat rptd loss &amp; ALAE) x LDF x ULAE x trends</t>
  </si>
  <si>
    <r>
      <t xml:space="preserve">average of column </t>
    </r>
    <r>
      <rPr>
        <b/>
        <i/>
        <sz val="11"/>
        <color rgb="FFFF0000"/>
        <rFont val="Calibri"/>
        <family val="2"/>
        <scheme val="minor"/>
      </rPr>
      <t xml:space="preserve">==&gt; </t>
    </r>
    <r>
      <rPr>
        <i/>
        <sz val="11"/>
        <color rgb="FFFF0000"/>
        <rFont val="Calibri"/>
        <family val="2"/>
        <scheme val="minor"/>
      </rPr>
      <t xml:space="preserve"> </t>
    </r>
  </si>
  <si>
    <r>
      <t xml:space="preserve"> calculate projected </t>
    </r>
    <r>
      <rPr>
        <u/>
        <sz val="11"/>
        <color theme="1"/>
        <rFont val="Calibri"/>
        <family val="2"/>
        <scheme val="minor"/>
      </rPr>
      <t>non-modeled cat</t>
    </r>
    <r>
      <rPr>
        <sz val="11"/>
        <color theme="1"/>
        <rFont val="Calibri"/>
        <family val="2"/>
        <scheme val="minor"/>
      </rPr>
      <t xml:space="preserve"> pure premium</t>
    </r>
  </si>
  <si>
    <t>cat-to-AIY-ratio</t>
  </si>
  <si>
    <t>AIY-to-EE</t>
  </si>
  <si>
    <t>ULAE factor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</si>
  <si>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2a</t>
    </r>
  </si>
  <si>
    <t>side calc to get appropriate value for AIY-to-EE:</t>
  </si>
  <si>
    <t>AAD(eff. per.)</t>
  </si>
  <si>
    <t>The AAD (Average Accident Date) for the AIY-to-EE value must</t>
  </si>
  <si>
    <t>line up with the AAD of the effective period.</t>
  </si>
  <si>
    <t>AIY-to-EE is a weighted average of AIY-to-EE values for</t>
  </si>
  <si>
    <t>net cost</t>
  </si>
  <si>
    <t>(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</si>
  <si>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3</t>
    </r>
  </si>
  <si>
    <t xml:space="preserve"> trend fixed expenses using AWD (since most fixed expenses are incurred when policy is written)</t>
  </si>
  <si>
    <t>AWD(Eff. Per.)</t>
  </si>
  <si>
    <t>projected fixed expense pure premium</t>
  </si>
  <si>
    <t>(1 + trend)^(trend period)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</si>
  <si>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4</t>
    </r>
  </si>
  <si>
    <t>Rough Work:</t>
  </si>
  <si>
    <t>serial</t>
  </si>
  <si>
    <t>Pricing - Werner Appendix B: Homeowners</t>
  </si>
  <si>
    <t>Step (a)-1</t>
  </si>
  <si>
    <t xml:space="preserve"> Calculate the appropriate trend period for AY:</t>
  </si>
  <si>
    <t xml:space="preserve"> (Then the trend period is increased by 1 year for each prior AY.)</t>
  </si>
  <si>
    <t>Trended earned premium at current rate level for CY:</t>
  </si>
  <si>
    <t>and</t>
  </si>
  <si>
    <t xml:space="preserve"> &lt;== years</t>
  </si>
  <si>
    <t>Trended ultimate loss &amp; LAE for AY:</t>
  </si>
  <si>
    <t>Step (a)-2</t>
  </si>
  <si>
    <t xml:space="preserve"> Calculate EP @ CRL:  (Earned Premium at Current Rate Level)</t>
  </si>
  <si>
    <t>Indicated rate change</t>
  </si>
  <si>
    <t>Here is the required information:</t>
  </si>
  <si>
    <t>Trends (annual)</t>
  </si>
  <si>
    <t>Expenses</t>
  </si>
  <si>
    <t>premium trend</t>
  </si>
  <si>
    <t>fixed expense ratio</t>
  </si>
  <si>
    <t>loss trend</t>
  </si>
  <si>
    <t>variable expense ratio</t>
  </si>
  <si>
    <t>U/W profit ratio</t>
  </si>
  <si>
    <t>Incurred Loss &amp; LAE</t>
  </si>
  <si>
    <t>rate change date ==&gt;</t>
  </si>
  <si>
    <t>rate change ==&gt;</t>
  </si>
  <si>
    <t>Current Rate Level</t>
  </si>
  <si>
    <t>( 1 +</t>
  </si>
  <si>
    <t xml:space="preserve">( 1 + </t>
  </si>
  <si>
    <t>Rate Change Information</t>
  </si>
  <si>
    <t>rates in effect for:</t>
  </si>
  <si>
    <t>ARL:</t>
  </si>
  <si>
    <t>Area A3</t>
  </si>
  <si>
    <t>(Rate Level A3)</t>
  </si>
  <si>
    <t>Area A4</t>
  </si>
  <si>
    <t>(Rate Level A4)</t>
  </si>
  <si>
    <t>Area A5</t>
  </si>
  <si>
    <t>(Rate Level A5)</t>
  </si>
  <si>
    <t>Area A6</t>
  </si>
  <si>
    <t>(Rate Level A6)</t>
  </si>
  <si>
    <t>CRLF:</t>
  </si>
  <si>
    <t>ARL_2009</t>
  </si>
  <si>
    <t>ARL_2010</t>
  </si>
  <si>
    <t>Step (a)-3</t>
  </si>
  <si>
    <t xml:space="preserve"> Use the previous steps to calculate the trended EP @ CRL</t>
  </si>
  <si>
    <t>(5) = (2)x(3)x(4)</t>
  </si>
  <si>
    <t>CRLF</t>
  </si>
  <si>
    <t>Trend</t>
  </si>
  <si>
    <t>Trd'd EP @CRL</t>
  </si>
  <si>
    <t xml:space="preserve"> &lt;== final answer to step (a)-3</t>
  </si>
  <si>
    <t>Step (b)-1</t>
  </si>
  <si>
    <t xml:space="preserve"> Calculate the CDFs for development losses to ultimate</t>
  </si>
  <si>
    <t>48-60</t>
  </si>
  <si>
    <t xml:space="preserve"> &lt;== tail factor</t>
  </si>
  <si>
    <t>Step (b)-2</t>
  </si>
  <si>
    <t xml:space="preserve"> Apply CDFs and trend (trend period is the same as for the premium trend)</t>
  </si>
  <si>
    <t>loss &amp; LAE</t>
  </si>
  <si>
    <t>trd &amp; dev loss &amp; LAE</t>
  </si>
  <si>
    <t xml:space="preserve"> &lt;== final answer to step (b)-2</t>
  </si>
  <si>
    <t>Step (c)-1</t>
  </si>
  <si>
    <t xml:space="preserve"> Select a loss &amp; LAE ratio to be used in the "Loss Ratio Method"</t>
  </si>
  <si>
    <t>2-year weighted average</t>
  </si>
  <si>
    <t>sum of loss &amp; LAE</t>
  </si>
  <si>
    <t>sum of EP</t>
  </si>
  <si>
    <t>Step (c)-2</t>
  </si>
  <si>
    <t xml:space="preserve"> Apply the "Loss Ratio Method" to get the indicated rate change</t>
  </si>
  <si>
    <t>indicated rate change</t>
  </si>
  <si>
    <t>(1 + ULAE %)</t>
  </si>
  <si>
    <t xml:space="preserve"> &lt;== final answer to problem</t>
  </si>
  <si>
    <t>2021 . 07 . 01</t>
  </si>
  <si>
    <t>2023 . 01 . 01</t>
  </si>
  <si>
    <t>A reasonable explanation for the reported development method</t>
  </si>
  <si>
    <t>being higher than the others for AY 2022-2025 is that case reserves</t>
  </si>
  <si>
    <t xml:space="preserve">strengthened. This is supported by the observation that the </t>
  </si>
  <si>
    <t>reported Berquist-Sherman method appears to correct for the</t>
  </si>
  <si>
    <t>overestimates in the reported development method.</t>
  </si>
  <si>
    <t>Suggest an explanation for the results in the above table and provide one piece of evidence.</t>
  </si>
  <si>
    <t>Management has told you they are concerned about inflation and would like incorporate inflation assumptions into the reserve analysis.</t>
  </si>
  <si>
    <t>Suggest a method that would allow this. Are there any concerns with incorporating inflation assumpations?</t>
  </si>
  <si>
    <t>A frequency-severity method would allow inflation to be explicitly</t>
  </si>
  <si>
    <t>incorporated but a concern is that the results may be very sensitive</t>
  </si>
  <si>
    <t>to inflation assumptions.</t>
  </si>
  <si>
    <t>Indicated</t>
  </si>
  <si>
    <t>Value of Home</t>
  </si>
  <si>
    <t>&lt; $150K</t>
  </si>
  <si>
    <t>$150K - $400K</t>
  </si>
  <si>
    <t>&gt; $400K</t>
  </si>
  <si>
    <t xml:space="preserve">Number </t>
  </si>
  <si>
    <t>Policies</t>
  </si>
  <si>
    <t>Relativites  1.1</t>
  </si>
  <si>
    <t>A homeowner's insurer has calculated indicated relativities using a GLM analysis using data from 2022 - 2023. The graph below</t>
  </si>
  <si>
    <t>2022:</t>
  </si>
  <si>
    <t>2023:</t>
  </si>
  <si>
    <t>shows the results for different home values. Assess whether home value is a good rating variable using the results from</t>
  </si>
  <si>
    <t>the graph and provide 2 reasons for your assessment.</t>
  </si>
  <si>
    <t>Based on the given data this is likely not a good rating variable because:</t>
  </si>
  <si>
    <t xml:space="preserve">  - the differences in indicated relatitivies for the categories of home value</t>
  </si>
  <si>
    <t xml:space="preserve">  - the data may not be credible since there are only 2 years of data and the </t>
  </si>
  <si>
    <t xml:space="preserve">    number of policies in each category is low</t>
  </si>
  <si>
    <t xml:space="preserve">    do not appear to be significant (all close to 1.0)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</si>
</sst>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164" formatCode="0.0%"/>
    <numFmt numFmtId="165" formatCode="[$-F800]dddd\,\ mmmm\ dd\,\ yyyy"/>
    <numFmt numFmtId="166" formatCode="0.000"/>
    <numFmt numFmtId="167" formatCode="0.0000"/>
    <numFmt numFmtId="168" formatCode="0.000%"/>
    <numFmt numFmtId="169" formatCode="#,##0.0"/>
    <numFmt numFmtId="170" formatCode="#,##0.000"/>
    <numFmt numFmtId="171" formatCode="#,##0.0000"/>
    <numFmt numFmtId="172" formatCode="#,##0.00000"/>
    <numFmt numFmtId="173" formatCode="#,##0_ ;\-#,##0\ "/>
    <numFmt numFmtId="174" formatCode="0.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333333"/>
      <name val="Roboto"/>
    </font>
    <font>
      <b/>
      <sz val="10"/>
      <color rgb="FFFFFFFF"/>
      <name val="Inherit"/>
    </font>
    <font>
      <vertAlign val="subscript"/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rgb="FF22222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222222"/>
      <name val="Arial"/>
      <family val="2"/>
    </font>
    <font>
      <b/>
      <sz val="11"/>
      <color rgb="FF222222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color rgb="FF000000"/>
      <name val="Calibri"/>
      <family val="2"/>
      <charset val="1"/>
    </font>
    <font>
      <b/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rgb="FFFF0000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11"/>
      <color rgb="FF9C0006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44" fontId="1" fillId="0" borderId="0" applyFont="0" applyFill="0" applyBorder="0" applyAlignment="0" applyProtection="0"/>
    <xf numFmtId="0" fontId="17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44" fontId="1" fillId="0" borderId="0" applyFont="0" applyFill="0" applyBorder="0" applyAlignment="0" applyProtection="0"/>
    <xf numFmtId="0" fontId="44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</cellStyleXfs>
  <cellXfs count="10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11" fillId="2" borderId="6" xfId="0" applyFont="1" applyFill="1" applyBorder="1" applyAlignment="1" applyProtection="1">
      <alignment horizontal="center"/>
    </xf>
    <xf numFmtId="0" fontId="12" fillId="2" borderId="0" xfId="0" applyFont="1" applyFill="1" applyBorder="1" applyProtection="1"/>
    <xf numFmtId="0" fontId="12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2" fillId="2" borderId="9" xfId="0" applyFont="1" applyFill="1" applyBorder="1" applyProtection="1"/>
    <xf numFmtId="0" fontId="12" fillId="2" borderId="10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7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7" fillId="0" borderId="11" xfId="2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0" xfId="0" applyFont="1" applyBorder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0" fontId="16" fillId="0" borderId="0" xfId="0" applyFont="1"/>
    <xf numFmtId="2" fontId="0" fillId="0" borderId="0" xfId="0" applyNumberFormat="1" applyFont="1"/>
    <xf numFmtId="0" fontId="0" fillId="0" borderId="22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7" fillId="0" borderId="11" xfId="2" applyFill="1" applyBorder="1" applyAlignment="1">
      <alignment horizontal="center"/>
    </xf>
    <xf numFmtId="0" fontId="12" fillId="0" borderId="23" xfId="5" applyNumberFormat="1" applyFont="1" applyFill="1" applyBorder="1" applyAlignment="1">
      <alignment horizontal="center"/>
    </xf>
    <xf numFmtId="0" fontId="12" fillId="0" borderId="11" xfId="5" applyNumberFormat="1" applyFont="1" applyFill="1" applyBorder="1" applyAlignment="1">
      <alignment horizontal="center"/>
    </xf>
    <xf numFmtId="0" fontId="0" fillId="0" borderId="24" xfId="0" applyNumberFormat="1" applyFont="1" applyBorder="1" applyAlignment="1">
      <alignment horizontal="center"/>
    </xf>
    <xf numFmtId="0" fontId="12" fillId="0" borderId="25" xfId="5" applyNumberFormat="1" applyFont="1" applyFill="1" applyBorder="1" applyAlignment="1">
      <alignment horizontal="center"/>
    </xf>
    <xf numFmtId="3" fontId="0" fillId="0" borderId="0" xfId="0" applyNumberFormat="1" applyFont="1" applyProtection="1">
      <protection locked="0"/>
    </xf>
    <xf numFmtId="3" fontId="12" fillId="0" borderId="1" xfId="0" applyNumberFormat="1" applyFont="1" applyFill="1" applyBorder="1" applyProtection="1">
      <protection locked="0"/>
    </xf>
    <xf numFmtId="9" fontId="12" fillId="0" borderId="1" xfId="1" applyFont="1" applyFill="1" applyBorder="1" applyProtection="1">
      <protection locked="0"/>
    </xf>
    <xf numFmtId="0" fontId="0" fillId="2" borderId="0" xfId="0" applyFill="1"/>
    <xf numFmtId="0" fontId="0" fillId="0" borderId="20" xfId="0" applyBorder="1" applyAlignment="1">
      <alignment horizontal="center"/>
    </xf>
    <xf numFmtId="0" fontId="0" fillId="0" borderId="20" xfId="0" applyFont="1" applyBorder="1"/>
    <xf numFmtId="9" fontId="0" fillId="0" borderId="0" xfId="0" applyNumberFormat="1"/>
    <xf numFmtId="15" fontId="0" fillId="0" borderId="0" xfId="0" applyNumberFormat="1"/>
    <xf numFmtId="0" fontId="12" fillId="2" borderId="16" xfId="0" applyFont="1" applyFill="1" applyBorder="1" applyProtection="1">
      <protection locked="0"/>
    </xf>
    <xf numFmtId="0" fontId="0" fillId="2" borderId="26" xfId="0" applyFill="1" applyBorder="1"/>
    <xf numFmtId="0" fontId="12" fillId="2" borderId="18" xfId="0" applyFont="1" applyFill="1" applyBorder="1" applyProtection="1"/>
    <xf numFmtId="9" fontId="0" fillId="2" borderId="27" xfId="0" applyNumberFormat="1" applyFill="1" applyBorder="1"/>
    <xf numFmtId="0" fontId="12" fillId="2" borderId="19" xfId="0" applyFont="1" applyFill="1" applyBorder="1" applyProtection="1"/>
    <xf numFmtId="165" fontId="0" fillId="2" borderId="12" xfId="0" applyNumberFormat="1" applyFill="1" applyBorder="1"/>
    <xf numFmtId="0" fontId="0" fillId="2" borderId="12" xfId="0" applyFill="1" applyBorder="1"/>
    <xf numFmtId="0" fontId="12" fillId="2" borderId="26" xfId="0" applyFont="1" applyFill="1" applyBorder="1" applyProtection="1">
      <protection locked="0"/>
    </xf>
    <xf numFmtId="0" fontId="12" fillId="2" borderId="12" xfId="0" applyFont="1" applyFill="1" applyBorder="1" applyProtection="1"/>
    <xf numFmtId="0" fontId="12" fillId="2" borderId="27" xfId="0" applyFont="1" applyFill="1" applyBorder="1" applyProtection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 indent="1"/>
    </xf>
    <xf numFmtId="167" fontId="0" fillId="0" borderId="0" xfId="0" applyNumberFormat="1"/>
    <xf numFmtId="0" fontId="0" fillId="0" borderId="0" xfId="0" quotePrefix="1"/>
    <xf numFmtId="0" fontId="0" fillId="0" borderId="0" xfId="0" applyAlignment="1">
      <alignment vertical="center"/>
    </xf>
    <xf numFmtId="167" fontId="0" fillId="0" borderId="0" xfId="0" quotePrefix="1" applyNumberFormat="1" applyAlignment="1">
      <alignment vertical="center"/>
    </xf>
    <xf numFmtId="0" fontId="0" fillId="0" borderId="16" xfId="0" applyBorder="1"/>
    <xf numFmtId="167" fontId="0" fillId="0" borderId="26" xfId="0" applyNumberFormat="1" applyBorder="1"/>
    <xf numFmtId="0" fontId="0" fillId="0" borderId="18" xfId="0" applyBorder="1"/>
    <xf numFmtId="167" fontId="0" fillId="0" borderId="27" xfId="0" applyNumberFormat="1" applyBorder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/>
    <xf numFmtId="167" fontId="0" fillId="0" borderId="12" xfId="0" applyNumberFormat="1" applyBorder="1"/>
    <xf numFmtId="0" fontId="0" fillId="0" borderId="26" xfId="0" applyBorder="1"/>
    <xf numFmtId="0" fontId="0" fillId="0" borderId="12" xfId="0" applyBorder="1"/>
    <xf numFmtId="0" fontId="0" fillId="0" borderId="0" xfId="0" applyFill="1" applyBorder="1" applyAlignment="1">
      <alignment vertical="center"/>
    </xf>
    <xf numFmtId="3" fontId="0" fillId="0" borderId="0" xfId="0" applyNumberFormat="1"/>
    <xf numFmtId="0" fontId="22" fillId="0" borderId="0" xfId="0" applyFont="1" applyAlignment="1">
      <alignment horizontal="left" vertical="center" indent="1"/>
    </xf>
    <xf numFmtId="3" fontId="0" fillId="0" borderId="21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0" fontId="0" fillId="2" borderId="0" xfId="0" applyFont="1" applyFill="1" applyProtection="1">
      <protection locked="0"/>
    </xf>
    <xf numFmtId="3" fontId="0" fillId="0" borderId="0" xfId="0" quotePrefix="1" applyNumberFormat="1" applyFont="1"/>
    <xf numFmtId="3" fontId="0" fillId="0" borderId="0" xfId="0" applyNumberFormat="1" applyFont="1"/>
    <xf numFmtId="3" fontId="0" fillId="0" borderId="1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17" xfId="0" applyNumberFormat="1" applyFont="1" applyBorder="1"/>
    <xf numFmtId="3" fontId="0" fillId="0" borderId="26" xfId="0" applyNumberFormat="1" applyFont="1" applyBorder="1"/>
    <xf numFmtId="3" fontId="0" fillId="0" borderId="18" xfId="0" applyNumberFormat="1" applyFont="1" applyBorder="1"/>
    <xf numFmtId="3" fontId="0" fillId="0" borderId="0" xfId="0" applyNumberFormat="1" applyFont="1" applyBorder="1"/>
    <xf numFmtId="0" fontId="0" fillId="0" borderId="27" xfId="0" applyFont="1" applyBorder="1"/>
    <xf numFmtId="3" fontId="0" fillId="0" borderId="19" xfId="0" applyNumberFormat="1" applyFont="1" applyBorder="1"/>
    <xf numFmtId="3" fontId="0" fillId="0" borderId="20" xfId="0" applyNumberFormat="1" applyFont="1" applyBorder="1"/>
    <xf numFmtId="3" fontId="0" fillId="0" borderId="12" xfId="0" applyNumberFormat="1" applyFont="1" applyBorder="1"/>
    <xf numFmtId="3" fontId="0" fillId="2" borderId="16" xfId="0" applyNumberFormat="1" applyFont="1" applyFill="1" applyBorder="1"/>
    <xf numFmtId="3" fontId="0" fillId="2" borderId="17" xfId="0" applyNumberFormat="1" applyFont="1" applyFill="1" applyBorder="1"/>
    <xf numFmtId="3" fontId="0" fillId="2" borderId="26" xfId="0" applyNumberFormat="1" applyFont="1" applyFill="1" applyBorder="1"/>
    <xf numFmtId="3" fontId="0" fillId="2" borderId="26" xfId="0" applyNumberFormat="1" applyFill="1" applyBorder="1" applyAlignment="1">
      <alignment horizontal="right"/>
    </xf>
    <xf numFmtId="3" fontId="0" fillId="2" borderId="0" xfId="0" applyNumberFormat="1" applyFont="1" applyFill="1"/>
    <xf numFmtId="3" fontId="0" fillId="2" borderId="18" xfId="0" applyNumberFormat="1" applyFont="1" applyFill="1" applyBorder="1"/>
    <xf numFmtId="3" fontId="0" fillId="2" borderId="0" xfId="0" applyNumberFormat="1" applyFont="1" applyFill="1" applyBorder="1"/>
    <xf numFmtId="3" fontId="0" fillId="2" borderId="27" xfId="0" applyNumberFormat="1" applyFont="1" applyFill="1" applyBorder="1"/>
    <xf numFmtId="3" fontId="0" fillId="2" borderId="27" xfId="0" applyNumberFormat="1" applyFill="1" applyBorder="1" applyAlignment="1">
      <alignment horizontal="right"/>
    </xf>
    <xf numFmtId="0" fontId="0" fillId="2" borderId="27" xfId="0" applyFont="1" applyFill="1" applyBorder="1"/>
    <xf numFmtId="3" fontId="0" fillId="2" borderId="19" xfId="0" applyNumberFormat="1" applyFont="1" applyFill="1" applyBorder="1"/>
    <xf numFmtId="3" fontId="0" fillId="2" borderId="20" xfId="0" applyNumberFormat="1" applyFont="1" applyFill="1" applyBorder="1"/>
    <xf numFmtId="3" fontId="0" fillId="2" borderId="12" xfId="0" applyNumberFormat="1" applyFont="1" applyFill="1" applyBorder="1"/>
    <xf numFmtId="9" fontId="0" fillId="2" borderId="12" xfId="1" applyFont="1" applyFill="1" applyBorder="1"/>
    <xf numFmtId="0" fontId="17" fillId="6" borderId="0" xfId="7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0" xfId="0" applyNumberFormat="1" applyFont="1" applyAlignment="1">
      <alignment horizontal="center"/>
    </xf>
    <xf numFmtId="3" fontId="0" fillId="0" borderId="0" xfId="0" quotePrefix="1" applyNumberFormat="1" applyFont="1" applyAlignment="1">
      <alignment horizontal="center"/>
    </xf>
    <xf numFmtId="0" fontId="14" fillId="4" borderId="0" xfId="4" applyAlignment="1">
      <alignment horizontal="center"/>
    </xf>
    <xf numFmtId="4" fontId="0" fillId="0" borderId="0" xfId="0" applyNumberFormat="1" applyFont="1" applyAlignment="1">
      <alignment horizontal="center"/>
    </xf>
    <xf numFmtId="3" fontId="24" fillId="0" borderId="0" xfId="0" applyNumberFormat="1" applyFont="1"/>
    <xf numFmtId="0" fontId="0" fillId="2" borderId="12" xfId="0" applyFont="1" applyFill="1" applyBorder="1"/>
    <xf numFmtId="3" fontId="0" fillId="2" borderId="12" xfId="0" applyNumberFormat="1" applyFill="1" applyBorder="1" applyAlignment="1">
      <alignment horizontal="right"/>
    </xf>
    <xf numFmtId="9" fontId="0" fillId="2" borderId="27" xfId="1" applyFont="1" applyFill="1" applyBorder="1"/>
    <xf numFmtId="3" fontId="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169" fontId="12" fillId="0" borderId="0" xfId="0" quotePrefix="1" applyNumberFormat="1" applyFont="1" applyAlignment="1">
      <alignment horizontal="center"/>
    </xf>
    <xf numFmtId="3" fontId="2" fillId="0" borderId="0" xfId="0" applyNumberFormat="1" applyFont="1"/>
    <xf numFmtId="3" fontId="0" fillId="0" borderId="15" xfId="0" applyNumberFormat="1" applyFont="1" applyBorder="1" applyAlignment="1">
      <alignment horizontal="center"/>
    </xf>
    <xf numFmtId="3" fontId="0" fillId="0" borderId="26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1" fontId="0" fillId="0" borderId="21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3" fontId="0" fillId="0" borderId="29" xfId="0" applyNumberFormat="1" applyFont="1" applyBorder="1"/>
    <xf numFmtId="3" fontId="6" fillId="0" borderId="0" xfId="0" applyNumberFormat="1" applyFont="1"/>
    <xf numFmtId="3" fontId="2" fillId="2" borderId="0" xfId="0" applyNumberFormat="1" applyFont="1" applyFill="1"/>
    <xf numFmtId="0" fontId="0" fillId="2" borderId="0" xfId="0" applyFont="1" applyFill="1"/>
    <xf numFmtId="3" fontId="0" fillId="2" borderId="0" xfId="0" applyNumberFormat="1" applyFill="1"/>
    <xf numFmtId="3" fontId="0" fillId="2" borderId="15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right"/>
    </xf>
    <xf numFmtId="3" fontId="0" fillId="2" borderId="26" xfId="0" applyNumberFormat="1" applyFont="1" applyFill="1" applyBorder="1" applyAlignment="1">
      <alignment horizontal="right"/>
    </xf>
    <xf numFmtId="3" fontId="0" fillId="2" borderId="14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2" borderId="15" xfId="0" applyNumberFormat="1" applyFont="1" applyFill="1" applyBorder="1"/>
    <xf numFmtId="1" fontId="0" fillId="2" borderId="21" xfId="0" applyNumberFormat="1" applyFont="1" applyFill="1" applyBorder="1" applyAlignment="1">
      <alignment horizontal="center"/>
    </xf>
    <xf numFmtId="4" fontId="0" fillId="2" borderId="27" xfId="0" applyNumberFormat="1" applyFont="1" applyFill="1" applyBorder="1" applyAlignment="1">
      <alignment horizontal="center"/>
    </xf>
    <xf numFmtId="1" fontId="0" fillId="2" borderId="14" xfId="0" applyNumberFormat="1" applyFont="1" applyFill="1" applyBorder="1" applyAlignment="1">
      <alignment horizontal="center"/>
    </xf>
    <xf numFmtId="3" fontId="0" fillId="2" borderId="14" xfId="0" applyNumberFormat="1" applyFont="1" applyFill="1" applyBorder="1"/>
    <xf numFmtId="4" fontId="0" fillId="2" borderId="12" xfId="0" applyNumberFormat="1" applyFont="1" applyFill="1" applyBorder="1" applyAlignment="1">
      <alignment horizontal="center"/>
    </xf>
    <xf numFmtId="3" fontId="0" fillId="2" borderId="13" xfId="0" applyNumberFormat="1" applyFont="1" applyFill="1" applyBorder="1"/>
    <xf numFmtId="3" fontId="0" fillId="2" borderId="29" xfId="0" applyNumberFormat="1" applyFont="1" applyFill="1" applyBorder="1"/>
    <xf numFmtId="9" fontId="0" fillId="2" borderId="29" xfId="1" applyFont="1" applyFill="1" applyBorder="1"/>
    <xf numFmtId="3" fontId="6" fillId="2" borderId="0" xfId="0" applyNumberFormat="1" applyFont="1" applyFill="1"/>
    <xf numFmtId="164" fontId="0" fillId="2" borderId="26" xfId="1" applyNumberFormat="1" applyFont="1" applyFill="1" applyBorder="1"/>
    <xf numFmtId="164" fontId="0" fillId="2" borderId="12" xfId="1" applyNumberFormat="1" applyFont="1" applyFill="1" applyBorder="1"/>
    <xf numFmtId="1" fontId="0" fillId="2" borderId="13" xfId="0" applyNumberFormat="1" applyFont="1" applyFill="1" applyBorder="1" applyAlignment="1">
      <alignment horizontal="center"/>
    </xf>
    <xf numFmtId="3" fontId="2" fillId="2" borderId="27" xfId="0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0" fillId="2" borderId="28" xfId="0" applyNumberFormat="1" applyFont="1" applyFill="1" applyBorder="1"/>
    <xf numFmtId="1" fontId="0" fillId="2" borderId="29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3" fontId="0" fillId="0" borderId="27" xfId="0" applyNumberFormat="1" applyFont="1" applyBorder="1" applyAlignment="1">
      <alignment horizontal="right"/>
    </xf>
    <xf numFmtId="4" fontId="0" fillId="0" borderId="27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3" fontId="0" fillId="7" borderId="0" xfId="8" applyNumberFormat="1" applyFont="1" applyAlignment="1">
      <alignment horizontal="center"/>
    </xf>
    <xf numFmtId="3" fontId="0" fillId="0" borderId="28" xfId="0" applyNumberFormat="1" applyFont="1" applyBorder="1"/>
    <xf numFmtId="3" fontId="0" fillId="0" borderId="17" xfId="0" applyNumberFormat="1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3" fontId="0" fillId="8" borderId="27" xfId="0" applyNumberFormat="1" applyFont="1" applyFill="1" applyBorder="1" applyAlignment="1">
      <alignment horizontal="center"/>
    </xf>
    <xf numFmtId="3" fontId="0" fillId="8" borderId="12" xfId="0" applyNumberFormat="1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3" fontId="16" fillId="0" borderId="26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3" fontId="16" fillId="0" borderId="0" xfId="0" applyNumberFormat="1" applyFont="1"/>
    <xf numFmtId="170" fontId="0" fillId="0" borderId="29" xfId="0" applyNumberFormat="1" applyFont="1" applyBorder="1" applyAlignment="1">
      <alignment horizontal="center"/>
    </xf>
    <xf numFmtId="170" fontId="16" fillId="0" borderId="0" xfId="0" applyNumberFormat="1" applyFont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3" fontId="0" fillId="2" borderId="26" xfId="0" applyNumberFormat="1" applyFont="1" applyFill="1" applyBorder="1" applyAlignment="1">
      <alignment horizontal="center"/>
    </xf>
    <xf numFmtId="3" fontId="0" fillId="2" borderId="21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2" borderId="27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3" fontId="0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center"/>
    </xf>
    <xf numFmtId="3" fontId="16" fillId="2" borderId="0" xfId="0" applyNumberFormat="1" applyFont="1" applyFill="1"/>
    <xf numFmtId="3" fontId="0" fillId="2" borderId="26" xfId="0" applyNumberFormat="1" applyFont="1" applyFill="1" applyBorder="1" applyAlignment="1">
      <alignment horizontal="centerContinuous"/>
    </xf>
    <xf numFmtId="3" fontId="1" fillId="7" borderId="0" xfId="8" applyNumberFormat="1" applyAlignment="1">
      <alignment horizontal="center"/>
    </xf>
    <xf numFmtId="170" fontId="14" fillId="4" borderId="0" xfId="4" applyNumberFormat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0" fontId="0" fillId="0" borderId="0" xfId="0" applyFont="1" applyAlignment="1" applyProtection="1">
      <alignment horizontal="center"/>
      <protection locked="0"/>
    </xf>
    <xf numFmtId="0" fontId="0" fillId="0" borderId="1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3" fontId="17" fillId="6" borderId="1" xfId="7" applyNumberFormat="1" applyBorder="1" applyAlignment="1">
      <alignment horizontal="center"/>
    </xf>
    <xf numFmtId="3" fontId="17" fillId="6" borderId="0" xfId="7" applyNumberFormat="1" applyAlignment="1">
      <alignment horizontal="left"/>
    </xf>
    <xf numFmtId="3" fontId="17" fillId="6" borderId="0" xfId="7" applyNumberFormat="1" applyAlignment="1">
      <alignment horizontal="center"/>
    </xf>
    <xf numFmtId="3" fontId="28" fillId="0" borderId="0" xfId="0" applyNumberFormat="1" applyFont="1" applyAlignment="1">
      <alignment horizontal="center"/>
    </xf>
    <xf numFmtId="3" fontId="12" fillId="2" borderId="0" xfId="0" applyNumberFormat="1" applyFont="1" applyFill="1" applyBorder="1" applyProtection="1"/>
    <xf numFmtId="3" fontId="1" fillId="7" borderId="0" xfId="8" applyNumberFormat="1"/>
    <xf numFmtId="3" fontId="27" fillId="0" borderId="0" xfId="0" applyNumberFormat="1" applyFont="1" applyAlignment="1">
      <alignment horizontal="center"/>
    </xf>
    <xf numFmtId="0" fontId="12" fillId="2" borderId="16" xfId="0" applyFont="1" applyFill="1" applyBorder="1" applyProtection="1"/>
    <xf numFmtId="0" fontId="23" fillId="0" borderId="0" xfId="0" applyFont="1" applyAlignment="1">
      <alignment horizontal="center"/>
    </xf>
    <xf numFmtId="3" fontId="12" fillId="0" borderId="0" xfId="0" applyNumberFormat="1" applyFont="1"/>
    <xf numFmtId="0" fontId="33" fillId="2" borderId="0" xfId="0" applyFont="1" applyFill="1" applyBorder="1" applyAlignment="1">
      <alignment horizontal="center"/>
    </xf>
    <xf numFmtId="0" fontId="16" fillId="2" borderId="0" xfId="0" applyFont="1" applyFill="1"/>
    <xf numFmtId="0" fontId="0" fillId="2" borderId="20" xfId="0" applyFill="1" applyBorder="1" applyAlignment="1">
      <alignment horizontal="center"/>
    </xf>
    <xf numFmtId="0" fontId="23" fillId="2" borderId="20" xfId="0" applyFont="1" applyFill="1" applyBorder="1"/>
    <xf numFmtId="0" fontId="23" fillId="2" borderId="0" xfId="0" applyFont="1" applyFill="1" applyAlignment="1">
      <alignment horizontal="center"/>
    </xf>
    <xf numFmtId="3" fontId="12" fillId="2" borderId="0" xfId="0" applyNumberFormat="1" applyFont="1" applyFill="1"/>
    <xf numFmtId="3" fontId="2" fillId="0" borderId="0" xfId="0" applyNumberFormat="1" applyFont="1" applyAlignment="1">
      <alignment horizontal="center"/>
    </xf>
    <xf numFmtId="3" fontId="0" fillId="0" borderId="0" xfId="0" quotePrefix="1" applyNumberFormat="1" applyAlignment="1">
      <alignment horizontal="center"/>
    </xf>
    <xf numFmtId="3" fontId="0" fillId="0" borderId="20" xfId="0" applyNumberFormat="1" applyBorder="1"/>
    <xf numFmtId="3" fontId="0" fillId="0" borderId="20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6" fillId="0" borderId="0" xfId="0" applyFont="1"/>
    <xf numFmtId="3" fontId="2" fillId="0" borderId="0" xfId="0" quotePrefix="1" applyNumberFormat="1" applyFont="1" applyAlignment="1">
      <alignment horizontal="center"/>
    </xf>
    <xf numFmtId="0" fontId="0" fillId="0" borderId="13" xfId="0" quotePrefix="1" applyFont="1" applyBorder="1" applyAlignment="1">
      <alignment horizontal="center"/>
    </xf>
    <xf numFmtId="0" fontId="0" fillId="0" borderId="28" xfId="0" quotePrefix="1" applyFont="1" applyBorder="1" applyAlignment="1">
      <alignment horizontal="center"/>
    </xf>
    <xf numFmtId="0" fontId="0" fillId="0" borderId="29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6" fontId="17" fillId="6" borderId="0" xfId="7" applyNumberFormat="1" applyBorder="1" applyAlignment="1">
      <alignment horizontal="center"/>
    </xf>
    <xf numFmtId="3" fontId="17" fillId="6" borderId="12" xfId="7" applyNumberFormat="1" applyBorder="1"/>
    <xf numFmtId="3" fontId="35" fillId="0" borderId="1" xfId="0" applyNumberFormat="1" applyFont="1" applyBorder="1" applyAlignment="1">
      <alignment horizontal="center"/>
    </xf>
    <xf numFmtId="170" fontId="32" fillId="0" borderId="13" xfId="0" applyNumberFormat="1" applyFont="1" applyBorder="1" applyAlignment="1">
      <alignment horizontal="center"/>
    </xf>
    <xf numFmtId="170" fontId="32" fillId="0" borderId="28" xfId="0" applyNumberFormat="1" applyFont="1" applyBorder="1" applyAlignment="1">
      <alignment horizontal="center"/>
    </xf>
    <xf numFmtId="170" fontId="32" fillId="0" borderId="29" xfId="0" applyNumberFormat="1" applyFont="1" applyBorder="1" applyAlignment="1">
      <alignment horizontal="center"/>
    </xf>
    <xf numFmtId="170" fontId="5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29" xfId="0" applyFont="1" applyBorder="1" applyAlignment="1">
      <alignment horizontal="center"/>
    </xf>
    <xf numFmtId="3" fontId="28" fillId="0" borderId="1" xfId="0" applyNumberFormat="1" applyFont="1" applyBorder="1"/>
    <xf numFmtId="170" fontId="28" fillId="0" borderId="28" xfId="0" applyNumberFormat="1" applyFont="1" applyBorder="1" applyAlignment="1">
      <alignment horizontal="center"/>
    </xf>
    <xf numFmtId="170" fontId="5" fillId="0" borderId="29" xfId="0" applyNumberFormat="1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2" fillId="0" borderId="28" xfId="0" quotePrefix="1" applyFont="1" applyBorder="1" applyAlignment="1">
      <alignment horizontal="center"/>
    </xf>
    <xf numFmtId="0" fontId="2" fillId="0" borderId="29" xfId="0" quotePrefix="1" applyFont="1" applyBorder="1" applyAlignment="1">
      <alignment horizontal="center"/>
    </xf>
    <xf numFmtId="3" fontId="36" fillId="0" borderId="1" xfId="0" applyNumberFormat="1" applyFont="1" applyBorder="1"/>
    <xf numFmtId="3" fontId="34" fillId="0" borderId="28" xfId="0" applyNumberFormat="1" applyFont="1" applyBorder="1" applyAlignment="1">
      <alignment horizontal="center"/>
    </xf>
    <xf numFmtId="3" fontId="34" fillId="0" borderId="29" xfId="0" applyNumberFormat="1" applyFont="1" applyBorder="1" applyAlignment="1">
      <alignment horizontal="center"/>
    </xf>
    <xf numFmtId="3" fontId="0" fillId="0" borderId="1" xfId="0" applyNumberFormat="1" applyFont="1" applyBorder="1"/>
    <xf numFmtId="3" fontId="12" fillId="0" borderId="28" xfId="4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Continuous"/>
    </xf>
    <xf numFmtId="1" fontId="0" fillId="2" borderId="1" xfId="0" applyNumberFormat="1" applyFont="1" applyFill="1" applyBorder="1" applyAlignment="1">
      <alignment horizontal="center"/>
    </xf>
    <xf numFmtId="4" fontId="1" fillId="7" borderId="0" xfId="8" applyNumberFormat="1" applyAlignment="1">
      <alignment horizontal="center"/>
    </xf>
    <xf numFmtId="3" fontId="0" fillId="0" borderId="0" xfId="0" applyNumberFormat="1" applyAlignment="1">
      <alignment horizontal="right"/>
    </xf>
    <xf numFmtId="4" fontId="17" fillId="6" borderId="0" xfId="7" applyNumberFormat="1" applyAlignment="1">
      <alignment horizontal="center"/>
    </xf>
    <xf numFmtId="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3" fontId="0" fillId="2" borderId="16" xfId="0" applyNumberFormat="1" applyFill="1" applyBorder="1"/>
    <xf numFmtId="3" fontId="0" fillId="2" borderId="26" xfId="0" applyNumberFormat="1" applyFill="1" applyBorder="1"/>
    <xf numFmtId="3" fontId="0" fillId="2" borderId="27" xfId="0" applyNumberFormat="1" applyFill="1" applyBorder="1"/>
    <xf numFmtId="2" fontId="0" fillId="2" borderId="0" xfId="0" applyNumberFormat="1" applyFill="1"/>
    <xf numFmtId="3" fontId="0" fillId="2" borderId="26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3" fontId="0" fillId="2" borderId="18" xfId="0" applyNumberFormat="1" applyFill="1" applyBorder="1"/>
    <xf numFmtId="3" fontId="0" fillId="0" borderId="12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26" xfId="0" applyNumberFormat="1" applyBorder="1"/>
    <xf numFmtId="3" fontId="0" fillId="0" borderId="17" xfId="0" applyNumberFormat="1" applyBorder="1"/>
    <xf numFmtId="0" fontId="0" fillId="0" borderId="12" xfId="0" applyBorder="1" applyAlignment="1">
      <alignment horizontal="center"/>
    </xf>
    <xf numFmtId="3" fontId="0" fillId="0" borderId="20" xfId="0" quotePrefix="1" applyNumberForma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3" fontId="38" fillId="0" borderId="0" xfId="0" applyNumberFormat="1" applyFont="1" applyAlignment="1">
      <alignment horizontal="center"/>
    </xf>
    <xf numFmtId="3" fontId="39" fillId="0" borderId="0" xfId="0" applyNumberFormat="1" applyFont="1" applyAlignment="1">
      <alignment horizontal="center"/>
    </xf>
    <xf numFmtId="10" fontId="35" fillId="0" borderId="0" xfId="1" applyNumberFormat="1" applyFont="1" applyAlignment="1">
      <alignment horizontal="center"/>
    </xf>
    <xf numFmtId="3" fontId="0" fillId="2" borderId="20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3" fontId="24" fillId="2" borderId="0" xfId="0" applyNumberFormat="1" applyFont="1" applyFill="1"/>
    <xf numFmtId="0" fontId="5" fillId="0" borderId="0" xfId="0" applyFont="1"/>
    <xf numFmtId="0" fontId="0" fillId="0" borderId="29" xfId="0" applyBorder="1"/>
    <xf numFmtId="0" fontId="0" fillId="0" borderId="21" xfId="0" applyBorder="1" applyAlignment="1">
      <alignment horizontal="center"/>
    </xf>
    <xf numFmtId="0" fontId="12" fillId="0" borderId="0" xfId="0" applyFont="1"/>
    <xf numFmtId="3" fontId="0" fillId="0" borderId="0" xfId="0" applyNumberFormat="1" applyAlignment="1">
      <alignment horizontal="centerContinuous"/>
    </xf>
    <xf numFmtId="1" fontId="0" fillId="8" borderId="0" xfId="0" applyNumberFormat="1" applyFill="1" applyAlignment="1">
      <alignment horizontal="center"/>
    </xf>
    <xf numFmtId="3" fontId="5" fillId="0" borderId="0" xfId="0" applyNumberFormat="1" applyFont="1"/>
    <xf numFmtId="3" fontId="0" fillId="0" borderId="20" xfId="0" applyNumberFormat="1" applyBorder="1" applyAlignment="1">
      <alignment horizontal="right"/>
    </xf>
    <xf numFmtId="3" fontId="5" fillId="0" borderId="0" xfId="0" applyNumberFormat="1" applyFont="1" applyAlignment="1">
      <alignment horizontal="center"/>
    </xf>
    <xf numFmtId="0" fontId="16" fillId="2" borderId="13" xfId="0" applyFont="1" applyFill="1" applyBorder="1" applyAlignment="1">
      <alignment horizontal="centerContinuous"/>
    </xf>
    <xf numFmtId="0" fontId="16" fillId="2" borderId="28" xfId="0" applyFont="1" applyFill="1" applyBorder="1" applyAlignment="1">
      <alignment horizontal="centerContinuous"/>
    </xf>
    <xf numFmtId="3" fontId="0" fillId="2" borderId="19" xfId="0" applyNumberFormat="1" applyFill="1" applyBorder="1"/>
    <xf numFmtId="3" fontId="0" fillId="2" borderId="12" xfId="0" applyNumberFormat="1" applyFill="1" applyBorder="1"/>
    <xf numFmtId="3" fontId="0" fillId="0" borderId="15" xfId="0" applyNumberFormat="1" applyBorder="1"/>
    <xf numFmtId="3" fontId="0" fillId="0" borderId="17" xfId="0" applyNumberFormat="1" applyBorder="1" applyAlignment="1">
      <alignment horizontal="centerContinuous"/>
    </xf>
    <xf numFmtId="3" fontId="0" fillId="0" borderId="26" xfId="0" applyNumberFormat="1" applyBorder="1" applyAlignment="1">
      <alignment horizontal="centerContinuous"/>
    </xf>
    <xf numFmtId="2" fontId="0" fillId="0" borderId="14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0" fillId="8" borderId="0" xfId="0" applyNumberFormat="1" applyFill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0" xfId="1" applyNumberFormat="1" applyFont="1"/>
    <xf numFmtId="4" fontId="0" fillId="7" borderId="0" xfId="8" applyNumberFormat="1" applyFont="1" applyAlignment="1">
      <alignment horizontal="center"/>
    </xf>
    <xf numFmtId="3" fontId="0" fillId="7" borderId="0" xfId="8" applyNumberFormat="1" applyFont="1"/>
    <xf numFmtId="3" fontId="0" fillId="0" borderId="0" xfId="0" applyNumberFormat="1" applyFill="1" applyBorder="1" applyAlignment="1">
      <alignment horizontal="center"/>
    </xf>
    <xf numFmtId="3" fontId="0" fillId="0" borderId="27" xfId="0" applyNumberFormat="1" applyFill="1" applyBorder="1" applyAlignment="1">
      <alignment horizontal="center"/>
    </xf>
    <xf numFmtId="3" fontId="1" fillId="12" borderId="0" xfId="10" applyNumberFormat="1" applyAlignment="1">
      <alignment horizontal="center"/>
    </xf>
    <xf numFmtId="3" fontId="0" fillId="0" borderId="20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12" fillId="4" borderId="0" xfId="4" applyNumberFormat="1" applyFont="1"/>
    <xf numFmtId="1" fontId="0" fillId="0" borderId="13" xfId="0" quotePrefix="1" applyNumberFormat="1" applyFont="1" applyBorder="1" applyAlignment="1">
      <alignment horizontal="center"/>
    </xf>
    <xf numFmtId="166" fontId="12" fillId="0" borderId="16" xfId="7" applyNumberFormat="1" applyFont="1" applyFill="1" applyBorder="1" applyAlignment="1">
      <alignment horizontal="center"/>
    </xf>
    <xf numFmtId="166" fontId="12" fillId="0" borderId="17" xfId="7" applyNumberFormat="1" applyFont="1" applyFill="1" applyBorder="1" applyAlignment="1">
      <alignment horizontal="center"/>
    </xf>
    <xf numFmtId="166" fontId="12" fillId="0" borderId="26" xfId="7" applyNumberFormat="1" applyFont="1" applyFill="1" applyBorder="1" applyAlignment="1">
      <alignment horizontal="center"/>
    </xf>
    <xf numFmtId="166" fontId="12" fillId="0" borderId="18" xfId="7" applyNumberFormat="1" applyFont="1" applyFill="1" applyBorder="1" applyAlignment="1">
      <alignment horizontal="center"/>
    </xf>
    <xf numFmtId="166" fontId="12" fillId="0" borderId="0" xfId="7" applyNumberFormat="1" applyFont="1" applyFill="1" applyBorder="1" applyAlignment="1">
      <alignment horizontal="center"/>
    </xf>
    <xf numFmtId="3" fontId="12" fillId="0" borderId="27" xfId="7" applyNumberFormat="1" applyFont="1" applyFill="1" applyBorder="1"/>
    <xf numFmtId="3" fontId="12" fillId="0" borderId="0" xfId="7" applyNumberFormat="1" applyFont="1" applyFill="1" applyBorder="1"/>
    <xf numFmtId="3" fontId="12" fillId="0" borderId="19" xfId="7" applyNumberFormat="1" applyFont="1" applyFill="1" applyBorder="1"/>
    <xf numFmtId="3" fontId="12" fillId="0" borderId="20" xfId="7" applyNumberFormat="1" applyFont="1" applyFill="1" applyBorder="1"/>
    <xf numFmtId="3" fontId="12" fillId="0" borderId="12" xfId="7" applyNumberFormat="1" applyFont="1" applyFill="1" applyBorder="1"/>
    <xf numFmtId="3" fontId="0" fillId="2" borderId="15" xfId="0" applyNumberFormat="1" applyFill="1" applyBorder="1"/>
    <xf numFmtId="3" fontId="0" fillId="2" borderId="17" xfId="0" applyNumberFormat="1" applyFill="1" applyBorder="1" applyAlignment="1">
      <alignment horizontal="centerContinuous"/>
    </xf>
    <xf numFmtId="3" fontId="0" fillId="2" borderId="26" xfId="0" applyNumberFormat="1" applyFill="1" applyBorder="1" applyAlignment="1">
      <alignment horizontal="centerContinuous"/>
    </xf>
    <xf numFmtId="2" fontId="0" fillId="2" borderId="14" xfId="0" applyNumberFormat="1" applyFill="1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Continuous"/>
    </xf>
    <xf numFmtId="3" fontId="0" fillId="2" borderId="13" xfId="0" applyNumberFormat="1" applyFill="1" applyBorder="1"/>
    <xf numFmtId="3" fontId="0" fillId="2" borderId="28" xfId="0" applyNumberFormat="1" applyFill="1" applyBorder="1"/>
    <xf numFmtId="3" fontId="0" fillId="2" borderId="29" xfId="0" applyNumberFormat="1" applyFill="1" applyBorder="1"/>
    <xf numFmtId="0" fontId="37" fillId="2" borderId="0" xfId="0" applyFont="1" applyFill="1" applyBorder="1" applyProtection="1"/>
    <xf numFmtId="0" fontId="29" fillId="10" borderId="31" xfId="0" applyFont="1" applyFill="1" applyBorder="1" applyAlignment="1">
      <alignment horizontal="center" vertical="center"/>
    </xf>
    <xf numFmtId="0" fontId="29" fillId="10" borderId="32" xfId="0" applyFont="1" applyFill="1" applyBorder="1" applyAlignment="1">
      <alignment horizontal="center" vertical="center"/>
    </xf>
    <xf numFmtId="0" fontId="29" fillId="9" borderId="30" xfId="0" applyFont="1" applyFill="1" applyBorder="1" applyAlignment="1">
      <alignment vertical="center"/>
    </xf>
    <xf numFmtId="3" fontId="21" fillId="9" borderId="30" xfId="0" applyNumberFormat="1" applyFont="1" applyFill="1" applyBorder="1" applyAlignment="1">
      <alignment vertical="center"/>
    </xf>
    <xf numFmtId="0" fontId="0" fillId="0" borderId="0" xfId="0" applyAlignment="1">
      <alignment horizontal="centerContinuous"/>
    </xf>
    <xf numFmtId="3" fontId="23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41" fillId="0" borderId="0" xfId="0" quotePrefix="1" applyFont="1"/>
    <xf numFmtId="167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7" fontId="16" fillId="0" borderId="17" xfId="0" applyNumberFormat="1" applyFont="1" applyBorder="1" applyAlignment="1">
      <alignment horizontal="center"/>
    </xf>
    <xf numFmtId="0" fontId="16" fillId="0" borderId="17" xfId="0" applyFont="1" applyBorder="1"/>
    <xf numFmtId="0" fontId="0" fillId="0" borderId="27" xfId="0" applyBorder="1"/>
    <xf numFmtId="0" fontId="0" fillId="2" borderId="0" xfId="0" applyFill="1" applyAlignment="1">
      <alignment horizontal="centerContinuous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3" fontId="0" fillId="0" borderId="16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18" xfId="0" applyNumberFormat="1" applyFont="1" applyBorder="1" applyAlignment="1">
      <alignment horizontal="right"/>
    </xf>
    <xf numFmtId="164" fontId="0" fillId="0" borderId="21" xfId="1" applyNumberFormat="1" applyFont="1" applyBorder="1"/>
    <xf numFmtId="3" fontId="0" fillId="0" borderId="16" xfId="0" applyNumberFormat="1" applyFont="1" applyBorder="1"/>
    <xf numFmtId="164" fontId="0" fillId="0" borderId="14" xfId="1" applyNumberFormat="1" applyFont="1" applyBorder="1"/>
    <xf numFmtId="3" fontId="0" fillId="0" borderId="0" xfId="0" applyNumberFormat="1" applyFont="1" applyAlignment="1">
      <alignment horizontal="centerContinuous"/>
    </xf>
    <xf numFmtId="3" fontId="32" fillId="0" borderId="0" xfId="0" applyNumberFormat="1" applyFont="1"/>
    <xf numFmtId="0" fontId="12" fillId="2" borderId="26" xfId="0" applyFont="1" applyFill="1" applyBorder="1" applyProtection="1"/>
    <xf numFmtId="0" fontId="5" fillId="0" borderId="0" xfId="0" applyFont="1" applyAlignment="1">
      <alignment horizontal="center"/>
    </xf>
    <xf numFmtId="0" fontId="0" fillId="2" borderId="27" xfId="0" applyFill="1" applyBorder="1"/>
    <xf numFmtId="9" fontId="0" fillId="2" borderId="26" xfId="0" applyNumberFormat="1" applyFill="1" applyBorder="1"/>
    <xf numFmtId="0" fontId="0" fillId="0" borderId="0" xfId="0" applyBorder="1"/>
    <xf numFmtId="167" fontId="0" fillId="0" borderId="0" xfId="0" applyNumberFormat="1" applyFont="1" applyProtection="1">
      <protection locked="0"/>
    </xf>
    <xf numFmtId="167" fontId="0" fillId="0" borderId="27" xfId="0" applyNumberFormat="1" applyFont="1" applyBorder="1" applyProtection="1">
      <protection locked="0"/>
    </xf>
    <xf numFmtId="167" fontId="0" fillId="0" borderId="12" xfId="0" applyNumberFormat="1" applyFont="1" applyBorder="1" applyProtection="1">
      <protection locked="0"/>
    </xf>
    <xf numFmtId="0" fontId="0" fillId="0" borderId="13" xfId="0" applyBorder="1"/>
    <xf numFmtId="0" fontId="0" fillId="2" borderId="17" xfId="0" applyNumberFormat="1" applyFont="1" applyFill="1" applyBorder="1" applyAlignment="1">
      <alignment horizontal="center"/>
    </xf>
    <xf numFmtId="0" fontId="0" fillId="2" borderId="3" xfId="0" applyFont="1" applyFill="1" applyBorder="1" applyAlignment="1" applyProtection="1">
      <alignment horizontal="center"/>
    </xf>
    <xf numFmtId="3" fontId="15" fillId="5" borderId="0" xfId="5" applyNumberFormat="1" applyAlignment="1">
      <alignment horizontal="right"/>
    </xf>
    <xf numFmtId="0" fontId="24" fillId="0" borderId="0" xfId="0" applyFont="1" applyAlignment="1" applyProtection="1">
      <alignment horizontal="left"/>
      <protection locked="0"/>
    </xf>
    <xf numFmtId="1" fontId="0" fillId="8" borderId="1" xfId="0" applyNumberFormat="1" applyFont="1" applyFill="1" applyBorder="1" applyAlignment="1">
      <alignment horizontal="center"/>
    </xf>
    <xf numFmtId="1" fontId="0" fillId="8" borderId="29" xfId="0" applyNumberFormat="1" applyFont="1" applyFill="1" applyBorder="1" applyAlignment="1">
      <alignment horizontal="center"/>
    </xf>
    <xf numFmtId="1" fontId="0" fillId="0" borderId="27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Continuous"/>
    </xf>
    <xf numFmtId="3" fontId="2" fillId="0" borderId="26" xfId="0" applyNumberFormat="1" applyFont="1" applyBorder="1"/>
    <xf numFmtId="3" fontId="14" fillId="4" borderId="17" xfId="4" applyNumberFormat="1" applyBorder="1"/>
    <xf numFmtId="16" fontId="0" fillId="8" borderId="13" xfId="0" quotePrefix="1" applyNumberFormat="1" applyFont="1" applyFill="1" applyBorder="1" applyAlignment="1">
      <alignment horizontal="center"/>
    </xf>
    <xf numFmtId="3" fontId="5" fillId="0" borderId="0" xfId="0" quotePrefix="1" applyNumberFormat="1" applyFont="1" applyAlignment="1">
      <alignment horizontal="center"/>
    </xf>
    <xf numFmtId="3" fontId="39" fillId="0" borderId="0" xfId="0" quotePrefix="1" applyNumberFormat="1" applyFont="1" applyAlignment="1">
      <alignment horizontal="center"/>
    </xf>
    <xf numFmtId="3" fontId="43" fillId="0" borderId="0" xfId="0" applyNumberFormat="1" applyFont="1"/>
    <xf numFmtId="3" fontId="2" fillId="8" borderId="1" xfId="0" applyNumberFormat="1" applyFont="1" applyFill="1" applyBorder="1"/>
    <xf numFmtId="3" fontId="0" fillId="2" borderId="0" xfId="0" quotePrefix="1" applyNumberFormat="1" applyFont="1" applyFill="1" applyAlignment="1">
      <alignment horizontal="center"/>
    </xf>
    <xf numFmtId="10" fontId="12" fillId="0" borderId="0" xfId="0" applyNumberFormat="1" applyFont="1" applyProtection="1">
      <protection locked="0"/>
    </xf>
    <xf numFmtId="3" fontId="12" fillId="0" borderId="0" xfId="0" applyNumberFormat="1" applyFont="1" applyProtection="1">
      <protection locked="0"/>
    </xf>
    <xf numFmtId="9" fontId="12" fillId="0" borderId="0" xfId="0" applyNumberFormat="1" applyFont="1" applyProtection="1">
      <protection locked="0"/>
    </xf>
    <xf numFmtId="0" fontId="12" fillId="2" borderId="20" xfId="0" applyFont="1" applyFill="1" applyBorder="1" applyProtection="1"/>
    <xf numFmtId="3" fontId="2" fillId="2" borderId="20" xfId="0" applyNumberFormat="1" applyFont="1" applyFill="1" applyBorder="1" applyAlignment="1">
      <alignment horizontal="center"/>
    </xf>
    <xf numFmtId="0" fontId="11" fillId="2" borderId="0" xfId="0" applyFont="1" applyFill="1" applyBorder="1" applyProtection="1"/>
    <xf numFmtId="3" fontId="0" fillId="2" borderId="0" xfId="0" quotePrefix="1" applyNumberFormat="1" applyFont="1" applyFill="1"/>
    <xf numFmtId="3" fontId="0" fillId="2" borderId="20" xfId="0" applyNumberFormat="1" applyFill="1" applyBorder="1"/>
    <xf numFmtId="0" fontId="14" fillId="4" borderId="0" xfId="4" applyBorder="1"/>
    <xf numFmtId="3" fontId="2" fillId="2" borderId="0" xfId="0" applyNumberFormat="1" applyFont="1" applyFill="1" applyAlignment="1">
      <alignment horizontal="center"/>
    </xf>
    <xf numFmtId="3" fontId="2" fillId="2" borderId="0" xfId="0" quotePrefix="1" applyNumberFormat="1" applyFont="1" applyFill="1" applyAlignment="1">
      <alignment horizontal="center"/>
    </xf>
    <xf numFmtId="3" fontId="16" fillId="2" borderId="0" xfId="0" quotePrefix="1" applyNumberFormat="1" applyFont="1" applyFill="1" applyAlignment="1">
      <alignment horizontal="left"/>
    </xf>
    <xf numFmtId="3" fontId="2" fillId="2" borderId="20" xfId="0" applyNumberFormat="1" applyFont="1" applyFill="1" applyBorder="1"/>
    <xf numFmtId="0" fontId="0" fillId="0" borderId="0" xfId="0"/>
    <xf numFmtId="0" fontId="24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28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2" fillId="0" borderId="0" xfId="0" applyNumberFormat="1" applyFont="1"/>
    <xf numFmtId="0" fontId="0" fillId="0" borderId="0" xfId="0" quotePrefix="1" applyFont="1" applyAlignment="1">
      <alignment horizontal="center"/>
    </xf>
    <xf numFmtId="3" fontId="28" fillId="0" borderId="0" xfId="0" applyNumberFormat="1" applyFont="1"/>
    <xf numFmtId="0" fontId="16" fillId="0" borderId="0" xfId="0" applyFont="1"/>
    <xf numFmtId="3" fontId="14" fillId="4" borderId="0" xfId="4" applyNumberFormat="1" applyAlignment="1">
      <alignment horizontal="center"/>
    </xf>
    <xf numFmtId="9" fontId="0" fillId="0" borderId="0" xfId="1" applyFont="1" applyAlignment="1">
      <alignment horizontal="center"/>
    </xf>
    <xf numFmtId="3" fontId="14" fillId="4" borderId="0" xfId="4" applyNumberFormat="1"/>
    <xf numFmtId="0" fontId="0" fillId="0" borderId="0" xfId="0" applyFont="1" applyAlignment="1">
      <alignment horizontal="centerContinuous"/>
    </xf>
    <xf numFmtId="9" fontId="0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0" fillId="0" borderId="27" xfId="0" applyNumberFormat="1" applyFont="1" applyBorder="1"/>
    <xf numFmtId="3" fontId="0" fillId="0" borderId="20" xfId="0" applyNumberFormat="1" applyFont="1" applyBorder="1"/>
    <xf numFmtId="1" fontId="0" fillId="8" borderId="0" xfId="0" applyNumberFormat="1" applyFont="1" applyFill="1" applyAlignment="1">
      <alignment horizontal="center"/>
    </xf>
    <xf numFmtId="3" fontId="0" fillId="8" borderId="0" xfId="0" applyNumberFormat="1" applyFont="1" applyFill="1" applyAlignment="1">
      <alignment horizontal="centerContinuous"/>
    </xf>
    <xf numFmtId="0" fontId="0" fillId="8" borderId="0" xfId="0" applyFont="1" applyFill="1" applyAlignment="1">
      <alignment horizontal="centerContinuous"/>
    </xf>
    <xf numFmtId="0" fontId="28" fillId="0" borderId="0" xfId="0" applyFont="1" applyAlignment="1">
      <alignment horizontal="centerContinuous"/>
    </xf>
    <xf numFmtId="3" fontId="2" fillId="0" borderId="20" xfId="0" applyNumberFormat="1" applyFont="1" applyBorder="1" applyAlignment="1">
      <alignment horizontal="center"/>
    </xf>
    <xf numFmtId="3" fontId="2" fillId="0" borderId="20" xfId="0" applyNumberFormat="1" applyFont="1" applyBorder="1"/>
    <xf numFmtId="3" fontId="0" fillId="0" borderId="12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0" fillId="0" borderId="26" xfId="0" applyBorder="1"/>
    <xf numFmtId="0" fontId="0" fillId="0" borderId="17" xfId="0" applyBorder="1"/>
    <xf numFmtId="3" fontId="14" fillId="4" borderId="17" xfId="4" applyNumberFormat="1" applyBorder="1"/>
    <xf numFmtId="0" fontId="24" fillId="0" borderId="17" xfId="0" applyFont="1" applyBorder="1" applyAlignment="1">
      <alignment horizontal="right"/>
    </xf>
    <xf numFmtId="0" fontId="5" fillId="0" borderId="17" xfId="0" quotePrefix="1" applyFont="1" applyBorder="1" applyAlignment="1">
      <alignment horizontal="center"/>
    </xf>
    <xf numFmtId="3" fontId="28" fillId="0" borderId="20" xfId="0" applyNumberFormat="1" applyFont="1" applyBorder="1"/>
    <xf numFmtId="3" fontId="23" fillId="0" borderId="0" xfId="0" applyNumberFormat="1" applyFont="1"/>
    <xf numFmtId="3" fontId="23" fillId="0" borderId="20" xfId="0" applyNumberFormat="1" applyFont="1" applyBorder="1"/>
    <xf numFmtId="0" fontId="14" fillId="4" borderId="0" xfId="4"/>
    <xf numFmtId="3" fontId="2" fillId="2" borderId="20" xfId="0" quotePrefix="1" applyNumberFormat="1" applyFont="1" applyFill="1" applyBorder="1" applyAlignment="1">
      <alignment horizontal="center"/>
    </xf>
    <xf numFmtId="3" fontId="0" fillId="2" borderId="20" xfId="0" quotePrefix="1" applyNumberFormat="1" applyFont="1" applyFill="1" applyBorder="1"/>
    <xf numFmtId="3" fontId="0" fillId="3" borderId="13" xfId="0" applyNumberFormat="1" applyFont="1" applyFill="1" applyBorder="1" applyAlignment="1">
      <alignment horizontal="centerContinuous"/>
    </xf>
    <xf numFmtId="3" fontId="0" fillId="3" borderId="29" xfId="0" applyNumberFormat="1" applyFont="1" applyFill="1" applyBorder="1" applyAlignment="1">
      <alignment horizontal="centerContinuous"/>
    </xf>
    <xf numFmtId="1" fontId="0" fillId="3" borderId="1" xfId="0" applyNumberFormat="1" applyFont="1" applyFill="1" applyBorder="1" applyAlignment="1">
      <alignment horizontal="center"/>
    </xf>
    <xf numFmtId="0" fontId="16" fillId="2" borderId="17" xfId="0" applyFont="1" applyFill="1" applyBorder="1"/>
    <xf numFmtId="0" fontId="0" fillId="2" borderId="19" xfId="0" applyFill="1" applyBorder="1" applyAlignment="1">
      <alignment horizontal="center"/>
    </xf>
    <xf numFmtId="0" fontId="0" fillId="2" borderId="17" xfId="0" applyFill="1" applyBorder="1"/>
    <xf numFmtId="0" fontId="33" fillId="2" borderId="16" xfId="0" applyFont="1" applyFill="1" applyBorder="1" applyAlignment="1">
      <alignment horizontal="center"/>
    </xf>
    <xf numFmtId="0" fontId="23" fillId="2" borderId="12" xfId="0" applyFont="1" applyFill="1" applyBorder="1"/>
    <xf numFmtId="0" fontId="0" fillId="0" borderId="0" xfId="0"/>
    <xf numFmtId="0" fontId="23" fillId="0" borderId="18" xfId="0" applyFont="1" applyBorder="1" applyAlignment="1">
      <alignment horizontal="center"/>
    </xf>
    <xf numFmtId="3" fontId="12" fillId="0" borderId="0" xfId="0" applyNumberFormat="1" applyFont="1" applyBorder="1"/>
    <xf numFmtId="3" fontId="12" fillId="0" borderId="27" xfId="0" applyNumberFormat="1" applyFont="1" applyBorder="1"/>
    <xf numFmtId="0" fontId="23" fillId="0" borderId="19" xfId="0" applyFont="1" applyBorder="1" applyAlignment="1">
      <alignment horizontal="center"/>
    </xf>
    <xf numFmtId="3" fontId="12" fillId="0" borderId="20" xfId="0" applyNumberFormat="1" applyFont="1" applyBorder="1"/>
    <xf numFmtId="3" fontId="12" fillId="0" borderId="12" xfId="0" applyNumberFormat="1" applyFont="1" applyBorder="1"/>
    <xf numFmtId="3" fontId="15" fillId="5" borderId="0" xfId="5" applyNumberFormat="1" applyBorder="1" applyAlignment="1">
      <alignment horizontal="right"/>
    </xf>
    <xf numFmtId="0" fontId="15" fillId="5" borderId="0" xfId="5" applyBorder="1" applyAlignment="1" applyProtection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3" fontId="12" fillId="0" borderId="0" xfId="0" applyNumberFormat="1" applyFont="1" applyBorder="1" applyAlignment="1">
      <alignment horizontal="left"/>
    </xf>
    <xf numFmtId="3" fontId="14" fillId="4" borderId="0" xfId="4" applyNumberFormat="1" applyBorder="1"/>
    <xf numFmtId="0" fontId="2" fillId="2" borderId="13" xfId="0" applyFont="1" applyFill="1" applyBorder="1"/>
    <xf numFmtId="0" fontId="0" fillId="2" borderId="29" xfId="0" applyFill="1" applyBorder="1"/>
    <xf numFmtId="0" fontId="14" fillId="4" borderId="20" xfId="4" applyBorder="1"/>
    <xf numFmtId="165" fontId="0" fillId="2" borderId="12" xfId="0" applyNumberFormat="1" applyFill="1" applyBorder="1" applyAlignment="1">
      <alignment horizontal="right"/>
    </xf>
    <xf numFmtId="0" fontId="14" fillId="4" borderId="15" xfId="4" applyBorder="1"/>
    <xf numFmtId="0" fontId="14" fillId="4" borderId="21" xfId="4" applyBorder="1"/>
    <xf numFmtId="0" fontId="14" fillId="4" borderId="14" xfId="4" applyBorder="1"/>
    <xf numFmtId="167" fontId="6" fillId="0" borderId="0" xfId="0" applyNumberFormat="1" applyFont="1"/>
    <xf numFmtId="167" fontId="24" fillId="0" borderId="0" xfId="0" applyNumberFormat="1" applyFont="1"/>
    <xf numFmtId="0" fontId="16" fillId="0" borderId="0" xfId="0" quotePrefix="1" applyFont="1" applyAlignment="1">
      <alignment horizontal="center"/>
    </xf>
    <xf numFmtId="0" fontId="0" fillId="0" borderId="21" xfId="0" applyNumberFormat="1" applyFont="1" applyBorder="1" applyAlignment="1">
      <alignment horizontal="center"/>
    </xf>
    <xf numFmtId="0" fontId="0" fillId="0" borderId="14" xfId="0" applyNumberFormat="1" applyFont="1" applyBorder="1" applyAlignment="1">
      <alignment horizontal="center"/>
    </xf>
    <xf numFmtId="0" fontId="0" fillId="2" borderId="0" xfId="0" applyNumberFormat="1" applyFont="1" applyFill="1" applyAlignment="1">
      <alignment horizontal="center"/>
    </xf>
    <xf numFmtId="0" fontId="0" fillId="2" borderId="0" xfId="0" quotePrefix="1" applyNumberFormat="1" applyFont="1" applyFill="1" applyAlignment="1">
      <alignment horizontal="center"/>
    </xf>
    <xf numFmtId="3" fontId="0" fillId="2" borderId="29" xfId="0" applyNumberFormat="1" applyFont="1" applyFill="1" applyBorder="1" applyAlignment="1">
      <alignment horizontal="center"/>
    </xf>
    <xf numFmtId="0" fontId="0" fillId="2" borderId="21" xfId="0" applyNumberFormat="1" applyFont="1" applyFill="1" applyBorder="1" applyAlignment="1">
      <alignment horizontal="center"/>
    </xf>
    <xf numFmtId="0" fontId="0" fillId="2" borderId="14" xfId="0" applyNumberFormat="1" applyFont="1" applyFill="1" applyBorder="1" applyAlignment="1">
      <alignment horizontal="center"/>
    </xf>
    <xf numFmtId="3" fontId="5" fillId="2" borderId="17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0" fillId="2" borderId="20" xfId="0" applyNumberFormat="1" applyFont="1" applyFill="1" applyBorder="1" applyAlignment="1">
      <alignment horizontal="center"/>
    </xf>
    <xf numFmtId="0" fontId="0" fillId="2" borderId="20" xfId="0" quotePrefix="1" applyNumberFormat="1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left"/>
    </xf>
    <xf numFmtId="0" fontId="0" fillId="2" borderId="12" xfId="0" quotePrefix="1" applyNumberFormat="1" applyFont="1" applyFill="1" applyBorder="1" applyAlignment="1">
      <alignment horizontal="center"/>
    </xf>
    <xf numFmtId="3" fontId="0" fillId="0" borderId="27" xfId="0" applyNumberFormat="1" applyFont="1" applyFill="1" applyBorder="1"/>
    <xf numFmtId="9" fontId="0" fillId="0" borderId="21" xfId="1" quotePrefix="1" applyFont="1" applyBorder="1" applyAlignment="1">
      <alignment horizontal="center"/>
    </xf>
    <xf numFmtId="10" fontId="0" fillId="0" borderId="21" xfId="1" applyNumberFormat="1" applyFont="1" applyBorder="1" applyAlignment="1">
      <alignment horizontal="center"/>
    </xf>
    <xf numFmtId="3" fontId="0" fillId="0" borderId="12" xfId="0" applyNumberFormat="1" applyFont="1" applyFill="1" applyBorder="1"/>
    <xf numFmtId="10" fontId="0" fillId="0" borderId="14" xfId="1" applyNumberFormat="1" applyFont="1" applyBorder="1" applyAlignment="1">
      <alignment horizontal="center"/>
    </xf>
    <xf numFmtId="0" fontId="27" fillId="0" borderId="0" xfId="0" applyFont="1" applyAlignment="1">
      <alignment horizontal="left"/>
    </xf>
    <xf numFmtId="10" fontId="17" fillId="6" borderId="29" xfId="7" applyNumberFormat="1" applyBorder="1" applyAlignment="1">
      <alignment horizontal="center"/>
    </xf>
    <xf numFmtId="0" fontId="0" fillId="7" borderId="0" xfId="8" applyFont="1" applyAlignment="1">
      <alignment horizontal="center"/>
    </xf>
    <xf numFmtId="170" fontId="0" fillId="0" borderId="0" xfId="0" applyNumberFormat="1" applyFont="1" applyAlignment="1">
      <alignment horizontal="center"/>
    </xf>
    <xf numFmtId="3" fontId="0" fillId="2" borderId="28" xfId="0" applyNumberFormat="1" applyFont="1" applyFill="1" applyBorder="1" applyAlignment="1">
      <alignment horizontal="center"/>
    </xf>
    <xf numFmtId="3" fontId="0" fillId="2" borderId="27" xfId="0" quotePrefix="1" applyNumberFormat="1" applyFont="1" applyFill="1" applyBorder="1" applyAlignment="1">
      <alignment horizontal="center"/>
    </xf>
    <xf numFmtId="170" fontId="0" fillId="2" borderId="26" xfId="0" applyNumberFormat="1" applyFont="1" applyFill="1" applyBorder="1" applyAlignment="1">
      <alignment horizontal="center"/>
    </xf>
    <xf numFmtId="3" fontId="0" fillId="2" borderId="12" xfId="0" quotePrefix="1" applyNumberFormat="1" applyFont="1" applyFill="1" applyBorder="1" applyAlignment="1">
      <alignment horizontal="center"/>
    </xf>
    <xf numFmtId="170" fontId="0" fillId="2" borderId="12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46" fillId="0" borderId="0" xfId="0" applyNumberFormat="1" applyFont="1" applyAlignment="1">
      <alignment horizontal="center"/>
    </xf>
    <xf numFmtId="3" fontId="12" fillId="0" borderId="0" xfId="0" quotePrefix="1" applyNumberFormat="1" applyFont="1" applyAlignment="1">
      <alignment horizontal="center"/>
    </xf>
    <xf numFmtId="2" fontId="15" fillId="5" borderId="0" xfId="5" applyNumberFormat="1"/>
    <xf numFmtId="164" fontId="15" fillId="5" borderId="0" xfId="5" applyNumberFormat="1"/>
    <xf numFmtId="4" fontId="28" fillId="0" borderId="17" xfId="0" applyNumberFormat="1" applyFont="1" applyBorder="1"/>
    <xf numFmtId="164" fontId="32" fillId="0" borderId="17" xfId="1" applyNumberFormat="1" applyFont="1" applyBorder="1"/>
    <xf numFmtId="4" fontId="28" fillId="0" borderId="0" xfId="0" applyNumberFormat="1" applyFont="1"/>
    <xf numFmtId="164" fontId="32" fillId="0" borderId="0" xfId="1" applyNumberFormat="1" applyFont="1"/>
    <xf numFmtId="4" fontId="0" fillId="8" borderId="27" xfId="0" applyNumberFormat="1" applyFont="1" applyFill="1" applyBorder="1" applyAlignment="1">
      <alignment horizontal="center"/>
    </xf>
    <xf numFmtId="4" fontId="0" fillId="8" borderId="12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1" xfId="0" applyFont="1" applyBorder="1" applyAlignment="1">
      <alignment horizontal="center"/>
    </xf>
    <xf numFmtId="3" fontId="16" fillId="0" borderId="29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171" fontId="0" fillId="0" borderId="27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71" fontId="0" fillId="0" borderId="12" xfId="0" applyNumberFormat="1" applyFont="1" applyBorder="1" applyAlignment="1">
      <alignment horizontal="center"/>
    </xf>
    <xf numFmtId="171" fontId="0" fillId="0" borderId="0" xfId="0" applyNumberFormat="1" applyFont="1"/>
    <xf numFmtId="171" fontId="17" fillId="6" borderId="12" xfId="7" applyNumberForma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3" fontId="47" fillId="0" borderId="0" xfId="7" applyNumberFormat="1" applyFont="1" applyFill="1" applyAlignment="1">
      <alignment horizontal="center"/>
    </xf>
    <xf numFmtId="0" fontId="1" fillId="7" borderId="0" xfId="8" applyAlignment="1">
      <alignment horizontal="center"/>
    </xf>
    <xf numFmtId="0" fontId="6" fillId="0" borderId="13" xfId="0" applyFont="1" applyBorder="1"/>
    <xf numFmtId="0" fontId="6" fillId="0" borderId="28" xfId="0" applyFont="1" applyBorder="1"/>
    <xf numFmtId="3" fontId="6" fillId="0" borderId="28" xfId="0" applyNumberFormat="1" applyFont="1" applyBorder="1" applyAlignment="1">
      <alignment horizontal="center"/>
    </xf>
    <xf numFmtId="0" fontId="6" fillId="0" borderId="29" xfId="0" applyFont="1" applyBorder="1"/>
    <xf numFmtId="0" fontId="0" fillId="0" borderId="15" xfId="0" applyFont="1" applyBorder="1" applyAlignment="1">
      <alignment horizontal="center"/>
    </xf>
    <xf numFmtId="171" fontId="17" fillId="6" borderId="0" xfId="7" applyNumberForma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171" fontId="17" fillId="6" borderId="20" xfId="7" applyNumberFormat="1" applyBorder="1" applyAlignment="1">
      <alignment horizontal="center"/>
    </xf>
    <xf numFmtId="3" fontId="23" fillId="0" borderId="20" xfId="0" applyNumberFormat="1" applyFont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170" fontId="0" fillId="0" borderId="0" xfId="0" applyNumberFormat="1" applyFont="1"/>
    <xf numFmtId="4" fontId="16" fillId="0" borderId="0" xfId="0" applyNumberFormat="1" applyFont="1" applyFill="1" applyBorder="1" applyAlignment="1">
      <alignment horizontal="center"/>
    </xf>
    <xf numFmtId="169" fontId="0" fillId="0" borderId="18" xfId="0" applyNumberFormat="1" applyFont="1" applyBorder="1" applyAlignment="1">
      <alignment horizontal="center"/>
    </xf>
    <xf numFmtId="171" fontId="0" fillId="0" borderId="0" xfId="0" applyNumberFormat="1" applyFont="1" applyBorder="1" applyAlignment="1">
      <alignment horizontal="center"/>
    </xf>
    <xf numFmtId="171" fontId="14" fillId="4" borderId="27" xfId="4" applyNumberFormat="1" applyBorder="1" applyAlignment="1">
      <alignment horizontal="center"/>
    </xf>
    <xf numFmtId="4" fontId="0" fillId="0" borderId="0" xfId="0" applyNumberFormat="1" applyFont="1"/>
    <xf numFmtId="4" fontId="16" fillId="0" borderId="20" xfId="0" applyNumberFormat="1" applyFont="1" applyFill="1" applyBorder="1" applyAlignment="1">
      <alignment horizontal="center"/>
    </xf>
    <xf numFmtId="169" fontId="0" fillId="0" borderId="19" xfId="0" applyNumberFormat="1" applyFont="1" applyBorder="1" applyAlignment="1">
      <alignment horizontal="center"/>
    </xf>
    <xf numFmtId="171" fontId="0" fillId="0" borderId="20" xfId="0" applyNumberFormat="1" applyFont="1" applyBorder="1" applyAlignment="1">
      <alignment horizontal="center"/>
    </xf>
    <xf numFmtId="171" fontId="14" fillId="4" borderId="12" xfId="4" applyNumberFormat="1" applyBorder="1" applyAlignment="1">
      <alignment horizontal="center"/>
    </xf>
    <xf numFmtId="4" fontId="0" fillId="0" borderId="28" xfId="0" applyNumberFormat="1" applyFont="1" applyBorder="1" applyAlignment="1">
      <alignment horizontal="center"/>
    </xf>
    <xf numFmtId="169" fontId="0" fillId="0" borderId="28" xfId="0" applyNumberFormat="1" applyFont="1" applyBorder="1" applyAlignment="1">
      <alignment horizontal="center"/>
    </xf>
    <xf numFmtId="171" fontId="0" fillId="0" borderId="28" xfId="0" applyNumberFormat="1" applyFont="1" applyBorder="1" applyAlignment="1">
      <alignment horizontal="center"/>
    </xf>
    <xf numFmtId="0" fontId="12" fillId="2" borderId="17" xfId="0" applyFont="1" applyFill="1" applyBorder="1" applyProtection="1"/>
    <xf numFmtId="3" fontId="12" fillId="2" borderId="26" xfId="0" applyNumberFormat="1" applyFont="1" applyFill="1" applyBorder="1" applyProtection="1"/>
    <xf numFmtId="3" fontId="12" fillId="2" borderId="27" xfId="0" applyNumberFormat="1" applyFont="1" applyFill="1" applyBorder="1" applyProtection="1"/>
    <xf numFmtId="3" fontId="12" fillId="2" borderId="12" xfId="0" applyNumberFormat="1" applyFont="1" applyFill="1" applyBorder="1" applyProtection="1"/>
    <xf numFmtId="9" fontId="12" fillId="2" borderId="12" xfId="1" applyFont="1" applyFill="1" applyBorder="1" applyProtection="1"/>
    <xf numFmtId="0" fontId="28" fillId="0" borderId="13" xfId="0" applyFont="1" applyBorder="1"/>
    <xf numFmtId="0" fontId="23" fillId="0" borderId="29" xfId="0" applyFont="1" applyBorder="1"/>
    <xf numFmtId="170" fontId="17" fillId="6" borderId="0" xfId="7" applyNumberFormat="1" applyAlignment="1">
      <alignment horizontal="center"/>
    </xf>
    <xf numFmtId="3" fontId="28" fillId="0" borderId="13" xfId="0" applyNumberFormat="1" applyFont="1" applyBorder="1"/>
    <xf numFmtId="3" fontId="35" fillId="0" borderId="0" xfId="4" applyNumberFormat="1" applyFont="1" applyFill="1"/>
    <xf numFmtId="3" fontId="35" fillId="0" borderId="0" xfId="0" applyNumberFormat="1" applyFont="1"/>
    <xf numFmtId="3" fontId="23" fillId="2" borderId="20" xfId="0" applyNumberFormat="1" applyFont="1" applyFill="1" applyBorder="1" applyAlignment="1">
      <alignment horizontal="center"/>
    </xf>
    <xf numFmtId="3" fontId="23" fillId="2" borderId="12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3" fontId="0" fillId="2" borderId="27" xfId="0" applyNumberFormat="1" applyFont="1" applyFill="1" applyBorder="1" applyAlignment="1">
      <alignment horizontal="right"/>
    </xf>
    <xf numFmtId="3" fontId="12" fillId="2" borderId="0" xfId="0" quotePrefix="1" applyNumberFormat="1" applyFont="1" applyFill="1" applyBorder="1" applyAlignment="1">
      <alignment horizontal="right"/>
    </xf>
    <xf numFmtId="3" fontId="12" fillId="2" borderId="27" xfId="0" applyNumberFormat="1" applyFont="1" applyFill="1" applyBorder="1" applyAlignment="1">
      <alignment horizontal="right"/>
    </xf>
    <xf numFmtId="3" fontId="12" fillId="2" borderId="20" xfId="0" applyNumberFormat="1" applyFont="1" applyFill="1" applyBorder="1" applyAlignment="1">
      <alignment horizontal="right"/>
    </xf>
    <xf numFmtId="3" fontId="12" fillId="2" borderId="12" xfId="0" applyNumberFormat="1" applyFont="1" applyFill="1" applyBorder="1" applyAlignment="1">
      <alignment horizontal="right"/>
    </xf>
    <xf numFmtId="3" fontId="0" fillId="2" borderId="28" xfId="0" applyNumberFormat="1" applyFont="1" applyFill="1" applyBorder="1" applyAlignment="1">
      <alignment horizontal="right"/>
    </xf>
    <xf numFmtId="3" fontId="0" fillId="2" borderId="29" xfId="0" applyNumberFormat="1" applyFont="1" applyFill="1" applyBorder="1" applyAlignment="1">
      <alignment horizontal="right"/>
    </xf>
    <xf numFmtId="3" fontId="12" fillId="0" borderId="0" xfId="0" quotePrefix="1" applyNumberFormat="1" applyFont="1" applyBorder="1" applyAlignment="1">
      <alignment horizontal="center"/>
    </xf>
    <xf numFmtId="3" fontId="12" fillId="0" borderId="27" xfId="0" quotePrefix="1" applyNumberFormat="1" applyFont="1" applyBorder="1" applyAlignment="1">
      <alignment horizontal="center"/>
    </xf>
    <xf numFmtId="3" fontId="12" fillId="0" borderId="20" xfId="0" quotePrefix="1" applyNumberFormat="1" applyFont="1" applyBorder="1" applyAlignment="1">
      <alignment horizontal="center"/>
    </xf>
    <xf numFmtId="3" fontId="12" fillId="0" borderId="12" xfId="0" quotePrefix="1" applyNumberFormat="1" applyFont="1" applyBorder="1" applyAlignment="1">
      <alignment horizontal="center"/>
    </xf>
    <xf numFmtId="3" fontId="16" fillId="0" borderId="20" xfId="0" applyNumberFormat="1" applyFont="1" applyBorder="1"/>
    <xf numFmtId="3" fontId="0" fillId="0" borderId="0" xfId="0" quotePrefix="1" applyNumberFormat="1" applyFont="1" applyAlignment="1">
      <alignment horizontal="left"/>
    </xf>
    <xf numFmtId="0" fontId="16" fillId="0" borderId="0" xfId="0" applyFont="1" applyAlignment="1">
      <alignment horizontal="center"/>
    </xf>
    <xf numFmtId="3" fontId="0" fillId="8" borderId="0" xfId="0" applyNumberFormat="1" applyFont="1" applyFill="1" applyBorder="1"/>
    <xf numFmtId="4" fontId="0" fillId="8" borderId="0" xfId="0" applyNumberFormat="1" applyFont="1" applyFill="1" applyBorder="1" applyAlignment="1">
      <alignment horizontal="center"/>
    </xf>
    <xf numFmtId="3" fontId="0" fillId="8" borderId="20" xfId="0" applyNumberFormat="1" applyFont="1" applyFill="1" applyBorder="1"/>
    <xf numFmtId="4" fontId="0" fillId="8" borderId="20" xfId="0" applyNumberFormat="1" applyFont="1" applyFill="1" applyBorder="1" applyAlignment="1">
      <alignment horizontal="center"/>
    </xf>
    <xf numFmtId="3" fontId="25" fillId="0" borderId="20" xfId="0" applyNumberFormat="1" applyFont="1" applyBorder="1"/>
    <xf numFmtId="3" fontId="0" fillId="0" borderId="20" xfId="0" quotePrefix="1" applyNumberFormat="1" applyFont="1" applyBorder="1" applyAlignment="1">
      <alignment horizontal="center"/>
    </xf>
    <xf numFmtId="3" fontId="0" fillId="0" borderId="12" xfId="0" quotePrefix="1" applyNumberFormat="1" applyFont="1" applyBorder="1" applyAlignment="1">
      <alignment horizontal="center"/>
    </xf>
    <xf numFmtId="3" fontId="0" fillId="2" borderId="13" xfId="0" applyNumberFormat="1" applyFont="1" applyFill="1" applyBorder="1" applyAlignment="1">
      <alignment horizontal="left"/>
    </xf>
    <xf numFmtId="3" fontId="0" fillId="2" borderId="28" xfId="0" applyNumberFormat="1" applyFont="1" applyFill="1" applyBorder="1" applyAlignment="1">
      <alignment horizontal="left"/>
    </xf>
    <xf numFmtId="3" fontId="0" fillId="2" borderId="29" xfId="0" applyNumberFormat="1" applyFont="1" applyFill="1" applyBorder="1" applyAlignment="1">
      <alignment horizontal="left"/>
    </xf>
    <xf numFmtId="9" fontId="14" fillId="2" borderId="29" xfId="4" applyNumberForma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left"/>
    </xf>
    <xf numFmtId="3" fontId="0" fillId="2" borderId="20" xfId="0" applyNumberFormat="1" applyFont="1" applyFill="1" applyBorder="1" applyAlignment="1">
      <alignment horizontal="left"/>
    </xf>
    <xf numFmtId="3" fontId="0" fillId="2" borderId="12" xfId="0" applyNumberFormat="1" applyFont="1" applyFill="1" applyBorder="1" applyAlignment="1">
      <alignment horizontal="left"/>
    </xf>
    <xf numFmtId="9" fontId="15" fillId="2" borderId="12" xfId="5" applyNumberFormat="1" applyFill="1" applyBorder="1" applyAlignment="1">
      <alignment horizontal="center"/>
    </xf>
    <xf numFmtId="4" fontId="0" fillId="2" borderId="0" xfId="0" applyNumberFormat="1" applyFont="1" applyFill="1" applyBorder="1" applyAlignment="1">
      <alignment horizontal="center"/>
    </xf>
    <xf numFmtId="4" fontId="0" fillId="2" borderId="20" xfId="0" applyNumberFormat="1" applyFont="1" applyFill="1" applyBorder="1" applyAlignment="1">
      <alignment horizontal="center"/>
    </xf>
    <xf numFmtId="3" fontId="25" fillId="2" borderId="20" xfId="0" applyNumberFormat="1" applyFont="1" applyFill="1" applyBorder="1"/>
    <xf numFmtId="3" fontId="0" fillId="2" borderId="20" xfId="0" quotePrefix="1" applyNumberFormat="1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/>
    </xf>
    <xf numFmtId="3" fontId="16" fillId="0" borderId="28" xfId="0" applyNumberFormat="1" applyFont="1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10" fontId="17" fillId="6" borderId="27" xfId="7" applyNumberFormat="1" applyBorder="1" applyAlignment="1">
      <alignment horizontal="center"/>
    </xf>
    <xf numFmtId="10" fontId="0" fillId="0" borderId="19" xfId="1" applyNumberFormat="1" applyFont="1" applyBorder="1" applyAlignment="1">
      <alignment horizontal="center"/>
    </xf>
    <xf numFmtId="10" fontId="17" fillId="6" borderId="12" xfId="7" applyNumberFormat="1" applyBorder="1" applyAlignment="1">
      <alignment horizontal="center"/>
    </xf>
    <xf numFmtId="10" fontId="16" fillId="0" borderId="19" xfId="1" applyNumberFormat="1" applyFont="1" applyBorder="1" applyAlignment="1">
      <alignment horizontal="center"/>
    </xf>
    <xf numFmtId="171" fontId="16" fillId="0" borderId="20" xfId="0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" fontId="48" fillId="0" borderId="0" xfId="0" quotePrefix="1" applyNumberFormat="1" applyFont="1" applyAlignment="1">
      <alignment horizontal="center"/>
    </xf>
    <xf numFmtId="3" fontId="16" fillId="0" borderId="28" xfId="0" applyNumberFormat="1" applyFont="1" applyBorder="1"/>
    <xf numFmtId="9" fontId="15" fillId="5" borderId="0" xfId="5" applyNumberFormat="1" applyAlignment="1">
      <alignment horizontal="center"/>
    </xf>
    <xf numFmtId="171" fontId="16" fillId="0" borderId="0" xfId="0" applyNumberFormat="1" applyFont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71" fontId="1" fillId="7" borderId="29" xfId="8" applyNumberFormat="1" applyBorder="1" applyAlignment="1">
      <alignment horizontal="center"/>
    </xf>
    <xf numFmtId="3" fontId="24" fillId="0" borderId="0" xfId="0" applyNumberFormat="1" applyFont="1" applyAlignment="1">
      <alignment horizontal="right"/>
    </xf>
    <xf numFmtId="171" fontId="0" fillId="0" borderId="0" xfId="0" applyNumberFormat="1" applyFont="1" applyAlignment="1">
      <alignment horizontal="center"/>
    </xf>
    <xf numFmtId="171" fontId="0" fillId="0" borderId="0" xfId="0" quotePrefix="1" applyNumberFormat="1" applyFont="1" applyAlignment="1">
      <alignment horizontal="center"/>
    </xf>
    <xf numFmtId="3" fontId="36" fillId="0" borderId="0" xfId="0" applyNumberFormat="1" applyFont="1" applyAlignment="1">
      <alignment horizontal="center"/>
    </xf>
    <xf numFmtId="168" fontId="35" fillId="0" borderId="0" xfId="1" applyNumberFormat="1" applyFont="1"/>
    <xf numFmtId="171" fontId="12" fillId="0" borderId="0" xfId="8" applyNumberFormat="1" applyFont="1" applyFill="1" applyAlignment="1">
      <alignment horizontal="center"/>
    </xf>
    <xf numFmtId="171" fontId="1" fillId="7" borderId="0" xfId="8" applyNumberFormat="1" applyAlignment="1">
      <alignment horizontal="center"/>
    </xf>
    <xf numFmtId="172" fontId="35" fillId="0" borderId="0" xfId="0" applyNumberFormat="1" applyFont="1" applyAlignment="1">
      <alignment horizontal="left"/>
    </xf>
    <xf numFmtId="171" fontId="14" fillId="4" borderId="0" xfId="4" applyNumberFormat="1" applyAlignment="1">
      <alignment horizontal="center"/>
    </xf>
    <xf numFmtId="0" fontId="27" fillId="0" borderId="0" xfId="0" applyFont="1" applyAlignment="1">
      <alignment horizontal="centerContinuous"/>
    </xf>
    <xf numFmtId="0" fontId="0" fillId="0" borderId="27" xfId="0" applyBorder="1" applyAlignment="1">
      <alignment horizontal="centerContinuous"/>
    </xf>
    <xf numFmtId="0" fontId="27" fillId="2" borderId="0" xfId="0" applyFont="1" applyFill="1" applyAlignment="1">
      <alignment horizontal="centerContinuous"/>
    </xf>
    <xf numFmtId="0" fontId="0" fillId="2" borderId="27" xfId="0" applyFill="1" applyBorder="1" applyAlignment="1">
      <alignment horizontal="centerContinuous"/>
    </xf>
    <xf numFmtId="3" fontId="0" fillId="2" borderId="0" xfId="0" applyNumberFormat="1" applyFill="1" applyAlignment="1">
      <alignment horizontal="right"/>
    </xf>
    <xf numFmtId="3" fontId="0" fillId="2" borderId="20" xfId="0" applyNumberFormat="1" applyFill="1" applyBorder="1" applyAlignment="1">
      <alignment horizontal="right"/>
    </xf>
    <xf numFmtId="3" fontId="15" fillId="5" borderId="27" xfId="5" applyNumberFormat="1" applyBorder="1"/>
    <xf numFmtId="3" fontId="1" fillId="7" borderId="27" xfId="8" applyNumberFormat="1" applyBorder="1"/>
    <xf numFmtId="3" fontId="1" fillId="12" borderId="0" xfId="10" applyNumberFormat="1"/>
    <xf numFmtId="3" fontId="0" fillId="0" borderId="27" xfId="0" applyNumberFormat="1" applyBorder="1"/>
    <xf numFmtId="0" fontId="17" fillId="6" borderId="0" xfId="7" applyAlignment="1">
      <alignment horizontal="centerContinuous"/>
    </xf>
    <xf numFmtId="0" fontId="2" fillId="0" borderId="20" xfId="0" applyFont="1" applyBorder="1" applyAlignment="1"/>
    <xf numFmtId="0" fontId="2" fillId="0" borderId="27" xfId="0" applyFont="1" applyBorder="1" applyAlignment="1">
      <alignment horizontal="center"/>
    </xf>
    <xf numFmtId="3" fontId="15" fillId="5" borderId="0" xfId="5" applyNumberFormat="1"/>
    <xf numFmtId="0" fontId="14" fillId="4" borderId="0" xfId="4" applyAlignment="1">
      <alignment horizontal="centerContinuous"/>
    </xf>
    <xf numFmtId="3" fontId="32" fillId="0" borderId="0" xfId="0" applyNumberFormat="1" applyFont="1" applyAlignment="1">
      <alignment horizontal="center"/>
    </xf>
    <xf numFmtId="0" fontId="5" fillId="2" borderId="0" xfId="0" applyFont="1" applyFill="1" applyBorder="1" applyProtection="1"/>
    <xf numFmtId="0" fontId="33" fillId="14" borderId="0" xfId="0" applyFont="1" applyFill="1" applyBorder="1" applyAlignment="1">
      <alignment horizontal="center"/>
    </xf>
    <xf numFmtId="0" fontId="16" fillId="14" borderId="0" xfId="0" applyFont="1" applyFill="1"/>
    <xf numFmtId="0" fontId="0" fillId="14" borderId="0" xfId="0" applyFill="1"/>
    <xf numFmtId="0" fontId="0" fillId="14" borderId="20" xfId="0" applyFill="1" applyBorder="1" applyAlignment="1">
      <alignment horizontal="center"/>
    </xf>
    <xf numFmtId="0" fontId="23" fillId="14" borderId="20" xfId="0" applyFont="1" applyFill="1" applyBorder="1"/>
    <xf numFmtId="4" fontId="12" fillId="0" borderId="0" xfId="0" applyNumberFormat="1" applyFont="1"/>
    <xf numFmtId="4" fontId="15" fillId="5" borderId="0" xfId="5" applyNumberFormat="1"/>
    <xf numFmtId="3" fontId="0" fillId="0" borderId="12" xfId="0" applyNumberFormat="1" applyBorder="1"/>
    <xf numFmtId="9" fontId="0" fillId="8" borderId="0" xfId="1" applyFont="1" applyFill="1" applyAlignment="1">
      <alignment horizontal="center"/>
    </xf>
    <xf numFmtId="3" fontId="0" fillId="0" borderId="0" xfId="0" applyNumberFormat="1" applyBorder="1"/>
    <xf numFmtId="1" fontId="0" fillId="2" borderId="0" xfId="0" applyNumberFormat="1" applyFill="1" applyAlignment="1">
      <alignment horizontal="center"/>
    </xf>
    <xf numFmtId="9" fontId="0" fillId="2" borderId="0" xfId="1" applyFont="1" applyFill="1"/>
    <xf numFmtId="3" fontId="0" fillId="2" borderId="17" xfId="0" applyNumberFormat="1" applyFill="1" applyBorder="1"/>
    <xf numFmtId="3" fontId="0" fillId="2" borderId="0" xfId="0" applyNumberFormat="1" applyFill="1" applyBorder="1"/>
    <xf numFmtId="170" fontId="0" fillId="2" borderId="27" xfId="0" applyNumberFormat="1" applyFill="1" applyBorder="1"/>
    <xf numFmtId="9" fontId="17" fillId="6" borderId="1" xfId="7" applyNumberFormat="1" applyBorder="1" applyAlignment="1">
      <alignment horizontal="center"/>
    </xf>
    <xf numFmtId="1" fontId="17" fillId="6" borderId="1" xfId="7" applyNumberFormat="1" applyBorder="1" applyAlignment="1">
      <alignment horizontal="center"/>
    </xf>
    <xf numFmtId="3" fontId="1" fillId="7" borderId="13" xfId="8" applyNumberFormat="1" applyBorder="1" applyAlignment="1">
      <alignment horizontal="center"/>
    </xf>
    <xf numFmtId="3" fontId="1" fillId="7" borderId="28" xfId="8" applyNumberFormat="1" applyBorder="1"/>
    <xf numFmtId="3" fontId="1" fillId="7" borderId="29" xfId="8" applyNumberFormat="1" applyBorder="1"/>
    <xf numFmtId="3" fontId="17" fillId="6" borderId="13" xfId="7" applyNumberFormat="1" applyBorder="1" applyAlignment="1">
      <alignment horizontal="center"/>
    </xf>
    <xf numFmtId="3" fontId="17" fillId="6" borderId="28" xfId="7" applyNumberFormat="1" applyBorder="1"/>
    <xf numFmtId="3" fontId="17" fillId="6" borderId="29" xfId="7" applyNumberFormat="1" applyBorder="1"/>
    <xf numFmtId="3" fontId="15" fillId="5" borderId="0" xfId="5" applyNumberFormat="1" applyAlignment="1">
      <alignment horizontal="center"/>
    </xf>
    <xf numFmtId="3" fontId="26" fillId="0" borderId="0" xfId="0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3" fontId="0" fillId="15" borderId="0" xfId="0" applyNumberFormat="1" applyFill="1"/>
    <xf numFmtId="3" fontId="0" fillId="15" borderId="0" xfId="0" applyNumberFormat="1" applyFill="1" applyAlignment="1">
      <alignment horizontal="center"/>
    </xf>
    <xf numFmtId="3" fontId="0" fillId="15" borderId="15" xfId="0" applyNumberFormat="1" applyFill="1" applyBorder="1" applyAlignment="1">
      <alignment horizontal="center"/>
    </xf>
    <xf numFmtId="3" fontId="0" fillId="15" borderId="17" xfId="0" applyNumberFormat="1" applyFill="1" applyBorder="1" applyAlignment="1">
      <alignment horizontal="center"/>
    </xf>
    <xf numFmtId="3" fontId="0" fillId="15" borderId="26" xfId="0" applyNumberFormat="1" applyFill="1" applyBorder="1" applyAlignment="1">
      <alignment horizontal="center"/>
    </xf>
    <xf numFmtId="3" fontId="0" fillId="15" borderId="21" xfId="0" applyNumberFormat="1" applyFill="1" applyBorder="1" applyAlignment="1">
      <alignment horizontal="center"/>
    </xf>
    <xf numFmtId="3" fontId="0" fillId="15" borderId="0" xfId="0" applyNumberFormat="1" applyFill="1" applyBorder="1" applyAlignment="1">
      <alignment horizontal="center"/>
    </xf>
    <xf numFmtId="3" fontId="25" fillId="15" borderId="0" xfId="0" applyNumberFormat="1" applyFont="1" applyFill="1" applyBorder="1" applyAlignment="1">
      <alignment horizontal="center"/>
    </xf>
    <xf numFmtId="3" fontId="0" fillId="15" borderId="27" xfId="0" applyNumberFormat="1" applyFill="1" applyBorder="1" applyAlignment="1">
      <alignment horizontal="center"/>
    </xf>
    <xf numFmtId="2" fontId="0" fillId="15" borderId="0" xfId="0" applyNumberFormat="1" applyFill="1"/>
    <xf numFmtId="2" fontId="0" fillId="15" borderId="14" xfId="0" applyNumberFormat="1" applyFill="1" applyBorder="1" applyAlignment="1">
      <alignment horizontal="center"/>
    </xf>
    <xf numFmtId="2" fontId="0" fillId="15" borderId="20" xfId="0" applyNumberFormat="1" applyFill="1" applyBorder="1" applyAlignment="1">
      <alignment horizontal="center"/>
    </xf>
    <xf numFmtId="2" fontId="0" fillId="15" borderId="12" xfId="0" applyNumberFormat="1" applyFill="1" applyBorder="1" applyAlignment="1">
      <alignment horizontal="center"/>
    </xf>
    <xf numFmtId="0" fontId="0" fillId="15" borderId="0" xfId="0" applyFill="1"/>
    <xf numFmtId="1" fontId="0" fillId="15" borderId="21" xfId="0" applyNumberFormat="1" applyFill="1" applyBorder="1" applyAlignment="1">
      <alignment horizontal="center"/>
    </xf>
    <xf numFmtId="4" fontId="0" fillId="15" borderId="0" xfId="0" applyNumberFormat="1" applyFill="1" applyBorder="1" applyAlignment="1">
      <alignment horizontal="center"/>
    </xf>
    <xf numFmtId="170" fontId="0" fillId="15" borderId="0" xfId="0" applyNumberFormat="1" applyFill="1" applyBorder="1" applyAlignment="1">
      <alignment horizontal="center"/>
    </xf>
    <xf numFmtId="4" fontId="0" fillId="15" borderId="27" xfId="0" applyNumberFormat="1" applyFill="1" applyBorder="1" applyAlignment="1">
      <alignment horizontal="center"/>
    </xf>
    <xf numFmtId="1" fontId="0" fillId="15" borderId="14" xfId="0" applyNumberFormat="1" applyFill="1" applyBorder="1" applyAlignment="1">
      <alignment horizontal="center"/>
    </xf>
    <xf numFmtId="3" fontId="0" fillId="15" borderId="20" xfId="0" applyNumberFormat="1" applyFill="1" applyBorder="1" applyAlignment="1">
      <alignment horizontal="center"/>
    </xf>
    <xf numFmtId="4" fontId="0" fillId="15" borderId="20" xfId="0" applyNumberFormat="1" applyFill="1" applyBorder="1" applyAlignment="1">
      <alignment horizontal="center"/>
    </xf>
    <xf numFmtId="170" fontId="0" fillId="15" borderId="20" xfId="0" applyNumberFormat="1" applyFill="1" applyBorder="1" applyAlignment="1">
      <alignment horizontal="center"/>
    </xf>
    <xf numFmtId="4" fontId="0" fillId="15" borderId="12" xfId="0" applyNumberFormat="1" applyFill="1" applyBorder="1" applyAlignment="1">
      <alignment horizontal="center"/>
    </xf>
    <xf numFmtId="170" fontId="0" fillId="0" borderId="0" xfId="0" applyNumberFormat="1"/>
    <xf numFmtId="170" fontId="38" fillId="0" borderId="17" xfId="0" applyNumberFormat="1" applyFont="1" applyBorder="1"/>
    <xf numFmtId="170" fontId="39" fillId="0" borderId="17" xfId="0" applyNumberFormat="1" applyFont="1" applyBorder="1" applyAlignment="1">
      <alignment horizontal="center"/>
    </xf>
    <xf numFmtId="170" fontId="38" fillId="0" borderId="0" xfId="0" applyNumberFormat="1" applyFont="1" applyAlignment="1">
      <alignment horizontal="center"/>
    </xf>
    <xf numFmtId="170" fontId="39" fillId="0" borderId="0" xfId="0" applyNumberFormat="1" applyFont="1" applyAlignment="1">
      <alignment horizontal="center"/>
    </xf>
    <xf numFmtId="170" fontId="14" fillId="4" borderId="0" xfId="4" applyNumberFormat="1" applyAlignment="1">
      <alignment horizontal="center"/>
    </xf>
    <xf numFmtId="0" fontId="2" fillId="15" borderId="13" xfId="0" applyFont="1" applyFill="1" applyBorder="1" applyProtection="1">
      <protection locked="0"/>
    </xf>
    <xf numFmtId="0" fontId="0" fillId="15" borderId="28" xfId="0" applyFont="1" applyFill="1" applyBorder="1" applyProtection="1">
      <protection locked="0"/>
    </xf>
    <xf numFmtId="0" fontId="0" fillId="15" borderId="29" xfId="0" applyFont="1" applyFill="1" applyBorder="1" applyProtection="1">
      <protection locked="0"/>
    </xf>
    <xf numFmtId="0" fontId="50" fillId="15" borderId="28" xfId="0" applyFont="1" applyFill="1" applyBorder="1" applyProtection="1">
      <protection locked="0"/>
    </xf>
    <xf numFmtId="3" fontId="0" fillId="8" borderId="27" xfId="0" applyNumberFormat="1" applyFill="1" applyBorder="1" applyAlignment="1">
      <alignment horizontal="center"/>
    </xf>
    <xf numFmtId="3" fontId="0" fillId="8" borderId="12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3" fontId="0" fillId="8" borderId="15" xfId="0" applyNumberFormat="1" applyFill="1" applyBorder="1" applyAlignment="1">
      <alignment horizontal="center"/>
    </xf>
    <xf numFmtId="170" fontId="0" fillId="0" borderId="0" xfId="0" applyNumberFormat="1" applyFill="1" applyBorder="1" applyAlignment="1">
      <alignment horizontal="center"/>
    </xf>
    <xf numFmtId="170" fontId="0" fillId="0" borderId="27" xfId="0" applyNumberFormat="1" applyFill="1" applyBorder="1" applyAlignment="1">
      <alignment horizontal="center"/>
    </xf>
    <xf numFmtId="170" fontId="0" fillId="0" borderId="20" xfId="0" applyNumberFormat="1" applyFill="1" applyBorder="1" applyAlignment="1">
      <alignment horizontal="center"/>
    </xf>
    <xf numFmtId="170" fontId="0" fillId="0" borderId="12" xfId="0" applyNumberForma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170" fontId="15" fillId="5" borderId="28" xfId="5" applyNumberFormat="1" applyBorder="1" applyAlignment="1">
      <alignment horizontal="center"/>
    </xf>
    <xf numFmtId="170" fontId="23" fillId="0" borderId="29" xfId="0" applyNumberFormat="1" applyFont="1" applyBorder="1" applyAlignment="1">
      <alignment horizontal="center"/>
    </xf>
    <xf numFmtId="3" fontId="51" fillId="5" borderId="16" xfId="5" applyNumberFormat="1" applyFont="1" applyBorder="1"/>
    <xf numFmtId="3" fontId="51" fillId="5" borderId="0" xfId="5" applyNumberFormat="1" applyFont="1"/>
    <xf numFmtId="3" fontId="0" fillId="0" borderId="29" xfId="0" applyNumberFormat="1" applyFill="1" applyBorder="1" applyAlignment="1">
      <alignment horizontal="center"/>
    </xf>
    <xf numFmtId="3" fontId="52" fillId="0" borderId="27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center"/>
    </xf>
    <xf numFmtId="3" fontId="42" fillId="0" borderId="27" xfId="0" applyNumberFormat="1" applyFon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3" fontId="16" fillId="0" borderId="20" xfId="0" applyNumberFormat="1" applyFont="1" applyFill="1" applyBorder="1" applyAlignment="1">
      <alignment horizontal="center"/>
    </xf>
    <xf numFmtId="3" fontId="16" fillId="0" borderId="12" xfId="0" applyNumberFormat="1" applyFont="1" applyFill="1" applyBorder="1" applyAlignment="1">
      <alignment horizontal="center"/>
    </xf>
    <xf numFmtId="0" fontId="0" fillId="16" borderId="13" xfId="0" applyFont="1" applyFill="1" applyBorder="1" applyAlignment="1">
      <alignment horizontal="centerContinuous"/>
    </xf>
    <xf numFmtId="0" fontId="27" fillId="16" borderId="29" xfId="0" applyFont="1" applyFill="1" applyBorder="1" applyAlignment="1">
      <alignment horizontal="centerContinuous"/>
    </xf>
    <xf numFmtId="3" fontId="12" fillId="16" borderId="13" xfId="0" applyNumberFormat="1" applyFont="1" applyFill="1" applyBorder="1" applyAlignment="1">
      <alignment horizontal="centerContinuous"/>
    </xf>
    <xf numFmtId="0" fontId="27" fillId="16" borderId="28" xfId="0" applyFont="1" applyFill="1" applyBorder="1" applyAlignment="1">
      <alignment horizontal="centerContinuous"/>
    </xf>
    <xf numFmtId="0" fontId="16" fillId="0" borderId="20" xfId="0" applyFont="1" applyBorder="1" applyAlignment="1">
      <alignment horizontal="center"/>
    </xf>
    <xf numFmtId="0" fontId="0" fillId="0" borderId="20" xfId="0" quotePrefix="1" applyBorder="1" applyAlignment="1">
      <alignment horizontal="center"/>
    </xf>
    <xf numFmtId="3" fontId="0" fillId="0" borderId="20" xfId="0" applyNumberFormat="1" applyBorder="1" applyAlignment="1">
      <alignment horizontal="centerContinuous"/>
    </xf>
    <xf numFmtId="0" fontId="0" fillId="0" borderId="20" xfId="0" applyBorder="1" applyAlignment="1">
      <alignment horizontal="centerContinuous"/>
    </xf>
    <xf numFmtId="3" fontId="16" fillId="0" borderId="0" xfId="0" applyNumberFormat="1" applyFont="1" applyAlignment="1">
      <alignment horizontal="right"/>
    </xf>
    <xf numFmtId="0" fontId="42" fillId="0" borderId="0" xfId="0" applyFont="1" applyAlignment="1">
      <alignment horizontal="center"/>
    </xf>
    <xf numFmtId="3" fontId="16" fillId="0" borderId="20" xfId="0" applyNumberFormat="1" applyFont="1" applyBorder="1" applyAlignment="1">
      <alignment horizontal="right"/>
    </xf>
    <xf numFmtId="3" fontId="42" fillId="0" borderId="20" xfId="0" applyNumberFormat="1" applyFont="1" applyBorder="1" applyAlignment="1">
      <alignment horizontal="center"/>
    </xf>
    <xf numFmtId="3" fontId="52" fillId="0" borderId="0" xfId="0" applyNumberFormat="1" applyFont="1" applyAlignment="1">
      <alignment horizontal="center"/>
    </xf>
    <xf numFmtId="3" fontId="27" fillId="0" borderId="0" xfId="0" applyNumberFormat="1" applyFont="1"/>
    <xf numFmtId="166" fontId="0" fillId="0" borderId="0" xfId="0" applyNumberFormat="1" applyFill="1" applyBorder="1" applyAlignment="1">
      <alignment horizontal="center"/>
    </xf>
    <xf numFmtId="166" fontId="0" fillId="0" borderId="27" xfId="0" applyNumberFormat="1" applyFill="1" applyBorder="1" applyAlignment="1">
      <alignment horizontal="center"/>
    </xf>
    <xf numFmtId="166" fontId="0" fillId="0" borderId="0" xfId="0" applyNumberFormat="1"/>
    <xf numFmtId="166" fontId="17" fillId="6" borderId="0" xfId="7" applyNumberFormat="1" applyAlignment="1">
      <alignment horizontal="center"/>
    </xf>
    <xf numFmtId="170" fontId="11" fillId="0" borderId="28" xfId="0" applyNumberFormat="1" applyFont="1" applyBorder="1" applyAlignment="1">
      <alignment horizontal="center"/>
    </xf>
    <xf numFmtId="166" fontId="15" fillId="5" borderId="28" xfId="5" applyNumberFormat="1" applyBorder="1" applyAlignment="1">
      <alignment horizontal="center"/>
    </xf>
    <xf numFmtId="166" fontId="23" fillId="0" borderId="29" xfId="0" applyNumberFormat="1" applyFont="1" applyBorder="1" applyAlignment="1">
      <alignment horizontal="center"/>
    </xf>
    <xf numFmtId="3" fontId="15" fillId="5" borderId="17" xfId="5" applyNumberFormat="1" applyBorder="1"/>
    <xf numFmtId="3" fontId="37" fillId="0" borderId="0" xfId="0" applyNumberFormat="1" applyFont="1"/>
    <xf numFmtId="0" fontId="0" fillId="0" borderId="0" xfId="0" applyFill="1" applyBorder="1" applyAlignment="1">
      <alignment horizontal="right"/>
    </xf>
    <xf numFmtId="0" fontId="0" fillId="0" borderId="17" xfId="0" applyBorder="1" applyAlignment="1">
      <alignment horizontal="right"/>
    </xf>
    <xf numFmtId="3" fontId="14" fillId="4" borderId="1" xfId="4" applyNumberFormat="1" applyBorder="1" applyAlignment="1">
      <alignment horizontal="center"/>
    </xf>
    <xf numFmtId="0" fontId="24" fillId="0" borderId="17" xfId="0" applyFont="1" applyBorder="1"/>
    <xf numFmtId="0" fontId="24" fillId="0" borderId="0" xfId="0" applyFont="1" applyBorder="1"/>
    <xf numFmtId="0" fontId="17" fillId="6" borderId="1" xfId="7" applyBorder="1" applyAlignment="1" applyProtection="1">
      <alignment horizontal="center"/>
    </xf>
    <xf numFmtId="4" fontId="0" fillId="2" borderId="29" xfId="0" applyNumberFormat="1" applyFill="1" applyBorder="1" applyAlignment="1">
      <alignment horizontal="center"/>
    </xf>
    <xf numFmtId="3" fontId="12" fillId="6" borderId="0" xfId="7" applyNumberFormat="1" applyFont="1"/>
    <xf numFmtId="3" fontId="12" fillId="0" borderId="0" xfId="7" applyNumberFormat="1" applyFont="1" applyFill="1"/>
    <xf numFmtId="3" fontId="24" fillId="0" borderId="16" xfId="0" applyNumberFormat="1" applyFont="1" applyBorder="1"/>
    <xf numFmtId="3" fontId="24" fillId="0" borderId="17" xfId="0" applyNumberFormat="1" applyFont="1" applyBorder="1"/>
    <xf numFmtId="3" fontId="24" fillId="0" borderId="26" xfId="0" applyNumberFormat="1" applyFont="1" applyBorder="1"/>
    <xf numFmtId="3" fontId="24" fillId="0" borderId="19" xfId="0" applyNumberFormat="1" applyFont="1" applyBorder="1"/>
    <xf numFmtId="3" fontId="24" fillId="0" borderId="20" xfId="0" applyNumberFormat="1" applyFont="1" applyBorder="1"/>
    <xf numFmtId="3" fontId="24" fillId="0" borderId="12" xfId="0" applyNumberFormat="1" applyFont="1" applyBorder="1"/>
    <xf numFmtId="0" fontId="1" fillId="7" borderId="0" xfId="8"/>
    <xf numFmtId="3" fontId="0" fillId="0" borderId="17" xfId="0" applyNumberFormat="1" applyFont="1" applyBorder="1" applyAlignment="1">
      <alignment horizontal="centerContinuous"/>
    </xf>
    <xf numFmtId="1" fontId="28" fillId="0" borderId="20" xfId="0" quotePrefix="1" applyNumberFormat="1" applyFont="1" applyBorder="1" applyAlignment="1">
      <alignment horizontal="center"/>
    </xf>
    <xf numFmtId="1" fontId="28" fillId="0" borderId="12" xfId="0" quotePrefix="1" applyNumberFormat="1" applyFont="1" applyBorder="1" applyAlignment="1">
      <alignment horizontal="center"/>
    </xf>
    <xf numFmtId="170" fontId="1" fillId="7" borderId="0" xfId="8" applyNumberFormat="1" applyBorder="1" applyAlignment="1">
      <alignment horizontal="center"/>
    </xf>
    <xf numFmtId="170" fontId="1" fillId="13" borderId="0" xfId="13" applyNumberFormat="1" applyBorder="1" applyAlignment="1">
      <alignment horizontal="center"/>
    </xf>
    <xf numFmtId="170" fontId="1" fillId="12" borderId="0" xfId="10" applyNumberFormat="1" applyBorder="1" applyAlignment="1">
      <alignment horizontal="center"/>
    </xf>
    <xf numFmtId="16" fontId="46" fillId="0" borderId="0" xfId="0" quotePrefix="1" applyNumberFormat="1" applyFont="1" applyAlignment="1">
      <alignment horizontal="right"/>
    </xf>
    <xf numFmtId="170" fontId="1" fillId="7" borderId="0" xfId="8" applyNumberFormat="1" applyAlignment="1">
      <alignment horizontal="center"/>
    </xf>
    <xf numFmtId="0" fontId="46" fillId="0" borderId="0" xfId="0" quotePrefix="1" applyFont="1" applyAlignment="1">
      <alignment horizontal="right"/>
    </xf>
    <xf numFmtId="170" fontId="1" fillId="13" borderId="0" xfId="13" applyNumberFormat="1" applyAlignment="1">
      <alignment horizontal="center"/>
    </xf>
    <xf numFmtId="170" fontId="1" fillId="12" borderId="0" xfId="10" applyNumberFormat="1" applyAlignment="1">
      <alignment horizontal="center"/>
    </xf>
    <xf numFmtId="170" fontId="23" fillId="0" borderId="28" xfId="0" applyNumberFormat="1" applyFont="1" applyFill="1" applyBorder="1" applyAlignment="1">
      <alignment horizontal="center"/>
    </xf>
    <xf numFmtId="170" fontId="23" fillId="0" borderId="29" xfId="0" applyNumberFormat="1" applyFont="1" applyFill="1" applyBorder="1" applyAlignment="1">
      <alignment horizontal="center"/>
    </xf>
    <xf numFmtId="3" fontId="12" fillId="0" borderId="27" xfId="0" applyNumberFormat="1" applyFont="1" applyFill="1" applyBorder="1" applyAlignment="1">
      <alignment horizontal="center"/>
    </xf>
    <xf numFmtId="0" fontId="46" fillId="0" borderId="0" xfId="0" applyFont="1" applyAlignment="1">
      <alignment horizontal="right"/>
    </xf>
    <xf numFmtId="170" fontId="23" fillId="0" borderId="0" xfId="0" applyNumberFormat="1" applyFont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3" fontId="1" fillId="13" borderId="0" xfId="13" applyNumberFormat="1" applyAlignment="1">
      <alignment horizontal="center"/>
    </xf>
    <xf numFmtId="3" fontId="1" fillId="7" borderId="20" xfId="8" applyNumberFormat="1" applyBorder="1" applyAlignment="1">
      <alignment horizontal="center"/>
    </xf>
    <xf numFmtId="3" fontId="1" fillId="13" borderId="20" xfId="13" applyNumberFormat="1" applyBorder="1" applyAlignment="1">
      <alignment horizontal="center"/>
    </xf>
    <xf numFmtId="3" fontId="1" fillId="12" borderId="12" xfId="10" applyNumberFormat="1" applyBorder="1" applyAlignment="1">
      <alignment horizontal="center"/>
    </xf>
    <xf numFmtId="3" fontId="0" fillId="13" borderId="0" xfId="13" applyNumberFormat="1" applyFont="1"/>
    <xf numFmtId="3" fontId="1" fillId="13" borderId="0" xfId="13" applyNumberFormat="1"/>
    <xf numFmtId="0" fontId="1" fillId="13" borderId="0" xfId="13"/>
    <xf numFmtId="3" fontId="15" fillId="5" borderId="12" xfId="5" applyNumberFormat="1" applyBorder="1" applyAlignment="1">
      <alignment horizontal="center"/>
    </xf>
    <xf numFmtId="3" fontId="15" fillId="5" borderId="27" xfId="5" applyNumberFormat="1" applyBorder="1" applyAlignment="1">
      <alignment horizontal="center"/>
    </xf>
    <xf numFmtId="3" fontId="12" fillId="0" borderId="0" xfId="8" applyNumberFormat="1" applyFont="1" applyFill="1" applyAlignment="1">
      <alignment horizontal="center"/>
    </xf>
    <xf numFmtId="3" fontId="12" fillId="0" borderId="0" xfId="10" applyNumberFormat="1" applyFont="1" applyFill="1" applyAlignment="1">
      <alignment horizontal="center"/>
    </xf>
    <xf numFmtId="3" fontId="1" fillId="12" borderId="20" xfId="10" applyNumberFormat="1" applyBorder="1" applyAlignment="1">
      <alignment horizontal="center"/>
    </xf>
    <xf numFmtId="170" fontId="15" fillId="5" borderId="0" xfId="5" applyNumberFormat="1" applyAlignment="1">
      <alignment horizontal="center"/>
    </xf>
    <xf numFmtId="3" fontId="12" fillId="0" borderId="0" xfId="9" applyNumberFormat="1" applyFont="1" applyFill="1" applyAlignment="1">
      <alignment horizontal="center"/>
    </xf>
    <xf numFmtId="3" fontId="49" fillId="0" borderId="0" xfId="0" applyNumberFormat="1" applyFont="1" applyAlignment="1">
      <alignment horizontal="center"/>
    </xf>
    <xf numFmtId="171" fontId="24" fillId="0" borderId="0" xfId="0" applyNumberFormat="1" applyFont="1"/>
    <xf numFmtId="3" fontId="0" fillId="0" borderId="1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24" fillId="0" borderId="18" xfId="0" applyNumberFormat="1" applyFont="1" applyBorder="1"/>
    <xf numFmtId="170" fontId="23" fillId="0" borderId="27" xfId="0" applyNumberFormat="1" applyFont="1" applyFill="1" applyBorder="1" applyAlignment="1">
      <alignment horizontal="center"/>
    </xf>
    <xf numFmtId="170" fontId="23" fillId="0" borderId="0" xfId="0" applyNumberFormat="1" applyFont="1" applyFill="1" applyBorder="1" applyAlignment="1">
      <alignment horizontal="center"/>
    </xf>
    <xf numFmtId="170" fontId="23" fillId="0" borderId="20" xfId="0" applyNumberFormat="1" applyFont="1" applyFill="1" applyBorder="1" applyAlignment="1">
      <alignment horizontal="center"/>
    </xf>
    <xf numFmtId="170" fontId="23" fillId="0" borderId="28" xfId="0" applyNumberFormat="1" applyFont="1" applyBorder="1" applyAlignment="1">
      <alignment horizontal="center"/>
    </xf>
    <xf numFmtId="0" fontId="51" fillId="5" borderId="0" xfId="5" applyFont="1"/>
    <xf numFmtId="3" fontId="17" fillId="6" borderId="0" xfId="7" applyNumberFormat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3" fontId="1" fillId="7" borderId="0" xfId="8" applyNumberFormat="1" applyBorder="1" applyAlignment="1">
      <alignment horizontal="center"/>
    </xf>
    <xf numFmtId="3" fontId="12" fillId="0" borderId="20" xfId="0" applyNumberFormat="1" applyFont="1" applyFill="1" applyBorder="1" applyAlignment="1">
      <alignment horizontal="center"/>
    </xf>
    <xf numFmtId="3" fontId="12" fillId="0" borderId="12" xfId="0" applyNumberFormat="1" applyFont="1" applyFill="1" applyBorder="1" applyAlignment="1">
      <alignment horizontal="center"/>
    </xf>
    <xf numFmtId="3" fontId="1" fillId="13" borderId="0" xfId="13" applyNumberForma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27" xfId="0" applyNumberFormat="1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0" fontId="0" fillId="2" borderId="15" xfId="0" applyFill="1" applyBorder="1"/>
    <xf numFmtId="3" fontId="16" fillId="2" borderId="28" xfId="0" applyNumberFormat="1" applyFont="1" applyFill="1" applyBorder="1" applyAlignment="1">
      <alignment horizontal="centerContinuous"/>
    </xf>
    <xf numFmtId="3" fontId="16" fillId="2" borderId="29" xfId="0" applyNumberFormat="1" applyFont="1" applyFill="1" applyBorder="1" applyAlignment="1">
      <alignment horizontal="centerContinuous"/>
    </xf>
    <xf numFmtId="3" fontId="0" fillId="2" borderId="21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3" fontId="16" fillId="2" borderId="20" xfId="0" applyNumberFormat="1" applyFont="1" applyFill="1" applyBorder="1" applyAlignment="1">
      <alignment horizontal="center"/>
    </xf>
    <xf numFmtId="3" fontId="16" fillId="2" borderId="1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Continuous"/>
    </xf>
    <xf numFmtId="172" fontId="0" fillId="2" borderId="27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Continuous"/>
    </xf>
    <xf numFmtId="3" fontId="0" fillId="2" borderId="27" xfId="0" applyNumberForma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3" fontId="34" fillId="0" borderId="0" xfId="0" applyNumberFormat="1" applyFont="1"/>
    <xf numFmtId="0" fontId="32" fillId="0" borderId="26" xfId="0" applyFont="1" applyBorder="1" applyAlignment="1">
      <alignment horizontal="center"/>
    </xf>
    <xf numFmtId="167" fontId="32" fillId="0" borderId="16" xfId="0" applyNumberFormat="1" applyFont="1" applyBorder="1" applyAlignment="1">
      <alignment horizontal="center"/>
    </xf>
    <xf numFmtId="167" fontId="32" fillId="0" borderId="17" xfId="0" applyNumberFormat="1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167" fontId="28" fillId="0" borderId="0" xfId="0" applyNumberFormat="1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3" fontId="0" fillId="0" borderId="17" xfId="1" applyNumberFormat="1" applyFont="1" applyBorder="1" applyAlignment="1">
      <alignment horizontal="center"/>
    </xf>
    <xf numFmtId="0" fontId="16" fillId="0" borderId="27" xfId="0" applyFont="1" applyBorder="1" applyAlignment="1"/>
    <xf numFmtId="0" fontId="16" fillId="0" borderId="21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6" fillId="0" borderId="14" xfId="0" applyFont="1" applyBorder="1" applyAlignment="1"/>
    <xf numFmtId="3" fontId="0" fillId="0" borderId="15" xfId="0" applyNumberFormat="1" applyFont="1" applyBorder="1"/>
    <xf numFmtId="164" fontId="17" fillId="6" borderId="0" xfId="7" applyNumberFormat="1"/>
    <xf numFmtId="3" fontId="54" fillId="0" borderId="0" xfId="0" applyNumberFormat="1" applyFont="1"/>
    <xf numFmtId="169" fontId="0" fillId="0" borderId="0" xfId="0" applyNumberFormat="1" applyFont="1" applyAlignment="1">
      <alignment horizontal="center"/>
    </xf>
    <xf numFmtId="164" fontId="0" fillId="0" borderId="0" xfId="1" quotePrefix="1" applyNumberFormat="1" applyFont="1" applyAlignment="1">
      <alignment horizontal="center"/>
    </xf>
    <xf numFmtId="3" fontId="55" fillId="0" borderId="0" xfId="0" applyNumberFormat="1" applyFont="1" applyAlignment="1">
      <alignment horizontal="center"/>
    </xf>
    <xf numFmtId="169" fontId="55" fillId="0" borderId="0" xfId="0" applyNumberFormat="1" applyFont="1" applyAlignment="1">
      <alignment horizontal="center"/>
    </xf>
    <xf numFmtId="0" fontId="55" fillId="0" borderId="0" xfId="0" quotePrefix="1" applyFont="1" applyAlignment="1">
      <alignment horizontal="center"/>
    </xf>
    <xf numFmtId="3" fontId="0" fillId="2" borderId="17" xfId="0" applyNumberFormat="1" applyFill="1" applyBorder="1" applyAlignment="1">
      <alignment horizontal="right"/>
    </xf>
    <xf numFmtId="164" fontId="0" fillId="2" borderId="27" xfId="1" applyNumberFormat="1" applyFont="1" applyFill="1" applyBorder="1"/>
    <xf numFmtId="0" fontId="17" fillId="6" borderId="13" xfId="7" applyBorder="1" applyAlignment="1">
      <alignment horizontal="centerContinuous"/>
    </xf>
    <xf numFmtId="0" fontId="17" fillId="6" borderId="29" xfId="7" applyBorder="1" applyAlignment="1">
      <alignment horizontal="centerContinuous"/>
    </xf>
    <xf numFmtId="9" fontId="0" fillId="2" borderId="16" xfId="1" applyFont="1" applyFill="1" applyBorder="1" applyAlignment="1">
      <alignment horizontal="left"/>
    </xf>
    <xf numFmtId="3" fontId="6" fillId="0" borderId="0" xfId="0" applyNumberFormat="1" applyFont="1" applyAlignment="1">
      <alignment horizontal="right"/>
    </xf>
    <xf numFmtId="0" fontId="17" fillId="6" borderId="20" xfId="7" applyBorder="1" applyAlignment="1">
      <alignment horizontal="center"/>
    </xf>
    <xf numFmtId="0" fontId="0" fillId="0" borderId="20" xfId="0" applyFont="1" applyBorder="1" applyAlignment="1">
      <alignment horizontal="centerContinuous"/>
    </xf>
    <xf numFmtId="0" fontId="0" fillId="0" borderId="20" xfId="0" applyFont="1" applyBorder="1" applyAlignment="1">
      <alignment horizontal="left"/>
    </xf>
    <xf numFmtId="4" fontId="17" fillId="6" borderId="20" xfId="7" applyNumberFormat="1" applyBorder="1"/>
    <xf numFmtId="0" fontId="0" fillId="0" borderId="0" xfId="0" applyFont="1" applyAlignment="1">
      <alignment horizontal="left"/>
    </xf>
    <xf numFmtId="4" fontId="1" fillId="7" borderId="0" xfId="8" applyNumberFormat="1"/>
    <xf numFmtId="0" fontId="1" fillId="7" borderId="20" xfId="8" applyBorder="1" applyAlignment="1">
      <alignment horizontal="center"/>
    </xf>
    <xf numFmtId="3" fontId="0" fillId="0" borderId="20" xfId="0" applyNumberFormat="1" applyFont="1" applyBorder="1" applyAlignment="1">
      <alignment horizontal="centerContinuous"/>
    </xf>
    <xf numFmtId="3" fontId="0" fillId="0" borderId="20" xfId="0" applyNumberFormat="1" applyFont="1" applyBorder="1" applyAlignment="1">
      <alignment horizontal="left"/>
    </xf>
    <xf numFmtId="4" fontId="1" fillId="7" borderId="20" xfId="8" applyNumberFormat="1" applyBorder="1"/>
    <xf numFmtId="0" fontId="0" fillId="17" borderId="0" xfId="14" applyFont="1" applyAlignment="1">
      <alignment horizontal="center"/>
    </xf>
    <xf numFmtId="4" fontId="0" fillId="8" borderId="0" xfId="0" applyNumberFormat="1" applyFont="1" applyFill="1"/>
    <xf numFmtId="0" fontId="1" fillId="13" borderId="20" xfId="13" applyBorder="1" applyAlignment="1">
      <alignment horizontal="center"/>
    </xf>
    <xf numFmtId="4" fontId="1" fillId="13" borderId="20" xfId="13" applyNumberFormat="1" applyBorder="1"/>
    <xf numFmtId="4" fontId="12" fillId="0" borderId="17" xfId="4" applyNumberFormat="1" applyFont="1" applyFill="1" applyBorder="1" applyAlignment="1">
      <alignment horizontal="center"/>
    </xf>
    <xf numFmtId="3" fontId="3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4" fontId="14" fillId="4" borderId="1" xfId="4" applyNumberFormat="1" applyBorder="1"/>
    <xf numFmtId="3" fontId="2" fillId="0" borderId="17" xfId="0" applyNumberFormat="1" applyFont="1" applyBorder="1" applyAlignment="1">
      <alignment horizontal="centerContinuous"/>
    </xf>
    <xf numFmtId="3" fontId="0" fillId="0" borderId="26" xfId="0" applyNumberFormat="1" applyFont="1" applyBorder="1" applyAlignment="1">
      <alignment horizontal="centerContinuous"/>
    </xf>
    <xf numFmtId="3" fontId="28" fillId="0" borderId="17" xfId="0" applyNumberFormat="1" applyFont="1" applyBorder="1" applyAlignment="1">
      <alignment horizontal="center"/>
    </xf>
    <xf numFmtId="3" fontId="0" fillId="0" borderId="21" xfId="0" applyNumberFormat="1" applyFont="1" applyBorder="1"/>
    <xf numFmtId="3" fontId="25" fillId="0" borderId="0" xfId="0" applyNumberFormat="1" applyFont="1" applyBorder="1" applyAlignment="1">
      <alignment horizontal="center"/>
    </xf>
    <xf numFmtId="3" fontId="25" fillId="0" borderId="27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center"/>
    </xf>
    <xf numFmtId="3" fontId="0" fillId="0" borderId="14" xfId="0" applyNumberFormat="1" applyFont="1" applyBorder="1"/>
    <xf numFmtId="3" fontId="25" fillId="0" borderId="20" xfId="0" applyNumberFormat="1" applyFont="1" applyBorder="1" applyAlignment="1">
      <alignment horizontal="center"/>
    </xf>
    <xf numFmtId="3" fontId="0" fillId="0" borderId="20" xfId="0" quotePrefix="1" applyNumberFormat="1" applyFont="1" applyBorder="1"/>
    <xf numFmtId="0" fontId="0" fillId="0" borderId="27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4" fontId="17" fillId="6" borderId="1" xfId="7" applyNumberFormat="1" applyBorder="1" applyAlignment="1">
      <alignment horizontal="center"/>
    </xf>
    <xf numFmtId="170" fontId="0" fillId="0" borderId="0" xfId="0" applyNumberFormat="1" applyFont="1" applyAlignment="1">
      <alignment horizontal="left"/>
    </xf>
    <xf numFmtId="4" fontId="23" fillId="0" borderId="0" xfId="0" applyNumberFormat="1" applyFont="1" applyAlignment="1">
      <alignment horizontal="left"/>
    </xf>
    <xf numFmtId="166" fontId="0" fillId="0" borderId="0" xfId="0" applyNumberFormat="1" applyFont="1" applyAlignment="1">
      <alignment horizontal="left"/>
    </xf>
    <xf numFmtId="4" fontId="1" fillId="7" borderId="0" xfId="8" applyNumberFormat="1" applyAlignment="1">
      <alignment horizontal="left"/>
    </xf>
    <xf numFmtId="3" fontId="0" fillId="0" borderId="20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173" fontId="38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center"/>
    </xf>
    <xf numFmtId="3" fontId="0" fillId="8" borderId="0" xfId="8" applyNumberFormat="1" applyFont="1" applyFill="1" applyAlignment="1">
      <alignment horizontal="center"/>
    </xf>
    <xf numFmtId="4" fontId="0" fillId="8" borderId="0" xfId="0" applyNumberFormat="1" applyFont="1" applyFill="1" applyAlignment="1">
      <alignment horizontal="left"/>
    </xf>
    <xf numFmtId="4" fontId="0" fillId="0" borderId="0" xfId="0" applyNumberFormat="1" applyFont="1" applyAlignment="1">
      <alignment horizontal="left"/>
    </xf>
    <xf numFmtId="4" fontId="1" fillId="13" borderId="0" xfId="13" applyNumberFormat="1" applyAlignment="1">
      <alignment horizontal="left"/>
    </xf>
    <xf numFmtId="3" fontId="0" fillId="8" borderId="0" xfId="0" applyNumberFormat="1" applyFont="1" applyFill="1"/>
    <xf numFmtId="0" fontId="0" fillId="2" borderId="13" xfId="0" applyFill="1" applyBorder="1"/>
    <xf numFmtId="0" fontId="0" fillId="2" borderId="1" xfId="0" applyFont="1" applyFill="1" applyBorder="1"/>
    <xf numFmtId="0" fontId="6" fillId="2" borderId="0" xfId="0" applyFont="1" applyFill="1" applyAlignment="1">
      <alignment horizontal="center"/>
    </xf>
    <xf numFmtId="0" fontId="0" fillId="2" borderId="16" xfId="0" applyFill="1" applyBorder="1"/>
    <xf numFmtId="166" fontId="0" fillId="2" borderId="26" xfId="0" applyNumberFormat="1" applyFill="1" applyBorder="1" applyAlignment="1">
      <alignment horizontal="right"/>
    </xf>
    <xf numFmtId="0" fontId="0" fillId="2" borderId="18" xfId="0" applyFill="1" applyBorder="1"/>
    <xf numFmtId="0" fontId="0" fillId="2" borderId="0" xfId="0" applyFill="1" applyBorder="1"/>
    <xf numFmtId="0" fontId="0" fillId="2" borderId="19" xfId="0" applyFill="1" applyBorder="1"/>
    <xf numFmtId="44" fontId="0" fillId="2" borderId="12" xfId="6" applyFont="1" applyFill="1" applyBorder="1"/>
    <xf numFmtId="0" fontId="6" fillId="2" borderId="0" xfId="0" applyFont="1" applyFill="1"/>
    <xf numFmtId="0" fontId="0" fillId="2" borderId="20" xfId="0" applyFill="1" applyBorder="1"/>
    <xf numFmtId="0" fontId="0" fillId="2" borderId="16" xfId="0" applyFont="1" applyFill="1" applyBorder="1"/>
    <xf numFmtId="164" fontId="0" fillId="2" borderId="26" xfId="1" applyNumberFormat="1" applyFont="1" applyFill="1" applyBorder="1" applyAlignment="1">
      <alignment horizontal="center"/>
    </xf>
    <xf numFmtId="0" fontId="0" fillId="2" borderId="19" xfId="0" applyFont="1" applyFill="1" applyBorder="1"/>
    <xf numFmtId="164" fontId="0" fillId="2" borderId="12" xfId="1" applyNumberFormat="1" applyFont="1" applyFill="1" applyBorder="1" applyAlignment="1">
      <alignment horizontal="center"/>
    </xf>
    <xf numFmtId="0" fontId="0" fillId="2" borderId="18" xfId="0" applyFont="1" applyFill="1" applyBorder="1"/>
    <xf numFmtId="0" fontId="6" fillId="2" borderId="27" xfId="0" applyFont="1" applyFill="1" applyBorder="1"/>
    <xf numFmtId="164" fontId="0" fillId="2" borderId="27" xfId="1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28" xfId="0" applyFont="1" applyFill="1" applyBorder="1"/>
    <xf numFmtId="4" fontId="0" fillId="2" borderId="29" xfId="0" applyNumberFormat="1" applyFont="1" applyFill="1" applyBorder="1"/>
    <xf numFmtId="3" fontId="6" fillId="2" borderId="0" xfId="0" applyNumberFormat="1" applyFont="1" applyFill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2" fontId="0" fillId="2" borderId="0" xfId="0" applyNumberFormat="1" applyFill="1" applyBorder="1" applyAlignment="1">
      <alignment horizontal="center"/>
    </xf>
    <xf numFmtId="166" fontId="0" fillId="2" borderId="27" xfId="0" applyNumberFormat="1" applyFill="1" applyBorder="1" applyAlignment="1">
      <alignment horizontal="center"/>
    </xf>
    <xf numFmtId="173" fontId="0" fillId="2" borderId="27" xfId="6" applyNumberFormat="1" applyFont="1" applyFill="1" applyBorder="1" applyAlignment="1">
      <alignment horizontal="center"/>
    </xf>
    <xf numFmtId="173" fontId="38" fillId="2" borderId="27" xfId="6" applyNumberFormat="1" applyFont="1" applyFill="1" applyBorder="1" applyAlignment="1">
      <alignment horizontal="center"/>
    </xf>
    <xf numFmtId="173" fontId="39" fillId="2" borderId="12" xfId="6" applyNumberFormat="1" applyFont="1" applyFill="1" applyBorder="1" applyAlignment="1">
      <alignment horizontal="center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3" fontId="2" fillId="2" borderId="0" xfId="0" applyNumberFormat="1" applyFont="1" applyFill="1" applyAlignment="1">
      <alignment horizontal="left"/>
    </xf>
    <xf numFmtId="0" fontId="2" fillId="2" borderId="0" xfId="0" applyFont="1" applyFill="1"/>
    <xf numFmtId="3" fontId="0" fillId="0" borderId="33" xfId="0" applyNumberFormat="1" applyFont="1" applyBorder="1"/>
    <xf numFmtId="3" fontId="12" fillId="0" borderId="0" xfId="0" applyNumberFormat="1" applyFont="1" applyAlignment="1">
      <alignment horizontal="centerContinuous"/>
    </xf>
    <xf numFmtId="3" fontId="0" fillId="0" borderId="34" xfId="0" applyNumberFormat="1" applyFont="1" applyBorder="1"/>
    <xf numFmtId="0" fontId="0" fillId="0" borderId="35" xfId="0" applyFont="1" applyBorder="1"/>
    <xf numFmtId="3" fontId="0" fillId="0" borderId="35" xfId="0" applyNumberFormat="1" applyFont="1" applyBorder="1"/>
    <xf numFmtId="3" fontId="2" fillId="2" borderId="0" xfId="0" applyNumberFormat="1" applyFont="1" applyFill="1" applyBorder="1"/>
    <xf numFmtId="0" fontId="0" fillId="2" borderId="28" xfId="0" quotePrefix="1" applyNumberFormat="1" applyFont="1" applyFill="1" applyBorder="1" applyAlignment="1">
      <alignment horizontal="center"/>
    </xf>
    <xf numFmtId="0" fontId="0" fillId="2" borderId="29" xfId="0" quotePrefix="1" applyNumberFormat="1" applyFont="1" applyFill="1" applyBorder="1" applyAlignment="1">
      <alignment horizontal="center"/>
    </xf>
    <xf numFmtId="3" fontId="12" fillId="2" borderId="28" xfId="0" applyNumberFormat="1" applyFont="1" applyFill="1" applyBorder="1" applyAlignment="1">
      <alignment horizontal="left"/>
    </xf>
    <xf numFmtId="171" fontId="17" fillId="6" borderId="0" xfId="7" applyNumberFormat="1" applyAlignment="1">
      <alignment horizontal="center"/>
    </xf>
    <xf numFmtId="3" fontId="0" fillId="2" borderId="18" xfId="0" applyNumberFormat="1" applyFont="1" applyFill="1" applyBorder="1" applyAlignment="1">
      <alignment horizontal="center"/>
    </xf>
    <xf numFmtId="3" fontId="5" fillId="2" borderId="18" xfId="0" applyNumberFormat="1" applyFont="1" applyFill="1" applyBorder="1" applyAlignment="1">
      <alignment horizontal="center"/>
    </xf>
    <xf numFmtId="9" fontId="5" fillId="2" borderId="17" xfId="1" applyFont="1" applyFill="1" applyBorder="1" applyAlignment="1">
      <alignment horizontal="center"/>
    </xf>
    <xf numFmtId="171" fontId="1" fillId="18" borderId="0" xfId="15" applyNumberFormat="1" applyAlignment="1">
      <alignment horizontal="center"/>
    </xf>
    <xf numFmtId="171" fontId="14" fillId="4" borderId="0" xfId="4" applyNumberFormat="1" applyBorder="1" applyAlignment="1">
      <alignment horizontal="center"/>
    </xf>
    <xf numFmtId="166" fontId="0" fillId="0" borderId="27" xfId="1" applyNumberFormat="1" applyFont="1" applyBorder="1" applyAlignment="1">
      <alignment horizontal="center"/>
    </xf>
    <xf numFmtId="171" fontId="14" fillId="4" borderId="20" xfId="4" applyNumberFormat="1" applyBorder="1" applyAlignment="1">
      <alignment horizontal="center"/>
    </xf>
    <xf numFmtId="3" fontId="12" fillId="0" borderId="0" xfId="0" applyNumberFormat="1" applyFont="1" applyFill="1" applyBorder="1"/>
    <xf numFmtId="3" fontId="12" fillId="0" borderId="27" xfId="0" applyNumberFormat="1" applyFont="1" applyFill="1" applyBorder="1"/>
    <xf numFmtId="3" fontId="12" fillId="0" borderId="20" xfId="0" applyNumberFormat="1" applyFont="1" applyFill="1" applyBorder="1"/>
    <xf numFmtId="3" fontId="12" fillId="0" borderId="12" xfId="0" applyNumberFormat="1" applyFont="1" applyFill="1" applyBorder="1"/>
    <xf numFmtId="3" fontId="0" fillId="0" borderId="28" xfId="0" quotePrefix="1" applyNumberFormat="1" applyFont="1" applyBorder="1" applyAlignment="1">
      <alignment horizontal="center"/>
    </xf>
    <xf numFmtId="170" fontId="0" fillId="0" borderId="0" xfId="0" applyNumberFormat="1" applyFont="1" applyFill="1" applyBorder="1"/>
    <xf numFmtId="170" fontId="0" fillId="0" borderId="27" xfId="0" applyNumberFormat="1" applyFont="1" applyFill="1" applyBorder="1"/>
    <xf numFmtId="170" fontId="0" fillId="0" borderId="20" xfId="0" applyNumberFormat="1" applyFont="1" applyFill="1" applyBorder="1"/>
    <xf numFmtId="170" fontId="0" fillId="0" borderId="12" xfId="0" applyNumberFormat="1" applyFont="1" applyFill="1" applyBorder="1"/>
    <xf numFmtId="170" fontId="5" fillId="0" borderId="0" xfId="0" applyNumberFormat="1" applyFont="1"/>
    <xf numFmtId="0" fontId="2" fillId="0" borderId="1" xfId="0" applyFont="1" applyBorder="1" applyAlignment="1">
      <alignment horizontal="center"/>
    </xf>
    <xf numFmtId="170" fontId="1" fillId="7" borderId="28" xfId="8" applyNumberFormat="1" applyBorder="1"/>
    <xf numFmtId="170" fontId="1" fillId="7" borderId="29" xfId="8" applyNumberFormat="1" applyBorder="1"/>
    <xf numFmtId="3" fontId="2" fillId="0" borderId="28" xfId="0" applyNumberFormat="1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170" fontId="1" fillId="7" borderId="20" xfId="8" applyNumberFormat="1" applyBorder="1" applyAlignment="1">
      <alignment horizontal="center"/>
    </xf>
    <xf numFmtId="0" fontId="0" fillId="0" borderId="0" xfId="0" quotePrefix="1" applyFont="1"/>
    <xf numFmtId="0" fontId="0" fillId="0" borderId="20" xfId="0" quotePrefix="1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164" fontId="14" fillId="4" borderId="0" xfId="4" applyNumberFormat="1" applyAlignment="1">
      <alignment horizontal="center"/>
    </xf>
    <xf numFmtId="164" fontId="0" fillId="0" borderId="20" xfId="0" applyNumberFormat="1" applyFont="1" applyBorder="1" applyAlignment="1">
      <alignment horizontal="center"/>
    </xf>
    <xf numFmtId="166" fontId="0" fillId="0" borderId="2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23" fillId="0" borderId="0" xfId="0" applyFont="1" applyAlignment="1">
      <alignment horizontal="centerContinuous"/>
    </xf>
    <xf numFmtId="3" fontId="0" fillId="0" borderId="36" xfId="0" applyNumberFormat="1" applyFont="1" applyBorder="1"/>
    <xf numFmtId="3" fontId="28" fillId="0" borderId="0" xfId="0" applyNumberFormat="1" applyFont="1" applyAlignment="1">
      <alignment horizontal="centerContinuous"/>
    </xf>
    <xf numFmtId="3" fontId="0" fillId="0" borderId="37" xfId="0" applyNumberFormat="1" applyFont="1" applyBorder="1"/>
    <xf numFmtId="3" fontId="12" fillId="0" borderId="34" xfId="0" applyNumberFormat="1" applyFont="1" applyBorder="1" applyAlignment="1">
      <alignment horizontal="centerContinuous"/>
    </xf>
    <xf numFmtId="0" fontId="0" fillId="0" borderId="38" xfId="0" applyFont="1" applyBorder="1"/>
    <xf numFmtId="3" fontId="16" fillId="0" borderId="0" xfId="0" applyNumberFormat="1" applyFont="1" applyAlignment="1">
      <alignment horizontal="centerContinuous"/>
    </xf>
    <xf numFmtId="3" fontId="0" fillId="0" borderId="0" xfId="0" applyNumberFormat="1" applyFont="1" applyAlignment="1"/>
    <xf numFmtId="9" fontId="16" fillId="0" borderId="0" xfId="1" applyFont="1" applyAlignment="1">
      <alignment horizontal="centerContinuous"/>
    </xf>
    <xf numFmtId="3" fontId="16" fillId="0" borderId="0" xfId="0" applyNumberFormat="1" applyFont="1" applyAlignment="1"/>
    <xf numFmtId="3" fontId="21" fillId="19" borderId="30" xfId="0" applyNumberFormat="1" applyFont="1" applyFill="1" applyBorder="1" applyAlignment="1">
      <alignment vertical="center"/>
    </xf>
    <xf numFmtId="174" fontId="12" fillId="2" borderId="0" xfId="0" applyNumberFormat="1" applyFont="1" applyFill="1" applyBorder="1" applyProtection="1"/>
    <xf numFmtId="0" fontId="12" fillId="2" borderId="0" xfId="0" quotePrefix="1" applyFont="1" applyFill="1" applyBorder="1" applyProtection="1"/>
    <xf numFmtId="3" fontId="12" fillId="2" borderId="0" xfId="0" applyNumberFormat="1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/>
    </xf>
    <xf numFmtId="0" fontId="12" fillId="20" borderId="15" xfId="0" applyFont="1" applyFill="1" applyBorder="1" applyProtection="1"/>
    <xf numFmtId="0" fontId="12" fillId="20" borderId="21" xfId="0" applyFont="1" applyFill="1" applyBorder="1" applyProtection="1"/>
    <xf numFmtId="0" fontId="12" fillId="20" borderId="14" xfId="0" applyFont="1" applyFill="1" applyBorder="1" applyProtection="1"/>
    <xf numFmtId="0" fontId="12" fillId="20" borderId="21" xfId="0" applyFont="1" applyFill="1" applyBorder="1" applyAlignment="1" applyProtection="1">
      <alignment horizontal="center"/>
    </xf>
    <xf numFmtId="46" fontId="12" fillId="2" borderId="18" xfId="0" quotePrefix="1" applyNumberFormat="1" applyFont="1" applyFill="1" applyBorder="1" applyAlignment="1" applyProtection="1">
      <alignment horizontal="center"/>
    </xf>
    <xf numFmtId="0" fontId="12" fillId="2" borderId="18" xfId="0" quotePrefix="1" applyFont="1" applyFill="1" applyBorder="1" applyAlignment="1" applyProtection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7" fillId="2" borderId="4" xfId="2" quotePrefix="1" applyFont="1" applyFill="1" applyBorder="1" applyAlignment="1" applyProtection="1">
      <alignment horizontal="right"/>
    </xf>
    <xf numFmtId="0" fontId="7" fillId="0" borderId="5" xfId="2" applyFont="1" applyBorder="1" applyAlignment="1">
      <alignment horizontal="right"/>
    </xf>
    <xf numFmtId="3" fontId="2" fillId="0" borderId="13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170" fontId="5" fillId="0" borderId="16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170" fontId="5" fillId="0" borderId="19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170" fontId="5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170" fontId="5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16" fontId="0" fillId="2" borderId="0" xfId="0" quotePrefix="1" applyNumberFormat="1" applyFill="1" applyBorder="1" applyAlignment="1">
      <alignment horizontal="center"/>
    </xf>
    <xf numFmtId="0" fontId="0" fillId="2" borderId="0" xfId="0" quotePrefix="1" applyFill="1" applyBorder="1" applyAlignment="1">
      <alignment horizontal="center"/>
    </xf>
    <xf numFmtId="0" fontId="7" fillId="2" borderId="5" xfId="2" quotePrefix="1" applyFont="1" applyFill="1" applyBorder="1" applyAlignment="1" applyProtection="1">
      <alignment horizontal="right"/>
    </xf>
  </cellXfs>
  <cellStyles count="16">
    <cellStyle name="40% - Accent1" xfId="8" builtinId="31"/>
    <cellStyle name="40% - Accent2" xfId="13" builtinId="35"/>
    <cellStyle name="40% - Accent3" xfId="14" builtinId="39"/>
    <cellStyle name="40% - Accent4" xfId="9" builtinId="43"/>
    <cellStyle name="40% - Accent5" xfId="15" builtinId="47"/>
    <cellStyle name="40% - Accent6" xfId="10" builtinId="51"/>
    <cellStyle name="Bad" xfId="5" builtinId="27"/>
    <cellStyle name="Currency" xfId="6" builtinId="4"/>
    <cellStyle name="Currency 2" xfId="11"/>
    <cellStyle name="Good" xfId="4" builtinId="26"/>
    <cellStyle name="Hyperlink" xfId="2" builtinId="8"/>
    <cellStyle name="Neutral" xfId="7" builtinId="28"/>
    <cellStyle name="Normal" xfId="0" builtinId="0"/>
    <cellStyle name="Normal 2" xfId="3"/>
    <cellStyle name="Normal 2 3" xfId="12"/>
    <cellStyle name="Percent" xfId="1" builtinId="5"/>
  </cellStyles>
  <dxfs count="10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485776</xdr:colOff>
      <xdr:row>5</xdr:row>
      <xdr:rowOff>104776</xdr:rowOff>
    </xdr:from>
    <xdr:to>
      <xdr:col>21</xdr:col>
      <xdr:colOff>19050</xdr:colOff>
      <xdr:row>15</xdr:row>
      <xdr:rowOff>170881</xdr:rowOff>
    </xdr:to>
    <xdr:pic>
      <xdr:nvPicPr>
        <xdr:cNvPr id="3" name="Picture 2" descr="rate change diagram not foun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6" y="1057276"/>
          <a:ext cx="6238874" cy="1990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</xdr:colOff>
      <xdr:row>12</xdr:row>
      <xdr:rowOff>10583</xdr:rowOff>
    </xdr:from>
    <xdr:to>
      <xdr:col>27</xdr:col>
      <xdr:colOff>0</xdr:colOff>
      <xdr:row>24</xdr:row>
      <xdr:rowOff>1</xdr:rowOff>
    </xdr:to>
    <xdr:cxnSp macro="">
      <xdr:nvCxnSpPr>
        <xdr:cNvPr id="10" name="Straight Connector 9"/>
        <xdr:cNvCxnSpPr/>
      </xdr:nvCxnSpPr>
      <xdr:spPr>
        <a:xfrm flipV="1">
          <a:off x="14108641" y="2487083"/>
          <a:ext cx="2417234" cy="227541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243419</xdr:colOff>
      <xdr:row>16</xdr:row>
      <xdr:rowOff>74084</xdr:rowOff>
    </xdr:from>
    <xdr:to>
      <xdr:col>17</xdr:col>
      <xdr:colOff>232835</xdr:colOff>
      <xdr:row>18</xdr:row>
      <xdr:rowOff>179917</xdr:rowOff>
    </xdr:to>
    <xdr:sp macro="" textlink="">
      <xdr:nvSpPr>
        <xdr:cNvPr id="11" name="TextBox 10"/>
        <xdr:cNvSpPr txBox="1"/>
      </xdr:nvSpPr>
      <xdr:spPr>
        <a:xfrm>
          <a:off x="9806519" y="3312584"/>
          <a:ext cx="599016" cy="486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2400"/>
            <a:t>A1</a:t>
          </a:r>
        </a:p>
      </xdr:txBody>
    </xdr:sp>
    <xdr:clientData/>
  </xdr:twoCellAnchor>
  <xdr:twoCellAnchor>
    <xdr:from>
      <xdr:col>18</xdr:col>
      <xdr:colOff>116416</xdr:colOff>
      <xdr:row>21</xdr:row>
      <xdr:rowOff>74083</xdr:rowOff>
    </xdr:from>
    <xdr:to>
      <xdr:col>18</xdr:col>
      <xdr:colOff>465666</xdr:colOff>
      <xdr:row>23</xdr:row>
      <xdr:rowOff>42333</xdr:rowOff>
    </xdr:to>
    <xdr:sp macro="" textlink="">
      <xdr:nvSpPr>
        <xdr:cNvPr id="12" name="TextBox 11"/>
        <xdr:cNvSpPr txBox="1"/>
      </xdr:nvSpPr>
      <xdr:spPr>
        <a:xfrm>
          <a:off x="10898716" y="4265083"/>
          <a:ext cx="349250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/>
            <a:t>A2</a:t>
          </a:r>
        </a:p>
      </xdr:txBody>
    </xdr:sp>
    <xdr:clientData/>
  </xdr:twoCellAnchor>
  <xdr:twoCellAnchor>
    <xdr:from>
      <xdr:col>19</xdr:col>
      <xdr:colOff>169334</xdr:colOff>
      <xdr:row>13</xdr:row>
      <xdr:rowOff>31750</xdr:rowOff>
    </xdr:from>
    <xdr:to>
      <xdr:col>19</xdr:col>
      <xdr:colOff>518584</xdr:colOff>
      <xdr:row>15</xdr:row>
      <xdr:rowOff>0</xdr:rowOff>
    </xdr:to>
    <xdr:sp macro="" textlink="">
      <xdr:nvSpPr>
        <xdr:cNvPr id="13" name="TextBox 12"/>
        <xdr:cNvSpPr txBox="1"/>
      </xdr:nvSpPr>
      <xdr:spPr>
        <a:xfrm>
          <a:off x="11637434" y="2698750"/>
          <a:ext cx="349250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/>
            <a:t>A3</a:t>
          </a:r>
        </a:p>
      </xdr:txBody>
    </xdr:sp>
    <xdr:clientData/>
  </xdr:twoCellAnchor>
  <xdr:twoCellAnchor>
    <xdr:from>
      <xdr:col>20</xdr:col>
      <xdr:colOff>444500</xdr:colOff>
      <xdr:row>16</xdr:row>
      <xdr:rowOff>105834</xdr:rowOff>
    </xdr:from>
    <xdr:to>
      <xdr:col>21</xdr:col>
      <xdr:colOff>433917</xdr:colOff>
      <xdr:row>19</xdr:row>
      <xdr:rowOff>21167</xdr:rowOff>
    </xdr:to>
    <xdr:sp macro="" textlink="">
      <xdr:nvSpPr>
        <xdr:cNvPr id="14" name="TextBox 13"/>
        <xdr:cNvSpPr txBox="1"/>
      </xdr:nvSpPr>
      <xdr:spPr>
        <a:xfrm>
          <a:off x="12522200" y="3344334"/>
          <a:ext cx="703792" cy="486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2400"/>
            <a:t>A4</a:t>
          </a:r>
        </a:p>
      </xdr:txBody>
    </xdr:sp>
    <xdr:clientData/>
  </xdr:twoCellAnchor>
  <xdr:twoCellAnchor>
    <xdr:from>
      <xdr:col>23</xdr:col>
      <xdr:colOff>433916</xdr:colOff>
      <xdr:row>14</xdr:row>
      <xdr:rowOff>74083</xdr:rowOff>
    </xdr:from>
    <xdr:to>
      <xdr:col>24</xdr:col>
      <xdr:colOff>423333</xdr:colOff>
      <xdr:row>16</xdr:row>
      <xdr:rowOff>179916</xdr:rowOff>
    </xdr:to>
    <xdr:sp macro="" textlink="">
      <xdr:nvSpPr>
        <xdr:cNvPr id="15" name="TextBox 14"/>
        <xdr:cNvSpPr txBox="1"/>
      </xdr:nvSpPr>
      <xdr:spPr>
        <a:xfrm>
          <a:off x="14521391" y="2931583"/>
          <a:ext cx="599017" cy="486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2400"/>
            <a:t>A5</a:t>
          </a:r>
        </a:p>
      </xdr:txBody>
    </xdr:sp>
    <xdr:clientData/>
  </xdr:twoCellAnchor>
  <xdr:twoCellAnchor>
    <xdr:from>
      <xdr:col>25</xdr:col>
      <xdr:colOff>296334</xdr:colOff>
      <xdr:row>18</xdr:row>
      <xdr:rowOff>179918</xdr:rowOff>
    </xdr:from>
    <xdr:to>
      <xdr:col>26</xdr:col>
      <xdr:colOff>285750</xdr:colOff>
      <xdr:row>21</xdr:row>
      <xdr:rowOff>95251</xdr:rowOff>
    </xdr:to>
    <xdr:sp macro="" textlink="">
      <xdr:nvSpPr>
        <xdr:cNvPr id="16" name="TextBox 15"/>
        <xdr:cNvSpPr txBox="1"/>
      </xdr:nvSpPr>
      <xdr:spPr>
        <a:xfrm>
          <a:off x="15603009" y="3799418"/>
          <a:ext cx="599016" cy="486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2400"/>
            <a:t>A6</a:t>
          </a:r>
        </a:p>
      </xdr:txBody>
    </xdr:sp>
    <xdr:clientData/>
  </xdr:twoCellAnchor>
  <xdr:twoCellAnchor>
    <xdr:from>
      <xdr:col>17</xdr:col>
      <xdr:colOff>0</xdr:colOff>
      <xdr:row>12</xdr:row>
      <xdr:rowOff>0</xdr:rowOff>
    </xdr:from>
    <xdr:to>
      <xdr:col>21</xdr:col>
      <xdr:colOff>21167</xdr:colOff>
      <xdr:row>23</xdr:row>
      <xdr:rowOff>179917</xdr:rowOff>
    </xdr:to>
    <xdr:cxnSp macro="">
      <xdr:nvCxnSpPr>
        <xdr:cNvPr id="17" name="Straight Connector 16"/>
        <xdr:cNvCxnSpPr/>
      </xdr:nvCxnSpPr>
      <xdr:spPr>
        <a:xfrm flipV="1">
          <a:off x="10172700" y="2476500"/>
          <a:ext cx="2640542" cy="2275417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15</xdr:row>
      <xdr:rowOff>114300</xdr:rowOff>
    </xdr:from>
    <xdr:to>
      <xdr:col>5</xdr:col>
      <xdr:colOff>371100</xdr:colOff>
      <xdr:row>16</xdr:row>
      <xdr:rowOff>114300</xdr:rowOff>
    </xdr:to>
    <xdr:cxnSp macro="">
      <xdr:nvCxnSpPr>
        <xdr:cNvPr id="3" name="Straight Connector 2"/>
        <xdr:cNvCxnSpPr/>
      </xdr:nvCxnSpPr>
      <xdr:spPr>
        <a:xfrm flipV="1">
          <a:off x="2800350" y="2990850"/>
          <a:ext cx="1476000" cy="19050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15</xdr:row>
      <xdr:rowOff>114300</xdr:rowOff>
    </xdr:from>
    <xdr:to>
      <xdr:col>7</xdr:col>
      <xdr:colOff>381000</xdr:colOff>
      <xdr:row>16</xdr:row>
      <xdr:rowOff>123825</xdr:rowOff>
    </xdr:to>
    <xdr:cxnSp macro="">
      <xdr:nvCxnSpPr>
        <xdr:cNvPr id="5" name="Straight Connector 4"/>
        <xdr:cNvCxnSpPr/>
      </xdr:nvCxnSpPr>
      <xdr:spPr>
        <a:xfrm>
          <a:off x="4276725" y="2990850"/>
          <a:ext cx="1495425" cy="2000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15</xdr:row>
      <xdr:rowOff>123825</xdr:rowOff>
    </xdr:from>
    <xdr:to>
      <xdr:col>5</xdr:col>
      <xdr:colOff>381000</xdr:colOff>
      <xdr:row>16</xdr:row>
      <xdr:rowOff>114300</xdr:rowOff>
    </xdr:to>
    <xdr:cxnSp macro="">
      <xdr:nvCxnSpPr>
        <xdr:cNvPr id="7" name="Straight Connector 6"/>
        <xdr:cNvCxnSpPr/>
      </xdr:nvCxnSpPr>
      <xdr:spPr>
        <a:xfrm>
          <a:off x="2790825" y="3000375"/>
          <a:ext cx="1495425" cy="1809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16</xdr:row>
      <xdr:rowOff>114300</xdr:rowOff>
    </xdr:from>
    <xdr:to>
      <xdr:col>7</xdr:col>
      <xdr:colOff>371475</xdr:colOff>
      <xdr:row>16</xdr:row>
      <xdr:rowOff>123825</xdr:rowOff>
    </xdr:to>
    <xdr:cxnSp macro="">
      <xdr:nvCxnSpPr>
        <xdr:cNvPr id="9" name="Straight Connector 8"/>
        <xdr:cNvCxnSpPr/>
      </xdr:nvCxnSpPr>
      <xdr:spPr>
        <a:xfrm>
          <a:off x="4276725" y="3181350"/>
          <a:ext cx="1485900" cy="95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10</xdr:row>
      <xdr:rowOff>104775</xdr:rowOff>
    </xdr:from>
    <xdr:to>
      <xdr:col>3</xdr:col>
      <xdr:colOff>295275</xdr:colOff>
      <xdr:row>10</xdr:row>
      <xdr:rowOff>104775</xdr:rowOff>
    </xdr:to>
    <xdr:cxnSp macro="">
      <xdr:nvCxnSpPr>
        <xdr:cNvPr id="11" name="Straight Connector 10"/>
        <xdr:cNvCxnSpPr/>
      </xdr:nvCxnSpPr>
      <xdr:spPr>
        <a:xfrm>
          <a:off x="2324100" y="2028825"/>
          <a:ext cx="390525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11</xdr:row>
      <xdr:rowOff>123825</xdr:rowOff>
    </xdr:from>
    <xdr:to>
      <xdr:col>3</xdr:col>
      <xdr:colOff>295275</xdr:colOff>
      <xdr:row>11</xdr:row>
      <xdr:rowOff>123825</xdr:rowOff>
    </xdr:to>
    <xdr:cxnSp macro="">
      <xdr:nvCxnSpPr>
        <xdr:cNvPr id="12" name="Straight Connector 11"/>
        <xdr:cNvCxnSpPr/>
      </xdr:nvCxnSpPr>
      <xdr:spPr>
        <a:xfrm>
          <a:off x="2324100" y="2238375"/>
          <a:ext cx="39052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95251</xdr:colOff>
      <xdr:row>13</xdr:row>
      <xdr:rowOff>127000</xdr:rowOff>
    </xdr:from>
    <xdr:to>
      <xdr:col>21</xdr:col>
      <xdr:colOff>571500</xdr:colOff>
      <xdr:row>16</xdr:row>
      <xdr:rowOff>169333</xdr:rowOff>
    </xdr:to>
    <xdr:cxnSp macro="">
      <xdr:nvCxnSpPr>
        <xdr:cNvPr id="3" name="Straight Arrow Connector 2"/>
        <xdr:cNvCxnSpPr/>
      </xdr:nvCxnSpPr>
      <xdr:spPr>
        <a:xfrm flipH="1">
          <a:off x="11525251" y="1270000"/>
          <a:ext cx="1085849" cy="61383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OneDrive/Exam%205/pratice%20exams/BA_Exam_B_01/BA_Exam5_PE_B01_(v01)_referen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oint Grid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</sheetNames>
    <sheetDataSet>
      <sheetData sheetId="0"/>
      <sheetData sheetId="1">
        <row r="8">
          <cell r="L8">
            <v>1</v>
          </cell>
          <cell r="M8" t="str">
            <v/>
          </cell>
          <cell r="T8" t="str">
            <v>General Pricing</v>
          </cell>
        </row>
        <row r="9">
          <cell r="L9">
            <v>2</v>
          </cell>
          <cell r="M9" t="str">
            <v/>
          </cell>
          <cell r="T9" t="str">
            <v>General Pricing</v>
          </cell>
        </row>
        <row r="10">
          <cell r="L10">
            <v>3</v>
          </cell>
          <cell r="M10" t="str">
            <v/>
          </cell>
          <cell r="T10" t="str">
            <v>General Reserving</v>
          </cell>
        </row>
        <row r="11">
          <cell r="L11">
            <v>4</v>
          </cell>
          <cell r="M11" t="str">
            <v/>
          </cell>
          <cell r="T11" t="str">
            <v>General Reserving</v>
          </cell>
        </row>
        <row r="12">
          <cell r="L12">
            <v>5</v>
          </cell>
          <cell r="M12" t="str">
            <v/>
          </cell>
          <cell r="T12" t="str">
            <v>Pricing - Chap 3: Data</v>
          </cell>
        </row>
        <row r="13">
          <cell r="L13">
            <v>6</v>
          </cell>
          <cell r="M13" t="str">
            <v/>
          </cell>
          <cell r="T13" t="str">
            <v>Reserving  - Chap 2: The Claims Process</v>
          </cell>
        </row>
        <row r="14">
          <cell r="L14">
            <v>7</v>
          </cell>
          <cell r="M14" t="str">
            <v/>
          </cell>
          <cell r="N14" t="str">
            <v/>
          </cell>
          <cell r="O14" t="str">
            <v/>
          </cell>
          <cell r="T14" t="str">
            <v>Pricing - Chap 3,4: Data, Exposures</v>
          </cell>
        </row>
        <row r="15">
          <cell r="L15">
            <v>8</v>
          </cell>
          <cell r="M15" t="str">
            <v/>
          </cell>
          <cell r="N15" t="str">
            <v/>
          </cell>
          <cell r="T15" t="str">
            <v>Pricing - Chap 5: Premiums</v>
          </cell>
        </row>
        <row r="16">
          <cell r="L16">
            <v>9</v>
          </cell>
          <cell r="M16" t="str">
            <v/>
          </cell>
          <cell r="N16" t="str">
            <v/>
          </cell>
          <cell r="T16" t="str">
            <v>Pricing - Chap 6: Loss &amp; LAE</v>
          </cell>
        </row>
        <row r="17">
          <cell r="L17">
            <v>10</v>
          </cell>
          <cell r="M17" t="str">
            <v/>
          </cell>
          <cell r="N17" t="str">
            <v/>
          </cell>
          <cell r="T17" t="str">
            <v>Pricing - Chap 7: Other Expenses</v>
          </cell>
        </row>
        <row r="18">
          <cell r="L18">
            <v>11</v>
          </cell>
          <cell r="M18" t="str">
            <v/>
          </cell>
          <cell r="N18" t="str">
            <v/>
          </cell>
          <cell r="O18" t="str">
            <v/>
          </cell>
          <cell r="T18" t="str">
            <v>Pricing - Chap 8: Indication</v>
          </cell>
        </row>
        <row r="19">
          <cell r="L19">
            <v>12</v>
          </cell>
          <cell r="M19" t="str">
            <v/>
          </cell>
          <cell r="T19" t="str">
            <v>Pricing - Werner Appendix B: Homeowners</v>
          </cell>
        </row>
        <row r="20">
          <cell r="L20">
            <v>13</v>
          </cell>
          <cell r="M20" t="str">
            <v/>
          </cell>
          <cell r="T20" t="str">
            <v>Pricing - Chap 9: Risk Classification</v>
          </cell>
        </row>
        <row r="21">
          <cell r="L21">
            <v>14</v>
          </cell>
          <cell r="M21" t="str">
            <v/>
          </cell>
          <cell r="N21" t="str">
            <v/>
          </cell>
          <cell r="T21" t="str">
            <v>Pricing - Chap 10: Multivariate Analysis</v>
          </cell>
        </row>
        <row r="22">
          <cell r="L22">
            <v>15</v>
          </cell>
          <cell r="M22" t="str">
            <v/>
          </cell>
          <cell r="N22" t="str">
            <v/>
          </cell>
          <cell r="T22" t="str">
            <v>Pricing - Chap 11: Special Classification</v>
          </cell>
        </row>
        <row r="23">
          <cell r="L23">
            <v>16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T23" t="str">
            <v>Pricing - Chap 11: Special Classification</v>
          </cell>
        </row>
        <row r="24">
          <cell r="L24">
            <v>17</v>
          </cell>
          <cell r="M24" t="str">
            <v/>
          </cell>
          <cell r="N24" t="str">
            <v/>
          </cell>
          <cell r="O24" t="str">
            <v/>
          </cell>
          <cell r="T24" t="str">
            <v>Pricing - Chap 14: Implementation</v>
          </cell>
        </row>
        <row r="25">
          <cell r="L25">
            <v>18</v>
          </cell>
          <cell r="M25" t="str">
            <v/>
          </cell>
          <cell r="T25" t="str">
            <v>Pricing - Chap 15: Commercial Ratemaking</v>
          </cell>
        </row>
        <row r="26">
          <cell r="L26">
            <v>19</v>
          </cell>
          <cell r="M26" t="str">
            <v/>
          </cell>
          <cell r="T26" t="str">
            <v>Reserving - Chap 1: Overview</v>
          </cell>
        </row>
        <row r="27">
          <cell r="L27">
            <v>20</v>
          </cell>
          <cell r="M27" t="str">
            <v/>
          </cell>
          <cell r="T27" t="str">
            <v>Reserving - Chap 5: Triangles</v>
          </cell>
        </row>
        <row r="28">
          <cell r="L28">
            <v>21</v>
          </cell>
          <cell r="M28" t="str">
            <v/>
          </cell>
          <cell r="T28" t="str">
            <v>Reserving - Chap 7: Development Method</v>
          </cell>
        </row>
        <row r="29">
          <cell r="L29">
            <v>22</v>
          </cell>
          <cell r="M29" t="str">
            <v/>
          </cell>
          <cell r="N29" t="str">
            <v/>
          </cell>
          <cell r="T29" t="str">
            <v>Reserving - Chap 9: Bornhuetter Ferguson Method</v>
          </cell>
        </row>
        <row r="30">
          <cell r="L30">
            <v>23</v>
          </cell>
          <cell r="M30" t="str">
            <v/>
          </cell>
          <cell r="N30" t="str">
            <v/>
          </cell>
          <cell r="T30" t="str">
            <v>Reserving - Chap 10: Cape Cod Method</v>
          </cell>
        </row>
        <row r="31">
          <cell r="L31">
            <v>24</v>
          </cell>
          <cell r="M31" t="str">
            <v/>
          </cell>
          <cell r="N31" t="str">
            <v/>
          </cell>
          <cell r="T31" t="str">
            <v>Reserving - Chap 11: Frequency/Severity Methods</v>
          </cell>
        </row>
        <row r="32">
          <cell r="L32">
            <v>25</v>
          </cell>
          <cell r="M32" t="str">
            <v/>
          </cell>
          <cell r="N32" t="str">
            <v/>
          </cell>
          <cell r="T32" t="str">
            <v>Reserving - Chap 12: Case O/S Methods</v>
          </cell>
        </row>
        <row r="33">
          <cell r="L33">
            <v>26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T33" t="str">
            <v>Reserving - Chap 13: Berquist-Sherman Methods</v>
          </cell>
        </row>
        <row r="34">
          <cell r="L34">
            <v>27</v>
          </cell>
          <cell r="M34" t="str">
            <v/>
          </cell>
          <cell r="T34" t="str">
            <v>Reserving - Chap 14: Recoveries</v>
          </cell>
        </row>
        <row r="35">
          <cell r="L35">
            <v>28</v>
          </cell>
          <cell r="M35" t="str">
            <v/>
          </cell>
          <cell r="N35" t="str">
            <v/>
          </cell>
          <cell r="O35" t="str">
            <v/>
          </cell>
          <cell r="T35" t="str">
            <v>Reserving - Chap 15: Evaluation of Methods</v>
          </cell>
        </row>
        <row r="36">
          <cell r="L36">
            <v>29</v>
          </cell>
          <cell r="M36" t="str">
            <v/>
          </cell>
          <cell r="T36" t="str">
            <v>Reserving - Chap 16: ALAE</v>
          </cell>
        </row>
        <row r="37">
          <cell r="L37">
            <v>30</v>
          </cell>
          <cell r="M37" t="str">
            <v/>
          </cell>
          <cell r="N37" t="str">
            <v/>
          </cell>
          <cell r="T37" t="str">
            <v>Reserving - Chap 17: ULAE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>
      <selection activeCell="A7" sqref="A7"/>
    </sheetView>
  </sheetViews>
  <sheetFormatPr defaultRowHeight="15"/>
  <cols>
    <col min="1" max="11" width="9.140625" style="35"/>
    <col min="12" max="12" width="7" style="35" customWidth="1"/>
    <col min="13" max="13" width="12.42578125" style="35" customWidth="1"/>
    <col min="14" max="16384" width="9.140625" style="35"/>
  </cols>
  <sheetData>
    <row r="6" spans="1:13" ht="21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>
      <c r="A8" s="35" t="s">
        <v>16</v>
      </c>
    </row>
    <row r="10" spans="1:13">
      <c r="A10" s="35" t="s">
        <v>28</v>
      </c>
    </row>
    <row r="12" spans="1:13">
      <c r="A12" s="35" t="s">
        <v>17</v>
      </c>
    </row>
    <row r="14" spans="1:13">
      <c r="A14" s="35" t="s">
        <v>29</v>
      </c>
    </row>
    <row r="15" spans="1:13">
      <c r="A15" s="35" t="s">
        <v>18</v>
      </c>
    </row>
    <row r="17" spans="1:13">
      <c r="A17" s="35" t="s">
        <v>19</v>
      </c>
    </row>
    <row r="18" spans="1:13">
      <c r="A18" s="35" t="s">
        <v>30</v>
      </c>
    </row>
    <row r="19" spans="1:13">
      <c r="A19" s="35" t="s">
        <v>31</v>
      </c>
    </row>
    <row r="20" spans="1:13" ht="15.75" thickBot="1"/>
    <row r="21" spans="1:13" ht="15.75" thickBot="1">
      <c r="A21" s="35" t="s">
        <v>22</v>
      </c>
      <c r="M21" s="5"/>
    </row>
    <row r="23" spans="1:13">
      <c r="A23" s="35" t="s">
        <v>32</v>
      </c>
    </row>
    <row r="25" spans="1:13">
      <c r="A25" s="35" t="s">
        <v>20</v>
      </c>
    </row>
    <row r="26" spans="1:13">
      <c r="A26" s="35" t="s">
        <v>21</v>
      </c>
    </row>
    <row r="27" spans="1:13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.75">
      <c r="A28" s="13" t="s">
        <v>23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50"/>
  <sheetViews>
    <sheetView zoomScaleNormal="100" workbookViewId="0">
      <selection activeCell="A8" sqref="A8"/>
    </sheetView>
  </sheetViews>
  <sheetFormatPr defaultRowHeight="15"/>
  <cols>
    <col min="1" max="1" width="9.7109375" style="35" customWidth="1"/>
    <col min="2" max="2" width="10.42578125" style="35" customWidth="1"/>
    <col min="3" max="9" width="6.7109375" style="35" customWidth="1"/>
    <col min="10" max="10" width="14.140625" style="35" bestFit="1" customWidth="1"/>
    <col min="11" max="11" width="2.7109375" style="35" customWidth="1"/>
    <col min="12" max="12" width="12.7109375" style="35" customWidth="1"/>
    <col min="13" max="19" width="6.7109375" style="35" customWidth="1"/>
    <col min="20" max="26" width="9.140625" style="35"/>
    <col min="27" max="27" width="12.140625" style="35" bestFit="1" customWidth="1"/>
    <col min="28" max="28" width="12.7109375" style="35" customWidth="1"/>
    <col min="29" max="16384" width="9.140625" style="35"/>
  </cols>
  <sheetData>
    <row r="1" spans="1:33" ht="15.75" thickBot="1">
      <c r="T1" s="478"/>
      <c r="U1" s="478"/>
      <c r="V1" s="478"/>
      <c r="W1" s="478"/>
      <c r="X1" s="478"/>
    </row>
    <row r="2" spans="1:33" ht="15" customHeight="1" thickBot="1">
      <c r="L2" s="14" t="s">
        <v>25</v>
      </c>
      <c r="M2" s="28" t="str">
        <f t="array" ref="M2">IF(SUM(IF(M8:S32="",0,1))=0,"",SUM(M8:S32))</f>
        <v/>
      </c>
      <c r="O2" s="10" t="s">
        <v>14</v>
      </c>
      <c r="P2" s="6" t="str">
        <f>IF(M2="","",M2/M3)</f>
        <v/>
      </c>
      <c r="S2" s="478"/>
      <c r="T2" s="478"/>
      <c r="U2" s="478"/>
      <c r="V2" s="478"/>
      <c r="W2" s="478"/>
      <c r="X2" s="478"/>
    </row>
    <row r="3" spans="1:33">
      <c r="L3" s="15" t="s">
        <v>26</v>
      </c>
      <c r="M3" s="29">
        <f>SUM(B8:B37)</f>
        <v>60</v>
      </c>
      <c r="S3" s="478"/>
      <c r="T3" s="478"/>
      <c r="U3" s="478"/>
      <c r="V3" s="478"/>
      <c r="W3" s="478"/>
      <c r="X3" s="478"/>
    </row>
    <row r="4" spans="1:33">
      <c r="S4" s="478"/>
      <c r="T4" s="478"/>
      <c r="U4" s="478"/>
      <c r="V4" s="478"/>
      <c r="W4" s="478"/>
      <c r="X4" s="478"/>
    </row>
    <row r="5" spans="1:33" ht="23.25">
      <c r="A5" s="11" t="s">
        <v>337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33" ht="15.75">
      <c r="A6" s="1"/>
      <c r="B6" s="1022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  <c r="Y6" s="478"/>
      <c r="Z6" s="478"/>
      <c r="AA6" s="478"/>
      <c r="AB6" s="478"/>
      <c r="AC6" s="478"/>
      <c r="AD6" s="478"/>
      <c r="AE6" s="478"/>
      <c r="AF6" s="478"/>
      <c r="AG6" s="478"/>
    </row>
    <row r="7" spans="1:33">
      <c r="A7" s="3" t="s">
        <v>0</v>
      </c>
      <c r="B7" s="1023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  <c r="Y7" s="478"/>
      <c r="Z7" s="478"/>
      <c r="AA7" s="478"/>
      <c r="AB7" s="478"/>
      <c r="AC7" s="478"/>
      <c r="AD7" s="478"/>
      <c r="AE7" s="478"/>
      <c r="AF7" s="478"/>
      <c r="AG7" s="478"/>
    </row>
    <row r="8" spans="1:33">
      <c r="A8" s="37">
        <v>1</v>
      </c>
      <c r="B8" s="55">
        <f>SUM(C8:I8)</f>
        <v>1</v>
      </c>
      <c r="C8" s="38">
        <v>1</v>
      </c>
      <c r="D8" s="38"/>
      <c r="E8" s="38"/>
      <c r="F8" s="38"/>
      <c r="G8" s="38"/>
      <c r="H8" s="38"/>
      <c r="I8" s="38"/>
      <c r="J8" s="39" t="str">
        <f ca="1">INDIRECT("'"&amp;A8&amp;"'!B1")</f>
        <v>Incomplete</v>
      </c>
      <c r="L8" s="37">
        <f>A8</f>
        <v>1</v>
      </c>
      <c r="M8" s="40" t="str">
        <f>IF('1'!$A$8="","",'1'!$A$8)</f>
        <v/>
      </c>
      <c r="N8" s="40"/>
      <c r="O8" s="40"/>
      <c r="P8" s="40"/>
      <c r="Q8" s="40"/>
      <c r="R8" s="40"/>
      <c r="S8" s="40"/>
      <c r="T8" s="456" t="s">
        <v>44</v>
      </c>
      <c r="U8" s="456"/>
      <c r="V8" s="456"/>
      <c r="W8" s="456"/>
      <c r="X8" s="456"/>
      <c r="Y8" s="478"/>
      <c r="Z8" s="478"/>
      <c r="AA8" s="478"/>
      <c r="AB8" s="478"/>
      <c r="AC8" s="478"/>
      <c r="AD8" s="478"/>
      <c r="AE8" s="478"/>
      <c r="AF8" s="478"/>
      <c r="AG8" s="478"/>
    </row>
    <row r="9" spans="1:33">
      <c r="A9" s="37">
        <v>2</v>
      </c>
      <c r="B9" s="49">
        <f t="shared" ref="B9:B32" si="0">SUM(C9:I9)</f>
        <v>1</v>
      </c>
      <c r="C9" s="38">
        <v>1</v>
      </c>
      <c r="D9" s="38"/>
      <c r="E9" s="38"/>
      <c r="F9" s="38"/>
      <c r="G9" s="38"/>
      <c r="H9" s="38"/>
      <c r="I9" s="38"/>
      <c r="J9" s="39" t="str">
        <f t="shared" ref="J9:J26" ca="1" si="1">INDIRECT("'"&amp;A9&amp;"'!B1")</f>
        <v>Incomplete</v>
      </c>
      <c r="L9" s="37">
        <f t="shared" ref="L9:L26" si="2">A9</f>
        <v>2</v>
      </c>
      <c r="M9" s="40" t="str">
        <f>IF('2'!$A$8="","",'2'!$A$8)</f>
        <v/>
      </c>
      <c r="N9" s="40"/>
      <c r="O9" s="40"/>
      <c r="P9" s="40"/>
      <c r="Q9" s="40"/>
      <c r="R9" s="40"/>
      <c r="S9" s="40"/>
      <c r="T9" s="456" t="s">
        <v>44</v>
      </c>
      <c r="U9" s="456"/>
      <c r="V9" s="456"/>
      <c r="W9" s="456"/>
      <c r="X9" s="456"/>
      <c r="Y9" s="478"/>
      <c r="Z9" s="478"/>
      <c r="AA9" s="478"/>
      <c r="AB9" s="478"/>
      <c r="AC9" s="478"/>
      <c r="AD9" s="478"/>
      <c r="AE9" s="478"/>
      <c r="AF9" s="478"/>
      <c r="AG9" s="478"/>
    </row>
    <row r="10" spans="1:33">
      <c r="A10" s="37">
        <v>3</v>
      </c>
      <c r="B10" s="49">
        <f t="shared" si="0"/>
        <v>1</v>
      </c>
      <c r="C10" s="38">
        <v>1</v>
      </c>
      <c r="D10" s="38"/>
      <c r="E10" s="38"/>
      <c r="F10" s="38"/>
      <c r="G10" s="38"/>
      <c r="H10" s="38"/>
      <c r="I10" s="38"/>
      <c r="J10" s="39" t="str">
        <f t="shared" ca="1" si="1"/>
        <v>Incomplete</v>
      </c>
      <c r="L10" s="37">
        <f t="shared" si="2"/>
        <v>3</v>
      </c>
      <c r="M10" s="40" t="str">
        <f>IF('3'!$A$8="","",'3'!$A$8)</f>
        <v/>
      </c>
      <c r="N10" s="40"/>
      <c r="O10" s="40"/>
      <c r="P10" s="40"/>
      <c r="Q10" s="40"/>
      <c r="R10" s="40"/>
      <c r="S10" s="40"/>
      <c r="T10" s="456" t="s">
        <v>45</v>
      </c>
      <c r="U10" s="414"/>
      <c r="V10" s="414"/>
      <c r="W10" s="456"/>
      <c r="X10" s="456"/>
      <c r="Y10" s="478"/>
      <c r="Z10" s="478"/>
      <c r="AA10" s="478"/>
      <c r="AB10" s="478"/>
      <c r="AC10" s="478"/>
      <c r="AD10" s="478"/>
      <c r="AE10" s="478"/>
      <c r="AF10" s="478"/>
      <c r="AG10" s="478"/>
    </row>
    <row r="11" spans="1:33">
      <c r="A11" s="37">
        <v>4</v>
      </c>
      <c r="B11" s="49">
        <f t="shared" si="0"/>
        <v>1</v>
      </c>
      <c r="C11" s="38">
        <v>1</v>
      </c>
      <c r="D11" s="38"/>
      <c r="E11" s="38"/>
      <c r="F11" s="38"/>
      <c r="G11" s="38"/>
      <c r="H11" s="38"/>
      <c r="I11" s="38"/>
      <c r="J11" s="39" t="str">
        <f t="shared" ca="1" si="1"/>
        <v>Incomplete</v>
      </c>
      <c r="L11" s="37">
        <f t="shared" si="2"/>
        <v>4</v>
      </c>
      <c r="M11" s="40" t="str">
        <f>IF('4'!$A$8="","",'4'!$A$8)</f>
        <v/>
      </c>
      <c r="N11" s="40"/>
      <c r="O11" s="40"/>
      <c r="P11" s="40"/>
      <c r="Q11" s="40"/>
      <c r="R11" s="40"/>
      <c r="S11" s="40"/>
      <c r="T11" s="456" t="s">
        <v>45</v>
      </c>
      <c r="U11" s="414"/>
      <c r="V11" s="456"/>
      <c r="W11" s="456"/>
      <c r="X11" s="456"/>
      <c r="Y11" s="478"/>
      <c r="Z11" s="478"/>
      <c r="AA11" s="478"/>
      <c r="AB11" s="478"/>
      <c r="AC11" s="478"/>
      <c r="AD11" s="478"/>
      <c r="AE11" s="478"/>
      <c r="AF11" s="478"/>
      <c r="AG11" s="478"/>
    </row>
    <row r="12" spans="1:33">
      <c r="A12" s="37">
        <v>5</v>
      </c>
      <c r="B12" s="49">
        <f t="shared" si="0"/>
        <v>1</v>
      </c>
      <c r="C12" s="38">
        <v>1</v>
      </c>
      <c r="D12" s="38"/>
      <c r="E12" s="38"/>
      <c r="F12" s="38"/>
      <c r="G12" s="38"/>
      <c r="H12" s="38"/>
      <c r="I12" s="38"/>
      <c r="J12" s="39" t="str">
        <f t="shared" ca="1" si="1"/>
        <v>Incomplete</v>
      </c>
      <c r="L12" s="37">
        <f t="shared" si="2"/>
        <v>5</v>
      </c>
      <c r="M12" s="40" t="str">
        <f>IF('5'!$A$8="","",'5'!$A$8)</f>
        <v/>
      </c>
      <c r="N12" s="40"/>
      <c r="O12" s="40"/>
      <c r="P12" s="40"/>
      <c r="Q12" s="40"/>
      <c r="R12" s="40"/>
      <c r="S12" s="40"/>
      <c r="T12" s="456" t="s">
        <v>361</v>
      </c>
      <c r="U12" s="414"/>
      <c r="V12" s="456"/>
      <c r="W12" s="456"/>
      <c r="X12" s="456"/>
      <c r="Y12" s="478"/>
      <c r="Z12" s="478"/>
      <c r="AA12" s="478"/>
      <c r="AB12" s="478"/>
      <c r="AC12" s="478"/>
      <c r="AD12" s="478"/>
      <c r="AE12" s="478"/>
      <c r="AF12" s="478"/>
      <c r="AG12" s="478"/>
    </row>
    <row r="13" spans="1:33">
      <c r="A13" s="37">
        <v>6</v>
      </c>
      <c r="B13" s="49">
        <f t="shared" si="0"/>
        <v>1</v>
      </c>
      <c r="C13" s="38">
        <v>1</v>
      </c>
      <c r="D13" s="38"/>
      <c r="E13" s="38"/>
      <c r="F13" s="38"/>
      <c r="G13" s="38"/>
      <c r="H13" s="38"/>
      <c r="I13" s="38"/>
      <c r="J13" s="39" t="str">
        <f t="shared" ca="1" si="1"/>
        <v>Incomplete</v>
      </c>
      <c r="L13" s="37">
        <f t="shared" si="2"/>
        <v>6</v>
      </c>
      <c r="M13" s="40" t="str">
        <f>IF('6'!$A$8="","",'6'!$A$8)</f>
        <v/>
      </c>
      <c r="N13" s="40"/>
      <c r="O13" s="40"/>
      <c r="P13" s="40"/>
      <c r="Q13" s="40"/>
      <c r="R13" s="40"/>
      <c r="S13" s="40"/>
      <c r="T13" s="487" t="s">
        <v>408</v>
      </c>
      <c r="U13" s="487"/>
      <c r="V13" s="487"/>
      <c r="W13" s="487"/>
      <c r="X13" s="487"/>
      <c r="Y13" s="478"/>
      <c r="Z13" s="478"/>
      <c r="AA13" s="478"/>
      <c r="AB13" s="478"/>
      <c r="AC13" s="478"/>
      <c r="AD13" s="478"/>
      <c r="AE13" s="478"/>
      <c r="AF13" s="478"/>
      <c r="AG13" s="478"/>
    </row>
    <row r="14" spans="1:33">
      <c r="A14" s="37">
        <v>7</v>
      </c>
      <c r="B14" s="49">
        <f t="shared" si="0"/>
        <v>2.25</v>
      </c>
      <c r="C14" s="38">
        <v>0.75</v>
      </c>
      <c r="D14" s="38">
        <v>1.5</v>
      </c>
      <c r="E14" s="38"/>
      <c r="F14" s="38"/>
      <c r="G14" s="38"/>
      <c r="H14" s="38"/>
      <c r="I14" s="38"/>
      <c r="J14" s="39" t="str">
        <f t="shared" ca="1" si="1"/>
        <v>Incomplete</v>
      </c>
      <c r="L14" s="37">
        <f t="shared" si="2"/>
        <v>7</v>
      </c>
      <c r="M14" s="40" t="str">
        <f>IF('7'!$A$8="","",'7'!$A$8)</f>
        <v/>
      </c>
      <c r="N14" s="40" t="str">
        <f>IF('7'!$A$12="","",'7'!$A$12)</f>
        <v/>
      </c>
      <c r="O14" s="40" t="str">
        <f>IF('7'!$A$16="","",'7'!$A$16)</f>
        <v/>
      </c>
      <c r="P14" s="40"/>
      <c r="Q14" s="40"/>
      <c r="R14" s="40"/>
      <c r="S14" s="40"/>
      <c r="T14" s="456" t="s">
        <v>61</v>
      </c>
      <c r="U14" s="456"/>
      <c r="V14" s="456"/>
      <c r="W14" s="456"/>
      <c r="X14" s="456"/>
      <c r="Y14" s="478"/>
      <c r="Z14" s="478"/>
      <c r="AA14" s="478"/>
      <c r="AB14" s="478"/>
      <c r="AC14" s="478"/>
      <c r="AD14" s="478"/>
      <c r="AE14" s="478"/>
      <c r="AF14" s="478"/>
      <c r="AG14" s="478"/>
    </row>
    <row r="15" spans="1:33">
      <c r="A15" s="37">
        <v>8</v>
      </c>
      <c r="B15" s="49">
        <f t="shared" si="0"/>
        <v>2.5</v>
      </c>
      <c r="C15" s="38">
        <v>2</v>
      </c>
      <c r="D15" s="38">
        <v>0.5</v>
      </c>
      <c r="E15" s="38"/>
      <c r="F15" s="38"/>
      <c r="G15" s="38"/>
      <c r="H15" s="38"/>
      <c r="I15" s="38"/>
      <c r="J15" s="39" t="str">
        <f t="shared" ca="1" si="1"/>
        <v>Incomplete</v>
      </c>
      <c r="L15" s="37">
        <f t="shared" si="2"/>
        <v>8</v>
      </c>
      <c r="M15" s="40" t="str">
        <f>IF('8'!$A$8="","",'8'!$A$8)</f>
        <v/>
      </c>
      <c r="N15" s="40" t="str">
        <f>IF('8'!$A$19="","",'8'!$A$19)</f>
        <v/>
      </c>
      <c r="O15" s="40"/>
      <c r="P15" s="40"/>
      <c r="Q15" s="40"/>
      <c r="R15" s="40"/>
      <c r="S15" s="40"/>
      <c r="T15" s="456" t="s">
        <v>62</v>
      </c>
      <c r="U15" s="456"/>
      <c r="V15" s="456"/>
      <c r="W15" s="456"/>
      <c r="X15" s="456"/>
      <c r="Y15" s="478"/>
      <c r="Z15" s="478"/>
      <c r="AA15" s="478"/>
      <c r="AB15" s="478"/>
      <c r="AC15" s="478"/>
      <c r="AD15" s="478"/>
      <c r="AE15" s="478"/>
      <c r="AF15" s="478"/>
      <c r="AG15" s="478"/>
    </row>
    <row r="16" spans="1:33">
      <c r="A16" s="37">
        <v>9</v>
      </c>
      <c r="B16" s="49">
        <f t="shared" si="0"/>
        <v>2.5</v>
      </c>
      <c r="C16" s="38">
        <v>1</v>
      </c>
      <c r="D16" s="38">
        <v>1.5</v>
      </c>
      <c r="E16" s="38"/>
      <c r="F16" s="38"/>
      <c r="G16" s="38"/>
      <c r="H16" s="38"/>
      <c r="I16" s="38"/>
      <c r="J16" s="39" t="str">
        <f t="shared" ca="1" si="1"/>
        <v>Incomplete</v>
      </c>
      <c r="L16" s="37">
        <f t="shared" si="2"/>
        <v>9</v>
      </c>
      <c r="M16" s="40" t="str">
        <f>IF('9'!$A$8="","",'9'!$A$8)</f>
        <v/>
      </c>
      <c r="N16" s="40" t="str">
        <f>IF('9'!$A$13="","",'9'!$A$13)</f>
        <v/>
      </c>
      <c r="O16" s="40"/>
      <c r="P16" s="40"/>
      <c r="Q16" s="40"/>
      <c r="R16" s="40"/>
      <c r="S16" s="40"/>
      <c r="T16" s="456" t="s">
        <v>88</v>
      </c>
      <c r="U16" s="456"/>
      <c r="V16" s="456"/>
      <c r="W16" s="456"/>
      <c r="X16" s="456"/>
      <c r="Y16" s="478"/>
      <c r="Z16" s="478"/>
      <c r="AA16" s="478"/>
      <c r="AB16" s="478"/>
      <c r="AC16" s="478"/>
      <c r="AD16" s="478"/>
      <c r="AE16" s="478"/>
      <c r="AF16" s="478"/>
      <c r="AG16" s="478"/>
    </row>
    <row r="17" spans="1:33">
      <c r="A17" s="37">
        <v>10</v>
      </c>
      <c r="B17" s="49">
        <f t="shared" si="0"/>
        <v>2</v>
      </c>
      <c r="C17" s="38">
        <v>0.5</v>
      </c>
      <c r="D17" s="38">
        <v>1.5</v>
      </c>
      <c r="E17" s="38"/>
      <c r="F17" s="38"/>
      <c r="G17" s="38"/>
      <c r="H17" s="38"/>
      <c r="I17" s="38"/>
      <c r="J17" s="39" t="str">
        <f t="shared" ca="1" si="1"/>
        <v>Incomplete</v>
      </c>
      <c r="L17" s="37">
        <f t="shared" si="2"/>
        <v>10</v>
      </c>
      <c r="M17" s="40" t="str">
        <f>IF('10'!$A$8="","",'10'!$A$8)</f>
        <v/>
      </c>
      <c r="N17" s="40" t="str">
        <f>IF('10'!$A$12="","",'10'!$A$12)</f>
        <v/>
      </c>
      <c r="O17" s="40"/>
      <c r="P17" s="40"/>
      <c r="Q17" s="40"/>
      <c r="R17" s="40"/>
      <c r="S17" s="40"/>
      <c r="T17" s="414" t="s">
        <v>96</v>
      </c>
      <c r="U17" s="456"/>
      <c r="V17" s="456"/>
      <c r="W17" s="456"/>
      <c r="X17" s="456"/>
      <c r="Y17" s="478"/>
      <c r="Z17" s="478"/>
      <c r="AA17" s="478"/>
      <c r="AB17" s="478"/>
      <c r="AC17" s="478"/>
      <c r="AD17" s="478"/>
      <c r="AE17" s="478"/>
      <c r="AF17" s="478"/>
      <c r="AG17" s="478"/>
    </row>
    <row r="18" spans="1:33">
      <c r="A18" s="37">
        <v>11</v>
      </c>
      <c r="B18" s="49">
        <f t="shared" si="0"/>
        <v>3.5</v>
      </c>
      <c r="C18" s="38">
        <v>1.5</v>
      </c>
      <c r="D18" s="38">
        <v>1.5</v>
      </c>
      <c r="E18" s="38">
        <v>0.5</v>
      </c>
      <c r="F18" s="38"/>
      <c r="G18" s="38"/>
      <c r="H18" s="38"/>
      <c r="I18" s="38"/>
      <c r="J18" s="39" t="str">
        <f t="shared" ca="1" si="1"/>
        <v>Incomplete</v>
      </c>
      <c r="L18" s="37">
        <f t="shared" si="2"/>
        <v>11</v>
      </c>
      <c r="M18" s="40" t="str">
        <f>IF('11'!$A$8="","",'11'!$A$8)</f>
        <v/>
      </c>
      <c r="N18" s="40" t="str">
        <f>IF('11'!$A$12="","",'11'!$A$12)</f>
        <v/>
      </c>
      <c r="O18" s="40" t="str">
        <f>IF('11'!$A$16="","",'11'!$A$16)</f>
        <v/>
      </c>
      <c r="P18" s="40"/>
      <c r="Q18" s="40"/>
      <c r="R18" s="40"/>
      <c r="S18" s="40"/>
      <c r="T18" s="456" t="s">
        <v>105</v>
      </c>
      <c r="U18" s="456"/>
      <c r="V18" s="456"/>
      <c r="W18" s="456"/>
      <c r="X18" s="456"/>
      <c r="Y18" s="478"/>
      <c r="Z18" s="478"/>
      <c r="AA18" s="478"/>
      <c r="AB18" s="478"/>
      <c r="AC18" s="478"/>
      <c r="AD18" s="478"/>
      <c r="AE18" s="478"/>
      <c r="AF18" s="478"/>
      <c r="AG18" s="478"/>
    </row>
    <row r="19" spans="1:33">
      <c r="A19" s="37">
        <v>12</v>
      </c>
      <c r="B19" s="49">
        <f t="shared" si="0"/>
        <v>3.25</v>
      </c>
      <c r="C19" s="38">
        <v>3.25</v>
      </c>
      <c r="D19" s="38"/>
      <c r="E19" s="38"/>
      <c r="F19" s="38"/>
      <c r="G19" s="38"/>
      <c r="H19" s="38"/>
      <c r="I19" s="38"/>
      <c r="J19" s="39" t="str">
        <f t="shared" ca="1" si="1"/>
        <v>Incomplete</v>
      </c>
      <c r="L19" s="37">
        <f t="shared" si="2"/>
        <v>12</v>
      </c>
      <c r="M19" s="40" t="str">
        <f>IF('12'!$A$8="","",'12'!$A$8)</f>
        <v/>
      </c>
      <c r="N19" s="40"/>
      <c r="O19" s="40"/>
      <c r="P19" s="40"/>
      <c r="Q19" s="40"/>
      <c r="R19" s="40"/>
      <c r="S19" s="40"/>
      <c r="T19" s="414" t="s">
        <v>1002</v>
      </c>
      <c r="U19" s="456"/>
      <c r="V19" s="456"/>
      <c r="W19" s="456"/>
      <c r="X19" s="456"/>
      <c r="Y19" s="478"/>
      <c r="Z19" s="478"/>
      <c r="AA19" s="478"/>
      <c r="AB19" s="478"/>
      <c r="AC19" s="478"/>
      <c r="AD19" s="478"/>
      <c r="AE19" s="478"/>
      <c r="AF19" s="478"/>
      <c r="AG19" s="478"/>
    </row>
    <row r="20" spans="1:33">
      <c r="A20" s="37">
        <v>13</v>
      </c>
      <c r="B20" s="49">
        <f t="shared" si="0"/>
        <v>3.75</v>
      </c>
      <c r="C20" s="38">
        <v>3.75</v>
      </c>
      <c r="D20" s="38"/>
      <c r="E20" s="38"/>
      <c r="F20" s="38"/>
      <c r="G20" s="38"/>
      <c r="H20" s="38"/>
      <c r="I20" s="38"/>
      <c r="J20" s="39" t="str">
        <f t="shared" ca="1" si="1"/>
        <v>Incomplete</v>
      </c>
      <c r="L20" s="37">
        <f t="shared" si="2"/>
        <v>13</v>
      </c>
      <c r="M20" s="40" t="str">
        <f>IF('13'!$A$8="","",'13'!$A$8)</f>
        <v/>
      </c>
      <c r="N20" s="40"/>
      <c r="O20" s="40"/>
      <c r="P20" s="40"/>
      <c r="Q20" s="40"/>
      <c r="R20" s="40"/>
      <c r="S20" s="40"/>
      <c r="T20" s="414" t="s">
        <v>146</v>
      </c>
      <c r="U20" s="456"/>
      <c r="V20" s="456"/>
      <c r="W20" s="456"/>
      <c r="X20" s="456"/>
      <c r="Y20" s="478"/>
      <c r="Z20" s="478"/>
      <c r="AA20" s="478"/>
      <c r="AB20" s="478"/>
      <c r="AC20" s="478"/>
      <c r="AD20" s="478"/>
      <c r="AE20" s="478"/>
      <c r="AF20" s="478"/>
      <c r="AG20" s="478"/>
    </row>
    <row r="21" spans="1:33">
      <c r="A21" s="37">
        <v>14</v>
      </c>
      <c r="B21" s="49">
        <f t="shared" si="0"/>
        <v>1</v>
      </c>
      <c r="C21" s="38">
        <v>1</v>
      </c>
      <c r="D21" s="38"/>
      <c r="E21" s="38"/>
      <c r="F21" s="38"/>
      <c r="G21" s="38"/>
      <c r="H21" s="38"/>
      <c r="I21" s="38"/>
      <c r="J21" s="39" t="str">
        <f t="shared" ca="1" si="1"/>
        <v>Incomplete</v>
      </c>
      <c r="L21" s="37">
        <f t="shared" si="2"/>
        <v>14</v>
      </c>
      <c r="M21" s="40" t="str">
        <f>IF('14'!$A$8="","",'14'!$A$8)</f>
        <v/>
      </c>
      <c r="N21" s="40"/>
      <c r="O21" s="40"/>
      <c r="P21" s="40"/>
      <c r="Q21" s="40"/>
      <c r="R21" s="40"/>
      <c r="S21" s="40"/>
      <c r="T21" s="414" t="s">
        <v>147</v>
      </c>
      <c r="U21" s="456"/>
      <c r="V21" s="456"/>
      <c r="W21" s="456"/>
      <c r="X21" s="456"/>
      <c r="Y21" s="478"/>
      <c r="Z21" s="478"/>
      <c r="AA21" s="478"/>
      <c r="AB21" s="478"/>
      <c r="AC21" s="478"/>
      <c r="AD21" s="478"/>
      <c r="AE21" s="478"/>
      <c r="AF21" s="478"/>
      <c r="AG21" s="478"/>
    </row>
    <row r="22" spans="1:33">
      <c r="A22" s="37">
        <v>15</v>
      </c>
      <c r="B22" s="49">
        <f t="shared" si="0"/>
        <v>1.25</v>
      </c>
      <c r="C22" s="38">
        <v>1.25</v>
      </c>
      <c r="D22" s="38"/>
      <c r="E22" s="38"/>
      <c r="F22" s="38"/>
      <c r="G22" s="38"/>
      <c r="H22" s="38"/>
      <c r="I22" s="38"/>
      <c r="J22" s="39" t="str">
        <f t="shared" ca="1" si="1"/>
        <v>Incomplete</v>
      </c>
      <c r="L22" s="37">
        <f t="shared" si="2"/>
        <v>15</v>
      </c>
      <c r="M22" s="40" t="str">
        <f>IF('15'!$A$8="","",'15'!$A$8)</f>
        <v/>
      </c>
      <c r="N22" s="40"/>
      <c r="O22" s="40"/>
      <c r="P22" s="40"/>
      <c r="Q22" s="40"/>
      <c r="R22" s="40"/>
      <c r="S22" s="40"/>
      <c r="T22" s="414" t="s">
        <v>151</v>
      </c>
      <c r="U22" s="456"/>
      <c r="V22" s="456"/>
      <c r="W22" s="456"/>
      <c r="X22" s="456"/>
      <c r="Y22" s="478"/>
      <c r="Z22" s="478"/>
      <c r="AA22" s="478"/>
      <c r="AB22" s="478"/>
      <c r="AC22" s="478"/>
      <c r="AD22" s="478"/>
      <c r="AE22" s="478"/>
      <c r="AF22" s="478"/>
      <c r="AG22" s="478"/>
    </row>
    <row r="23" spans="1:33">
      <c r="A23" s="37">
        <v>16</v>
      </c>
      <c r="B23" s="49">
        <f t="shared" si="0"/>
        <v>3</v>
      </c>
      <c r="C23" s="38">
        <v>1.5</v>
      </c>
      <c r="D23" s="38">
        <v>0.75</v>
      </c>
      <c r="E23" s="38">
        <v>0.75</v>
      </c>
      <c r="F23" s="38"/>
      <c r="G23" s="38"/>
      <c r="H23" s="38"/>
      <c r="I23" s="38"/>
      <c r="J23" s="39" t="str">
        <f t="shared" ca="1" si="1"/>
        <v>Incomplete</v>
      </c>
      <c r="L23" s="37">
        <f t="shared" si="2"/>
        <v>16</v>
      </c>
      <c r="M23" s="40" t="str">
        <f>IF('16'!$A$8="","",'16'!$A$8)</f>
        <v/>
      </c>
      <c r="N23" s="40" t="str">
        <f>IF('16'!$A$12="","",'16'!$A$12)</f>
        <v/>
      </c>
      <c r="O23" s="40" t="str">
        <f>IF('16'!$A$16="","",'16'!$A$16)</f>
        <v/>
      </c>
      <c r="P23" s="40" t="str">
        <f>IF('16'!$A$20="","",'16'!$A$20)</f>
        <v/>
      </c>
      <c r="Q23" s="40"/>
      <c r="R23" s="40"/>
      <c r="S23" s="40"/>
      <c r="T23" s="414" t="s">
        <v>151</v>
      </c>
      <c r="U23" s="456"/>
      <c r="V23" s="456"/>
      <c r="W23" s="456"/>
      <c r="X23" s="456"/>
      <c r="Y23" s="478"/>
      <c r="Z23" s="478"/>
      <c r="AA23" s="478"/>
      <c r="AB23" s="478"/>
      <c r="AC23" s="478"/>
      <c r="AD23" s="478"/>
      <c r="AE23" s="478"/>
      <c r="AF23" s="478"/>
      <c r="AG23" s="478"/>
    </row>
    <row r="24" spans="1:33">
      <c r="A24" s="37">
        <v>17</v>
      </c>
      <c r="B24" s="49">
        <f t="shared" si="0"/>
        <v>3.5</v>
      </c>
      <c r="C24" s="38">
        <v>0.5</v>
      </c>
      <c r="D24" s="38">
        <v>3</v>
      </c>
      <c r="E24" s="38"/>
      <c r="F24" s="38"/>
      <c r="G24" s="38"/>
      <c r="H24" s="38"/>
      <c r="I24" s="38"/>
      <c r="J24" s="39" t="str">
        <f t="shared" ca="1" si="1"/>
        <v>Incomplete</v>
      </c>
      <c r="L24" s="37">
        <f t="shared" si="2"/>
        <v>17</v>
      </c>
      <c r="M24" s="40" t="str">
        <f>IF('17'!$A$8="","",'17'!$A$8)</f>
        <v/>
      </c>
      <c r="N24" s="40" t="str">
        <f>IF('17'!$A$12="","",'17'!$A$12)</f>
        <v/>
      </c>
      <c r="O24" s="40" t="str">
        <f>IF('17'!$A$16="","",'17'!$A$16)</f>
        <v/>
      </c>
      <c r="P24" s="40" t="str">
        <f>IF('17'!$A$34="","",'17'!$A$34)</f>
        <v/>
      </c>
      <c r="Q24" s="40"/>
      <c r="R24" s="40"/>
      <c r="S24" s="40"/>
      <c r="T24" s="456" t="s">
        <v>154</v>
      </c>
      <c r="U24" s="456"/>
      <c r="V24" s="456"/>
      <c r="W24" s="456"/>
      <c r="X24" s="456"/>
      <c r="Y24" s="478"/>
      <c r="Z24" s="478"/>
      <c r="AA24" s="478"/>
      <c r="AB24" s="478"/>
      <c r="AC24" s="478"/>
      <c r="AD24" s="478"/>
      <c r="AE24" s="478"/>
      <c r="AF24" s="478"/>
      <c r="AG24" s="478"/>
    </row>
    <row r="25" spans="1:33">
      <c r="A25" s="37">
        <v>18</v>
      </c>
      <c r="B25" s="49">
        <f t="shared" si="0"/>
        <v>1</v>
      </c>
      <c r="C25" s="38">
        <v>0.5</v>
      </c>
      <c r="D25" s="38">
        <v>0.5</v>
      </c>
      <c r="E25" s="38"/>
      <c r="F25" s="38"/>
      <c r="G25" s="38"/>
      <c r="H25" s="38"/>
      <c r="I25" s="38"/>
      <c r="J25" s="39" t="str">
        <f t="shared" ca="1" si="1"/>
        <v>Incomplete</v>
      </c>
      <c r="L25" s="37">
        <f t="shared" si="2"/>
        <v>18</v>
      </c>
      <c r="M25" s="40" t="str">
        <f>IF('18'!$A$8="","",'18'!$A$8)</f>
        <v/>
      </c>
      <c r="N25" s="40" t="str">
        <f>IF('18'!$A$12="","",'18'!$A$12)</f>
        <v/>
      </c>
      <c r="O25" s="40"/>
      <c r="P25" s="40"/>
      <c r="Q25" s="40"/>
      <c r="R25" s="40"/>
      <c r="S25" s="40"/>
      <c r="T25" s="487" t="s">
        <v>296</v>
      </c>
      <c r="U25" s="487"/>
      <c r="V25" s="487"/>
      <c r="W25" s="487"/>
      <c r="X25" s="487"/>
      <c r="Y25" s="478"/>
      <c r="Z25" s="478"/>
      <c r="AA25" s="478"/>
      <c r="AB25" s="478"/>
      <c r="AC25" s="478"/>
      <c r="AD25" s="478"/>
      <c r="AE25" s="478"/>
      <c r="AF25" s="478"/>
      <c r="AG25" s="478"/>
    </row>
    <row r="26" spans="1:33">
      <c r="A26" s="37">
        <v>19</v>
      </c>
      <c r="B26" s="49">
        <f t="shared" si="0"/>
        <v>0.75</v>
      </c>
      <c r="C26" s="38">
        <v>0.75</v>
      </c>
      <c r="D26" s="38"/>
      <c r="E26" s="38"/>
      <c r="F26" s="38"/>
      <c r="G26" s="38"/>
      <c r="H26" s="38"/>
      <c r="I26" s="38"/>
      <c r="J26" s="39" t="str">
        <f t="shared" ca="1" si="1"/>
        <v>Incomplete</v>
      </c>
      <c r="L26" s="37">
        <f t="shared" si="2"/>
        <v>19</v>
      </c>
      <c r="M26" s="40" t="str">
        <f>IF('19'!$A$8="","",'19'!$A$8)</f>
        <v/>
      </c>
      <c r="N26" s="40"/>
      <c r="O26" s="40"/>
      <c r="P26" s="40"/>
      <c r="Q26" s="40"/>
      <c r="R26" s="40"/>
      <c r="S26" s="40"/>
      <c r="T26" s="456" t="s">
        <v>160</v>
      </c>
      <c r="U26" s="456"/>
      <c r="V26" s="456"/>
      <c r="W26" s="456"/>
      <c r="X26" s="456"/>
      <c r="Y26" s="478"/>
      <c r="Z26" s="478"/>
      <c r="AA26" s="478"/>
      <c r="AB26" s="478"/>
      <c r="AC26" s="478"/>
      <c r="AD26" s="478"/>
      <c r="AE26" s="478"/>
      <c r="AF26" s="478"/>
      <c r="AG26" s="478"/>
    </row>
    <row r="27" spans="1:33">
      <c r="A27" s="37">
        <v>20</v>
      </c>
      <c r="B27" s="49">
        <f t="shared" si="0"/>
        <v>2</v>
      </c>
      <c r="C27" s="38">
        <v>2</v>
      </c>
      <c r="D27" s="38"/>
      <c r="E27" s="38"/>
      <c r="F27" s="38"/>
      <c r="G27" s="38"/>
      <c r="H27" s="38"/>
      <c r="I27" s="38"/>
      <c r="J27" s="39" t="str">
        <f t="shared" ref="J27:J32" ca="1" si="3">INDIRECT("'"&amp;A27&amp;"'!B1")</f>
        <v>Incomplete</v>
      </c>
      <c r="L27" s="37">
        <f t="shared" ref="L27:L32" si="4">A27</f>
        <v>20</v>
      </c>
      <c r="M27" s="40" t="str">
        <f>IF('20'!$A$8="","",'20'!$A$8)</f>
        <v/>
      </c>
      <c r="N27" s="40"/>
      <c r="O27" s="40"/>
      <c r="P27" s="40"/>
      <c r="Q27" s="40"/>
      <c r="R27" s="40"/>
      <c r="S27" s="40"/>
      <c r="T27" s="414" t="s">
        <v>168</v>
      </c>
      <c r="U27" s="456"/>
      <c r="V27" s="456"/>
      <c r="W27" s="456"/>
      <c r="X27" s="456"/>
      <c r="Y27" s="478"/>
      <c r="Z27" s="478"/>
      <c r="AA27" s="478"/>
      <c r="AB27" s="478"/>
      <c r="AC27" s="478"/>
      <c r="AD27" s="478"/>
      <c r="AE27" s="478"/>
      <c r="AF27" s="478"/>
      <c r="AG27" s="478"/>
    </row>
    <row r="28" spans="1:33">
      <c r="A28" s="37">
        <v>21</v>
      </c>
      <c r="B28" s="49">
        <f t="shared" si="0"/>
        <v>1</v>
      </c>
      <c r="C28" s="38">
        <v>1</v>
      </c>
      <c r="D28" s="38"/>
      <c r="E28" s="38"/>
      <c r="F28" s="38"/>
      <c r="G28" s="38"/>
      <c r="H28" s="38"/>
      <c r="I28" s="38"/>
      <c r="J28" s="39" t="str">
        <f t="shared" ca="1" si="3"/>
        <v>Incomplete</v>
      </c>
      <c r="L28" s="37">
        <f t="shared" si="4"/>
        <v>21</v>
      </c>
      <c r="M28" s="40" t="str">
        <f>IF('21'!$A$8="","",'21'!$A$8)</f>
        <v/>
      </c>
      <c r="N28" s="40"/>
      <c r="O28" s="40"/>
      <c r="P28" s="40"/>
      <c r="Q28" s="40"/>
      <c r="R28" s="40"/>
      <c r="S28" s="40"/>
      <c r="T28" s="456" t="s">
        <v>169</v>
      </c>
      <c r="U28" s="456"/>
      <c r="V28" s="456"/>
      <c r="W28" s="456"/>
      <c r="X28" s="456"/>
      <c r="Y28" s="478"/>
      <c r="Z28" s="478"/>
      <c r="AA28" s="478"/>
      <c r="AB28" s="478"/>
      <c r="AC28" s="478"/>
      <c r="AD28" s="478"/>
      <c r="AE28" s="478"/>
      <c r="AF28" s="478"/>
      <c r="AG28" s="478"/>
    </row>
    <row r="29" spans="1:33">
      <c r="A29" s="37">
        <v>22</v>
      </c>
      <c r="B29" s="49">
        <f t="shared" si="0"/>
        <v>2</v>
      </c>
      <c r="C29" s="38">
        <v>0.25</v>
      </c>
      <c r="D29" s="38">
        <v>1.75</v>
      </c>
      <c r="E29" s="38"/>
      <c r="F29" s="38"/>
      <c r="G29" s="38"/>
      <c r="H29" s="38"/>
      <c r="I29" s="38"/>
      <c r="J29" s="39" t="str">
        <f t="shared" ca="1" si="3"/>
        <v>Incomplete</v>
      </c>
      <c r="L29" s="37">
        <f t="shared" si="4"/>
        <v>22</v>
      </c>
      <c r="M29" s="40" t="str">
        <f>IF('22'!$A$8="","",'22'!$A$8)</f>
        <v/>
      </c>
      <c r="N29" s="40" t="str">
        <f>IF('22'!$A$12="","",'22'!$A$12)</f>
        <v/>
      </c>
      <c r="O29" s="40"/>
      <c r="P29" s="40"/>
      <c r="Q29" s="40"/>
      <c r="R29" s="40"/>
      <c r="S29" s="40"/>
      <c r="T29" s="414" t="s">
        <v>172</v>
      </c>
      <c r="U29" s="456"/>
      <c r="V29" s="456"/>
      <c r="W29" s="456"/>
      <c r="X29" s="456"/>
      <c r="Y29" s="478"/>
      <c r="Z29" s="478"/>
      <c r="AA29" s="478"/>
      <c r="AB29" s="478"/>
      <c r="AC29" s="478"/>
      <c r="AD29" s="478"/>
      <c r="AE29" s="478"/>
      <c r="AF29" s="478"/>
      <c r="AG29" s="478"/>
    </row>
    <row r="30" spans="1:33">
      <c r="A30" s="41">
        <v>23</v>
      </c>
      <c r="B30" s="49">
        <f t="shared" si="0"/>
        <v>2.25</v>
      </c>
      <c r="C30" s="38">
        <v>2.25</v>
      </c>
      <c r="D30" s="38"/>
      <c r="E30" s="38"/>
      <c r="F30" s="38"/>
      <c r="G30" s="38"/>
      <c r="H30" s="38"/>
      <c r="I30" s="38"/>
      <c r="J30" s="39" t="str">
        <f t="shared" ca="1" si="3"/>
        <v>Incomplete</v>
      </c>
      <c r="L30" s="37">
        <f t="shared" si="4"/>
        <v>23</v>
      </c>
      <c r="M30" s="40" t="str">
        <f>IF('23'!$A$8="","",'23'!$A$8)</f>
        <v/>
      </c>
      <c r="N30" s="40"/>
      <c r="O30" s="40"/>
      <c r="P30" s="40"/>
      <c r="Q30" s="40"/>
      <c r="R30" s="40"/>
      <c r="S30" s="40"/>
      <c r="T30" s="456" t="s">
        <v>170</v>
      </c>
      <c r="U30" s="456"/>
      <c r="V30" s="456"/>
      <c r="W30" s="456"/>
      <c r="X30" s="456"/>
      <c r="Y30" s="478"/>
      <c r="Z30" s="478"/>
      <c r="AA30" s="478"/>
      <c r="AB30" s="478"/>
      <c r="AC30" s="478"/>
      <c r="AD30" s="478"/>
      <c r="AE30" s="478"/>
      <c r="AF30" s="478"/>
      <c r="AG30" s="478"/>
    </row>
    <row r="31" spans="1:33">
      <c r="A31" s="41">
        <v>24</v>
      </c>
      <c r="B31" s="49">
        <f t="shared" si="0"/>
        <v>5</v>
      </c>
      <c r="C31" s="38">
        <v>1</v>
      </c>
      <c r="D31" s="38">
        <v>4</v>
      </c>
      <c r="E31" s="38"/>
      <c r="F31" s="38"/>
      <c r="G31" s="38"/>
      <c r="H31" s="38"/>
      <c r="I31" s="38"/>
      <c r="J31" s="39" t="str">
        <f t="shared" ca="1" si="3"/>
        <v>Incomplete</v>
      </c>
      <c r="L31" s="37">
        <f t="shared" si="4"/>
        <v>24</v>
      </c>
      <c r="M31" s="40" t="str">
        <f>IF('24'!$A$8="","",'24'!$A$8)</f>
        <v/>
      </c>
      <c r="N31" s="40" t="str">
        <f>IF('24'!$A$12="","",'24'!$A$12)</f>
        <v/>
      </c>
      <c r="O31" s="40"/>
      <c r="P31" s="40"/>
      <c r="Q31" s="40"/>
      <c r="R31" s="40"/>
      <c r="S31" s="40"/>
      <c r="T31" s="456" t="s">
        <v>171</v>
      </c>
      <c r="U31" s="456"/>
      <c r="V31" s="456"/>
      <c r="W31" s="456"/>
      <c r="X31" s="456"/>
      <c r="Y31" s="478"/>
      <c r="Z31" s="478"/>
      <c r="AA31" s="478"/>
      <c r="AB31" s="478"/>
      <c r="AC31" s="478"/>
      <c r="AD31" s="478"/>
      <c r="AE31" s="478"/>
      <c r="AF31" s="478"/>
      <c r="AG31" s="478"/>
    </row>
    <row r="32" spans="1:33">
      <c r="A32" s="37">
        <v>25</v>
      </c>
      <c r="B32" s="51">
        <f t="shared" si="0"/>
        <v>1.5</v>
      </c>
      <c r="C32" s="38">
        <v>1.5</v>
      </c>
      <c r="D32" s="38"/>
      <c r="E32" s="38"/>
      <c r="F32" s="38"/>
      <c r="G32" s="38"/>
      <c r="H32" s="38"/>
      <c r="I32" s="38"/>
      <c r="J32" s="39" t="str">
        <f t="shared" ca="1" si="3"/>
        <v>Incomplete</v>
      </c>
      <c r="L32" s="37">
        <f t="shared" si="4"/>
        <v>25</v>
      </c>
      <c r="M32" s="40" t="str">
        <f>IF('25'!$A$8="","",'25'!$A$8)</f>
        <v/>
      </c>
      <c r="N32" s="40"/>
      <c r="O32" s="40"/>
      <c r="P32" s="40"/>
      <c r="Q32" s="40"/>
      <c r="R32" s="40"/>
      <c r="S32" s="40"/>
      <c r="T32" s="456" t="s">
        <v>173</v>
      </c>
      <c r="U32" s="456"/>
      <c r="V32" s="456"/>
      <c r="W32" s="456"/>
      <c r="X32" s="456"/>
      <c r="Y32" s="478"/>
      <c r="Z32" s="478"/>
      <c r="AA32" s="478"/>
      <c r="AB32" s="478"/>
      <c r="AC32" s="478"/>
      <c r="AD32" s="478"/>
      <c r="AE32" s="478"/>
      <c r="AF32" s="478"/>
      <c r="AG32" s="478"/>
    </row>
    <row r="33" spans="1:33">
      <c r="A33" s="52">
        <v>26</v>
      </c>
      <c r="B33" s="53">
        <f>SUM(C33:I33)</f>
        <v>2.75</v>
      </c>
      <c r="C33" s="54">
        <v>2.75</v>
      </c>
      <c r="D33" s="54"/>
      <c r="E33" s="54"/>
      <c r="F33" s="54"/>
      <c r="G33" s="54"/>
      <c r="H33" s="54"/>
      <c r="I33" s="38"/>
      <c r="J33" s="39" t="str">
        <f ca="1">INDIRECT("'"&amp;A33&amp;"'!B1")</f>
        <v>Incomplete</v>
      </c>
      <c r="L33" s="52">
        <v>26</v>
      </c>
      <c r="M33" s="40" t="str">
        <f>IF('26'!$A$8="","",'26'!$A$8)</f>
        <v/>
      </c>
      <c r="N33" s="40" t="str">
        <f>IF('26'!$A$12="","",'26'!$A$12)</f>
        <v/>
      </c>
      <c r="O33" s="40" t="str">
        <f>IF('26'!$A$19="","",'26'!$A$19)</f>
        <v/>
      </c>
      <c r="P33" s="40"/>
      <c r="Q33" s="40"/>
      <c r="R33" s="40"/>
      <c r="S33" s="40"/>
      <c r="T33" s="456" t="s">
        <v>174</v>
      </c>
      <c r="U33" s="456"/>
      <c r="V33" s="456"/>
      <c r="W33" s="456"/>
      <c r="X33" s="456"/>
      <c r="Y33" s="478"/>
      <c r="Z33" s="478"/>
      <c r="AA33" s="478"/>
      <c r="AB33" s="478"/>
      <c r="AC33" s="478"/>
      <c r="AD33" s="478"/>
      <c r="AE33" s="478"/>
      <c r="AF33" s="478"/>
      <c r="AG33" s="478"/>
    </row>
    <row r="34" spans="1:33">
      <c r="A34" s="52">
        <v>27</v>
      </c>
      <c r="B34" s="53">
        <f>SUM(C34:I34)</f>
        <v>1.75</v>
      </c>
      <c r="C34" s="54">
        <v>1.75</v>
      </c>
      <c r="D34" s="54"/>
      <c r="E34" s="54"/>
      <c r="F34" s="54"/>
      <c r="G34" s="54"/>
      <c r="H34" s="54"/>
      <c r="I34" s="38"/>
      <c r="J34" s="39" t="str">
        <f ca="1">INDIRECT("'"&amp;A34&amp;"'!B1")</f>
        <v>Incomplete</v>
      </c>
      <c r="L34" s="52">
        <v>27</v>
      </c>
      <c r="M34" s="40" t="str">
        <f>IF('27'!$A$8="","",'27'!$A$8)</f>
        <v/>
      </c>
      <c r="N34" s="40"/>
      <c r="O34" s="40"/>
      <c r="P34" s="40"/>
      <c r="Q34" s="40"/>
      <c r="R34" s="40"/>
      <c r="S34" s="40"/>
      <c r="T34" s="456" t="s">
        <v>175</v>
      </c>
      <c r="U34" s="456"/>
      <c r="V34" s="456"/>
      <c r="W34" s="456"/>
      <c r="X34" s="456"/>
      <c r="Y34" s="478"/>
      <c r="Z34" s="478"/>
      <c r="AA34" s="478"/>
      <c r="AB34" s="478"/>
      <c r="AC34" s="478"/>
      <c r="AD34" s="478"/>
      <c r="AE34" s="478"/>
      <c r="AF34" s="478"/>
      <c r="AG34" s="478"/>
    </row>
    <row r="35" spans="1:33">
      <c r="A35" s="52">
        <v>28</v>
      </c>
      <c r="B35" s="53">
        <f>SUM(C35:I35)</f>
        <v>1</v>
      </c>
      <c r="C35" s="54">
        <v>0.5</v>
      </c>
      <c r="D35" s="54">
        <v>0.5</v>
      </c>
      <c r="E35" s="54"/>
      <c r="F35" s="54"/>
      <c r="G35" s="54"/>
      <c r="H35" s="54"/>
      <c r="I35" s="38"/>
      <c r="J35" s="39" t="str">
        <f ca="1">INDIRECT("'"&amp;A35&amp;"'!B1")</f>
        <v>Incomplete</v>
      </c>
      <c r="L35" s="52">
        <v>28</v>
      </c>
      <c r="M35" s="40" t="str">
        <f>IF('28'!$A$8="","",'28'!$A$8)</f>
        <v/>
      </c>
      <c r="N35" s="40" t="str">
        <f>IF('28'!$A$23="","",'28'!$A$23)</f>
        <v/>
      </c>
      <c r="O35" s="40"/>
      <c r="P35" s="40"/>
      <c r="Q35" s="40"/>
      <c r="R35" s="40"/>
      <c r="S35" s="40"/>
      <c r="T35" s="456" t="s">
        <v>176</v>
      </c>
      <c r="U35" s="456"/>
      <c r="V35" s="456"/>
      <c r="W35" s="456"/>
      <c r="X35" s="456"/>
      <c r="Y35" s="478"/>
      <c r="Z35" s="478"/>
      <c r="AA35" s="478"/>
      <c r="AB35" s="478"/>
      <c r="AC35" s="478"/>
      <c r="AD35" s="478"/>
      <c r="AE35" s="478"/>
      <c r="AF35" s="478"/>
      <c r="AG35" s="478"/>
    </row>
    <row r="36" spans="1:33">
      <c r="A36" s="52">
        <v>29</v>
      </c>
      <c r="B36" s="53">
        <f>SUM(C36:I36)</f>
        <v>2</v>
      </c>
      <c r="C36" s="54">
        <v>0.75</v>
      </c>
      <c r="D36" s="54">
        <v>1</v>
      </c>
      <c r="E36" s="54">
        <v>0.25</v>
      </c>
      <c r="F36" s="54"/>
      <c r="G36" s="54"/>
      <c r="H36" s="54"/>
      <c r="I36" s="38"/>
      <c r="J36" s="39" t="str">
        <f ca="1">INDIRECT("'"&amp;A36&amp;"'!B1")</f>
        <v>Incomplete</v>
      </c>
      <c r="L36" s="52">
        <v>29</v>
      </c>
      <c r="M36" s="40" t="str">
        <f>IF('29'!$A$8="","",'29'!$A$8)</f>
        <v/>
      </c>
      <c r="N36" s="40" t="str">
        <f>IF('29'!$A$12="","",'29'!$A$12)</f>
        <v/>
      </c>
      <c r="O36" s="40" t="str">
        <f>IF('29'!$A$16="","",'29'!$A$16)</f>
        <v/>
      </c>
      <c r="P36" s="40"/>
      <c r="Q36" s="40"/>
      <c r="R36" s="40"/>
      <c r="S36" s="40"/>
      <c r="T36" s="456" t="s">
        <v>177</v>
      </c>
      <c r="U36" s="456"/>
      <c r="V36" s="456"/>
      <c r="W36" s="456"/>
      <c r="X36" s="456"/>
      <c r="Y36" s="478"/>
      <c r="Z36" s="478"/>
      <c r="AA36" s="478"/>
      <c r="AB36" s="478"/>
      <c r="AC36" s="478"/>
      <c r="AD36" s="478"/>
      <c r="AE36" s="478"/>
      <c r="AF36" s="478"/>
      <c r="AG36" s="478"/>
    </row>
    <row r="37" spans="1:33">
      <c r="A37" s="52">
        <v>30</v>
      </c>
      <c r="B37" s="56">
        <f>SUM(C37:I37)</f>
        <v>2.5</v>
      </c>
      <c r="C37" s="54">
        <v>0.75</v>
      </c>
      <c r="D37" s="54">
        <v>1.75</v>
      </c>
      <c r="E37" s="54"/>
      <c r="F37" s="54"/>
      <c r="G37" s="54"/>
      <c r="H37" s="54"/>
      <c r="I37" s="38"/>
      <c r="J37" s="39" t="str">
        <f ca="1">INDIRECT("'"&amp;A37&amp;"'!B1")</f>
        <v>Incomplete</v>
      </c>
      <c r="L37" s="52">
        <v>30</v>
      </c>
      <c r="M37" s="40" t="str">
        <f>IF('30'!$A$8="","",'30'!$A$8)</f>
        <v/>
      </c>
      <c r="N37" s="40" t="str">
        <f>IF('30'!$A$12="","",'30'!$A$12)</f>
        <v/>
      </c>
      <c r="O37" s="40"/>
      <c r="P37" s="40"/>
      <c r="Q37" s="40"/>
      <c r="R37" s="40"/>
      <c r="S37" s="40"/>
      <c r="T37" s="456" t="s">
        <v>178</v>
      </c>
      <c r="U37" s="456"/>
      <c r="V37" s="456"/>
      <c r="W37" s="456"/>
      <c r="X37" s="456"/>
      <c r="Y37" s="478"/>
      <c r="Z37" s="478"/>
      <c r="AA37" s="478"/>
      <c r="AB37" s="478"/>
      <c r="AC37" s="478"/>
      <c r="AD37" s="478"/>
      <c r="AE37" s="478"/>
      <c r="AF37" s="478"/>
      <c r="AG37" s="478"/>
    </row>
    <row r="38" spans="1:33">
      <c r="Y38" s="478"/>
      <c r="Z38" s="478"/>
      <c r="AA38" s="478"/>
      <c r="AB38" s="478"/>
      <c r="AC38" s="478"/>
      <c r="AD38" s="478"/>
      <c r="AE38" s="478"/>
      <c r="AF38" s="478"/>
      <c r="AG38" s="478"/>
    </row>
    <row r="39" spans="1:33">
      <c r="Y39" s="478"/>
      <c r="Z39" s="478"/>
      <c r="AA39" s="478"/>
      <c r="AB39" s="478"/>
      <c r="AC39" s="478"/>
      <c r="AD39" s="478"/>
      <c r="AE39" s="478"/>
      <c r="AF39" s="478"/>
      <c r="AG39" s="478"/>
    </row>
    <row r="40" spans="1:33">
      <c r="Y40" s="478"/>
      <c r="Z40" s="478"/>
      <c r="AA40" s="478"/>
      <c r="AB40" s="478"/>
      <c r="AC40" s="478"/>
      <c r="AD40" s="478"/>
      <c r="AE40" s="478"/>
      <c r="AF40" s="478"/>
      <c r="AG40" s="478"/>
    </row>
    <row r="41" spans="1:33">
      <c r="Y41" s="478"/>
      <c r="Z41" s="478"/>
      <c r="AA41" s="478"/>
      <c r="AB41" s="478"/>
      <c r="AC41" s="478"/>
      <c r="AD41" s="478"/>
      <c r="AE41" s="478"/>
      <c r="AF41" s="478"/>
      <c r="AG41" s="478"/>
    </row>
    <row r="42" spans="1:33">
      <c r="Y42" s="478"/>
      <c r="Z42" s="478"/>
      <c r="AA42" s="478"/>
      <c r="AB42" s="478"/>
      <c r="AC42" s="478"/>
      <c r="AD42" s="478"/>
      <c r="AE42" s="478"/>
      <c r="AF42" s="478"/>
      <c r="AG42" s="478"/>
    </row>
    <row r="43" spans="1:33">
      <c r="Y43" s="478"/>
      <c r="Z43" s="478"/>
      <c r="AA43" s="478"/>
      <c r="AB43" s="478"/>
      <c r="AC43" s="478"/>
      <c r="AD43" s="478"/>
      <c r="AE43" s="478"/>
      <c r="AF43" s="478"/>
      <c r="AG43" s="478"/>
    </row>
    <row r="44" spans="1:33">
      <c r="Y44" s="478"/>
      <c r="Z44" s="478"/>
      <c r="AA44" s="478"/>
      <c r="AB44" s="478"/>
      <c r="AC44" s="478"/>
      <c r="AD44" s="478"/>
      <c r="AE44" s="478"/>
      <c r="AF44" s="478"/>
      <c r="AG44" s="478"/>
    </row>
    <row r="45" spans="1:33">
      <c r="Y45" s="478"/>
      <c r="Z45" s="478"/>
      <c r="AA45" s="478"/>
      <c r="AB45" s="478"/>
      <c r="AC45" s="478"/>
      <c r="AD45" s="478"/>
      <c r="AE45" s="478"/>
      <c r="AF45" s="478"/>
      <c r="AG45" s="478"/>
    </row>
    <row r="46" spans="1:33">
      <c r="Y46" s="478"/>
      <c r="Z46" s="478"/>
      <c r="AA46" s="478"/>
      <c r="AB46" s="478"/>
      <c r="AC46" s="478"/>
      <c r="AD46" s="478"/>
      <c r="AE46" s="478"/>
      <c r="AF46" s="478"/>
      <c r="AG46" s="478"/>
    </row>
    <row r="47" spans="1:33">
      <c r="Y47" s="478"/>
      <c r="Z47" s="478"/>
      <c r="AA47" s="478"/>
      <c r="AB47" s="478"/>
      <c r="AC47" s="478"/>
      <c r="AD47" s="478"/>
      <c r="AE47" s="478"/>
      <c r="AF47" s="478"/>
      <c r="AG47" s="478"/>
    </row>
    <row r="48" spans="1:33">
      <c r="Y48" s="478"/>
      <c r="Z48" s="478"/>
      <c r="AA48" s="478"/>
      <c r="AB48" s="478"/>
      <c r="AC48" s="478"/>
      <c r="AD48" s="478"/>
      <c r="AE48" s="478"/>
      <c r="AF48" s="478"/>
      <c r="AG48" s="478"/>
    </row>
    <row r="49" spans="25:33">
      <c r="Y49" s="478"/>
      <c r="Z49" s="478"/>
      <c r="AA49" s="478"/>
      <c r="AB49" s="478"/>
      <c r="AC49" s="478"/>
      <c r="AD49" s="478"/>
      <c r="AE49" s="478"/>
      <c r="AF49" s="478"/>
      <c r="AG49" s="478"/>
    </row>
    <row r="50" spans="25:33">
      <c r="Y50" s="478"/>
      <c r="Z50" s="478"/>
      <c r="AA50" s="478"/>
      <c r="AB50" s="478"/>
      <c r="AC50" s="478"/>
      <c r="AD50" s="478"/>
      <c r="AE50" s="478"/>
      <c r="AF50" s="478"/>
      <c r="AG50" s="478"/>
    </row>
  </sheetData>
  <mergeCells count="1">
    <mergeCell ref="B6:B7"/>
  </mergeCells>
  <conditionalFormatting sqref="J8:J37">
    <cfRule type="cellIs" dxfId="102" priority="217" operator="equal">
      <formula>"Finished"</formula>
    </cfRule>
    <cfRule type="cellIs" dxfId="101" priority="218" operator="equal">
      <formula>"Flag for Review"</formula>
    </cfRule>
    <cfRule type="cellIs" dxfId="100" priority="219" operator="equal">
      <formula>"Incomplete"</formula>
    </cfRule>
  </conditionalFormatting>
  <conditionalFormatting sqref="P2">
    <cfRule type="expression" dxfId="99" priority="56">
      <formula>LEN(P2)=0</formula>
    </cfRule>
    <cfRule type="cellIs" dxfId="98" priority="214" operator="greaterThanOrEqual">
      <formula>0.75</formula>
    </cfRule>
    <cfRule type="cellIs" dxfId="97" priority="215" operator="greaterThanOrEqual">
      <formula>0.65</formula>
    </cfRule>
    <cfRule type="cellIs" dxfId="96" priority="216" operator="greaterThanOrEqual">
      <formula>0</formula>
    </cfRule>
  </conditionalFormatting>
  <conditionalFormatting sqref="C8:I32 I32:I37 C10:H37">
    <cfRule type="containsBlanks" dxfId="95" priority="220">
      <formula>LEN(TRIM(C8))=0</formula>
    </cfRule>
  </conditionalFormatting>
  <conditionalFormatting sqref="M8:S37">
    <cfRule type="expression" dxfId="94" priority="29">
      <formula>C8=""</formula>
    </cfRule>
    <cfRule type="expression" dxfId="93" priority="30">
      <formula>M8/C8&gt;=0.75</formula>
    </cfRule>
    <cfRule type="expression" dxfId="92" priority="31">
      <formula>M8/C8&gt;=0.65</formula>
    </cfRule>
    <cfRule type="expression" dxfId="91" priority="32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3" location="'26'!A1" display="'26'!A1"/>
    <hyperlink ref="A34" location="'27'!A1" display="'27'!A1"/>
    <hyperlink ref="A35" location="'28'!A1" display="'28'!A1"/>
    <hyperlink ref="A36" location="'29'!A1" display="'29'!A1"/>
    <hyperlink ref="A37" location="'30'!A1" display="'30'!A1"/>
    <hyperlink ref="L33" location="'26'!A1" display="'26'!A1"/>
    <hyperlink ref="L34" location="'27'!A1" display="'27'!A1"/>
    <hyperlink ref="L35" location="'28'!A1" display="'28'!A1"/>
    <hyperlink ref="L36" location="'29'!A1" display="'29'!A1"/>
    <hyperlink ref="L37" location="'30'!A1" display="'30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1</v>
      </c>
      <c r="B1" s="26" t="s">
        <v>12</v>
      </c>
      <c r="C1" s="20"/>
      <c r="D1" s="20"/>
      <c r="E1" s="20"/>
      <c r="F1" s="20"/>
      <c r="G1" s="20"/>
      <c r="H1" s="1024" t="s">
        <v>24</v>
      </c>
      <c r="I1" s="1025"/>
      <c r="K1" s="1" t="s">
        <v>33</v>
      </c>
      <c r="L1" s="47" t="str">
        <f>VLOOKUP(A1,'Point Grid'!$L$8:$T$54,9,FALSE)</f>
        <v>General Pricing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2" t="s">
        <v>132</v>
      </c>
      <c r="L3" t="s">
        <v>341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Grid'!B:B,MATCH('1'!A1,'Point Grid'!A:A,0))</f>
        <v>1</v>
      </c>
      <c r="B4" s="17" t="s">
        <v>39</v>
      </c>
      <c r="C4" s="17"/>
      <c r="D4" s="17"/>
      <c r="E4" s="17"/>
      <c r="F4" s="17"/>
      <c r="G4" s="17"/>
      <c r="H4" s="17"/>
      <c r="I4" s="18"/>
      <c r="J4" s="30"/>
      <c r="K4" s="42"/>
      <c r="L4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2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338</v>
      </c>
      <c r="C6" s="17"/>
      <c r="D6" s="17"/>
      <c r="E6" s="17"/>
      <c r="F6" s="17"/>
      <c r="G6" s="17"/>
      <c r="H6" s="17"/>
      <c r="I6" s="18"/>
      <c r="J6" s="30"/>
      <c r="K6" s="42"/>
      <c r="L6" s="1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0"/>
      <c r="K7" s="42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4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34"/>
      <c r="C9" s="17"/>
      <c r="D9" s="17"/>
      <c r="E9" s="17"/>
      <c r="F9" s="17"/>
      <c r="G9" s="17"/>
      <c r="H9" s="17"/>
      <c r="I9" s="18"/>
      <c r="J9" s="30"/>
      <c r="K9" s="42"/>
      <c r="L9"/>
      <c r="M9"/>
      <c r="N9"/>
      <c r="O9"/>
      <c r="P9"/>
      <c r="Q9"/>
      <c r="R9"/>
      <c r="S9"/>
    </row>
    <row r="10" spans="1:21">
      <c r="A10" s="25"/>
      <c r="B10" s="34"/>
      <c r="C10" s="17"/>
      <c r="D10" s="17"/>
      <c r="E10" s="17"/>
      <c r="F10" s="17"/>
      <c r="G10" s="17"/>
      <c r="H10" s="17"/>
      <c r="I10" s="18"/>
      <c r="J10" s="30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33" t="s">
        <v>41</v>
      </c>
      <c r="C11" s="17" t="s">
        <v>339</v>
      </c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33"/>
      <c r="C12" s="17"/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33"/>
      <c r="C13" s="17"/>
      <c r="D13" s="17"/>
      <c r="E13" s="17"/>
      <c r="F13" s="17"/>
      <c r="G13" s="17"/>
      <c r="H13" s="17"/>
      <c r="I13" s="18"/>
      <c r="J13" s="30"/>
      <c r="K13" s="42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33" t="s">
        <v>40</v>
      </c>
      <c r="C14" s="17" t="s">
        <v>340</v>
      </c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33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33"/>
      <c r="C16" s="17"/>
      <c r="D16" s="17"/>
      <c r="E16" s="17"/>
      <c r="F16" s="17"/>
      <c r="G16" s="17"/>
      <c r="H16" s="17"/>
      <c r="I16" s="18"/>
      <c r="J16" s="30"/>
      <c r="K16" s="42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33" t="s">
        <v>42</v>
      </c>
      <c r="C17" s="17" t="s">
        <v>341</v>
      </c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33"/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33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33" t="s">
        <v>43</v>
      </c>
      <c r="C20" s="17" t="s">
        <v>342</v>
      </c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33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33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33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33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33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33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2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2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90" priority="1" operator="equal">
      <formula>"Incomplete"</formula>
    </cfRule>
    <cfRule type="cellIs" dxfId="89" priority="2" operator="equal">
      <formula>"Flag for Review"</formula>
    </cfRule>
    <cfRule type="cellIs" dxfId="8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2</v>
      </c>
      <c r="B1" s="26" t="s">
        <v>12</v>
      </c>
      <c r="C1" s="20"/>
      <c r="D1" s="20"/>
      <c r="E1" s="20"/>
      <c r="F1" s="20"/>
      <c r="G1" s="20"/>
      <c r="H1" s="1024" t="s">
        <v>24</v>
      </c>
      <c r="I1" s="1025"/>
      <c r="K1" s="1" t="s">
        <v>33</v>
      </c>
      <c r="L1" s="47" t="str">
        <f>VLOOKUP(A1,'Point Grid'!$L$8:$T$54,9,FALSE)</f>
        <v>General Pricing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2" t="s">
        <v>132</v>
      </c>
      <c r="L3" t="s">
        <v>346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1</v>
      </c>
      <c r="B4" s="17" t="s">
        <v>39</v>
      </c>
      <c r="C4" s="17"/>
      <c r="D4" s="17"/>
      <c r="E4" s="17"/>
      <c r="F4" s="17"/>
      <c r="G4" s="17"/>
      <c r="H4" s="17"/>
      <c r="I4" s="18"/>
      <c r="J4" s="30"/>
      <c r="K4" s="42"/>
      <c r="L4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2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343</v>
      </c>
      <c r="C6" s="17"/>
      <c r="D6" s="17"/>
      <c r="E6" s="17"/>
      <c r="F6" s="17"/>
      <c r="G6" s="17"/>
      <c r="H6" s="17"/>
      <c r="I6" s="18"/>
      <c r="J6" s="30"/>
      <c r="K6" s="42"/>
      <c r="L6" s="1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0"/>
      <c r="K7" s="42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4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34"/>
      <c r="C9" s="17"/>
      <c r="D9" s="17"/>
      <c r="E9" s="17"/>
      <c r="F9" s="17"/>
      <c r="G9" s="17"/>
      <c r="H9" s="17"/>
      <c r="I9" s="18"/>
      <c r="J9" s="30"/>
      <c r="K9" s="42"/>
      <c r="L9"/>
      <c r="M9"/>
      <c r="N9"/>
      <c r="O9"/>
      <c r="P9"/>
      <c r="Q9"/>
      <c r="R9"/>
      <c r="S9"/>
    </row>
    <row r="10" spans="1:21">
      <c r="A10" s="25"/>
      <c r="B10" s="34"/>
      <c r="C10" s="17"/>
      <c r="D10" s="17"/>
      <c r="E10" s="17"/>
      <c r="F10" s="17"/>
      <c r="G10" s="17"/>
      <c r="H10" s="17"/>
      <c r="I10" s="18"/>
      <c r="J10" s="30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33" t="s">
        <v>41</v>
      </c>
      <c r="C11" s="17" t="s">
        <v>344</v>
      </c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33"/>
      <c r="C12" s="17"/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33"/>
      <c r="C13" s="17"/>
      <c r="D13" s="17"/>
      <c r="E13" s="17"/>
      <c r="F13" s="17"/>
      <c r="G13" s="17"/>
      <c r="H13" s="17"/>
      <c r="I13" s="18"/>
      <c r="J13" s="30"/>
      <c r="K13" s="42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33" t="s">
        <v>40</v>
      </c>
      <c r="C14" s="17" t="s">
        <v>345</v>
      </c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33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33"/>
      <c r="C16" s="17"/>
      <c r="D16" s="17"/>
      <c r="E16" s="17"/>
      <c r="F16" s="17"/>
      <c r="G16" s="17"/>
      <c r="H16" s="17"/>
      <c r="I16" s="18"/>
      <c r="J16" s="30"/>
      <c r="K16" s="42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33" t="s">
        <v>42</v>
      </c>
      <c r="C17" s="17" t="s">
        <v>346</v>
      </c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33"/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33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33" t="s">
        <v>43</v>
      </c>
      <c r="C20" s="17" t="s">
        <v>285</v>
      </c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33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33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33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33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33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33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2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2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87" priority="1" operator="equal">
      <formula>"Incomplete"</formula>
    </cfRule>
    <cfRule type="cellIs" dxfId="86" priority="2" operator="equal">
      <formula>"Flag for Review"</formula>
    </cfRule>
    <cfRule type="cellIs" dxfId="8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3</v>
      </c>
      <c r="B1" s="26" t="s">
        <v>12</v>
      </c>
      <c r="C1" s="20"/>
      <c r="D1" s="20"/>
      <c r="E1" s="20"/>
      <c r="F1" s="20"/>
      <c r="G1" s="20"/>
      <c r="H1" s="1024" t="s">
        <v>24</v>
      </c>
      <c r="I1" s="1025"/>
      <c r="K1" s="1" t="s">
        <v>33</v>
      </c>
      <c r="L1" s="47" t="str">
        <f>VLOOKUP(A1,'Point Grid'!$L$8:$T$54,9,FALSE)</f>
        <v>General Reserving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2" t="s">
        <v>130</v>
      </c>
      <c r="L3" t="s">
        <v>348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1</v>
      </c>
      <c r="B4" s="17" t="s">
        <v>39</v>
      </c>
      <c r="C4" s="17"/>
      <c r="D4" s="17"/>
      <c r="E4" s="17"/>
      <c r="F4" s="17"/>
      <c r="G4" s="17"/>
      <c r="H4" s="17"/>
      <c r="I4" s="18"/>
      <c r="J4" s="30"/>
      <c r="K4" s="42"/>
      <c r="L4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2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347</v>
      </c>
      <c r="C6" s="17"/>
      <c r="D6" s="17"/>
      <c r="E6" s="17"/>
      <c r="F6" s="17"/>
      <c r="G6" s="17"/>
      <c r="H6" s="17"/>
      <c r="I6" s="18"/>
      <c r="J6" s="30"/>
      <c r="K6" s="42"/>
      <c r="L6" s="1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0"/>
      <c r="K7" s="42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4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34"/>
      <c r="C9" s="17"/>
      <c r="D9" s="17"/>
      <c r="E9" s="17"/>
      <c r="F9" s="17"/>
      <c r="G9" s="17"/>
      <c r="H9" s="17"/>
      <c r="I9" s="18"/>
      <c r="J9" s="30"/>
      <c r="K9" s="42"/>
      <c r="L9"/>
      <c r="M9"/>
      <c r="N9"/>
      <c r="O9"/>
      <c r="P9"/>
      <c r="Q9"/>
      <c r="R9"/>
      <c r="S9"/>
    </row>
    <row r="10" spans="1:21">
      <c r="A10" s="25"/>
      <c r="B10" s="34"/>
      <c r="C10" s="17"/>
      <c r="D10" s="17"/>
      <c r="E10" s="17"/>
      <c r="F10" s="17"/>
      <c r="G10" s="17"/>
      <c r="H10" s="17"/>
      <c r="I10" s="18"/>
      <c r="J10" s="30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33" t="s">
        <v>41</v>
      </c>
      <c r="C11" s="17" t="s">
        <v>348</v>
      </c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33"/>
      <c r="C12" s="17"/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33"/>
      <c r="C13" s="17"/>
      <c r="D13" s="17"/>
      <c r="E13" s="17"/>
      <c r="F13" s="17"/>
      <c r="G13" s="17"/>
      <c r="H13" s="17"/>
      <c r="I13" s="18"/>
      <c r="J13" s="30"/>
      <c r="K13" s="42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33" t="s">
        <v>40</v>
      </c>
      <c r="C14" s="17" t="s">
        <v>349</v>
      </c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33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33"/>
      <c r="C16" s="17"/>
      <c r="D16" s="17"/>
      <c r="E16" s="17"/>
      <c r="F16" s="17"/>
      <c r="G16" s="17"/>
      <c r="H16" s="17"/>
      <c r="I16" s="18"/>
      <c r="J16" s="30"/>
      <c r="K16" s="42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33" t="s">
        <v>42</v>
      </c>
      <c r="C17" s="17" t="s">
        <v>350</v>
      </c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33"/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33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33" t="s">
        <v>43</v>
      </c>
      <c r="C20" s="17" t="s">
        <v>351</v>
      </c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33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33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33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33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33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33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2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2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84" priority="1" operator="equal">
      <formula>"Incomplete"</formula>
    </cfRule>
    <cfRule type="cellIs" dxfId="83" priority="2" operator="equal">
      <formula>"Flag for Review"</formula>
    </cfRule>
    <cfRule type="cellIs" dxfId="8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4</v>
      </c>
      <c r="B1" s="26" t="s">
        <v>12</v>
      </c>
      <c r="C1" s="20"/>
      <c r="D1" s="20"/>
      <c r="E1" s="20"/>
      <c r="F1" s="20"/>
      <c r="G1" s="20"/>
      <c r="H1" s="1024" t="s">
        <v>24</v>
      </c>
      <c r="I1" s="1025"/>
      <c r="K1" s="1" t="s">
        <v>33</v>
      </c>
      <c r="L1" s="47" t="str">
        <f>VLOOKUP(A1,'Point Grid'!$L$8:$T$54,9,FALSE)</f>
        <v>General Reserving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2" t="s">
        <v>130</v>
      </c>
      <c r="L3" t="s">
        <v>353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1</v>
      </c>
      <c r="B4" s="17" t="s">
        <v>39</v>
      </c>
      <c r="C4" s="17"/>
      <c r="D4" s="17"/>
      <c r="E4" s="17"/>
      <c r="F4" s="17"/>
      <c r="G4" s="17"/>
      <c r="H4" s="17"/>
      <c r="I4" s="18"/>
      <c r="J4" s="30"/>
      <c r="K4" s="42"/>
      <c r="L4" t="s">
        <v>354</v>
      </c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2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352</v>
      </c>
      <c r="C6" s="17"/>
      <c r="D6" s="17"/>
      <c r="E6" s="17"/>
      <c r="F6" s="17"/>
      <c r="G6" s="17"/>
      <c r="H6" s="17"/>
      <c r="I6" s="18"/>
      <c r="J6" s="30"/>
      <c r="K6" s="42"/>
      <c r="L6" s="1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0"/>
      <c r="K7" s="42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4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34"/>
      <c r="C9" s="17"/>
      <c r="D9" s="17"/>
      <c r="E9" s="17"/>
      <c r="F9" s="17"/>
      <c r="G9" s="17"/>
      <c r="H9" s="17"/>
      <c r="I9" s="18"/>
      <c r="J9" s="30"/>
      <c r="K9" s="42"/>
      <c r="L9"/>
      <c r="M9"/>
      <c r="N9"/>
      <c r="O9"/>
      <c r="P9"/>
      <c r="Q9"/>
      <c r="R9"/>
      <c r="S9"/>
    </row>
    <row r="10" spans="1:21">
      <c r="A10" s="25"/>
      <c r="B10" s="34"/>
      <c r="C10" s="17"/>
      <c r="D10" s="17"/>
      <c r="E10" s="17"/>
      <c r="F10" s="17"/>
      <c r="G10" s="17"/>
      <c r="H10" s="17"/>
      <c r="I10" s="18"/>
      <c r="J10" s="30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33" t="s">
        <v>41</v>
      </c>
      <c r="C11" s="17" t="s">
        <v>353</v>
      </c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33"/>
      <c r="C12" s="17" t="s">
        <v>354</v>
      </c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33"/>
      <c r="C13" s="17"/>
      <c r="D13" s="17"/>
      <c r="E13" s="17"/>
      <c r="F13" s="17"/>
      <c r="G13" s="17"/>
      <c r="H13" s="17"/>
      <c r="I13" s="18"/>
      <c r="J13" s="30"/>
      <c r="K13" s="42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33" t="s">
        <v>40</v>
      </c>
      <c r="C14" s="17" t="s">
        <v>355</v>
      </c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33"/>
      <c r="C15" s="17" t="s">
        <v>356</v>
      </c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33"/>
      <c r="C16" s="17"/>
      <c r="D16" s="17"/>
      <c r="E16" s="17"/>
      <c r="F16" s="17"/>
      <c r="G16" s="17"/>
      <c r="H16" s="17"/>
      <c r="I16" s="18"/>
      <c r="J16" s="30"/>
      <c r="K16" s="42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33" t="s">
        <v>42</v>
      </c>
      <c r="C17" s="17" t="s">
        <v>357</v>
      </c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33"/>
      <c r="C18" s="17" t="s">
        <v>358</v>
      </c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33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33" t="s">
        <v>43</v>
      </c>
      <c r="C20" s="17" t="s">
        <v>359</v>
      </c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33"/>
      <c r="C21" s="17" t="s">
        <v>360</v>
      </c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33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33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33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33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33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2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2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81" priority="1" operator="equal">
      <formula>"Incomplete"</formula>
    </cfRule>
    <cfRule type="cellIs" dxfId="80" priority="2" operator="equal">
      <formula>"Flag for Review"</formula>
    </cfRule>
    <cfRule type="cellIs" dxfId="7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A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3" width="11.140625" style="21" customWidth="1"/>
    <col min="14" max="16384" width="9.140625" style="21"/>
  </cols>
  <sheetData>
    <row r="1" spans="1:27">
      <c r="A1" s="7">
        <v>5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1024" t="s">
        <v>24</v>
      </c>
      <c r="M1" s="1025"/>
      <c r="O1" s="1" t="s">
        <v>33</v>
      </c>
      <c r="P1" s="47" t="str">
        <f>VLOOKUP(A1,'Point Grid'!$L$8:$T$54,9,FALSE)</f>
        <v>Pricing - Chap 3: Data</v>
      </c>
      <c r="Q1"/>
      <c r="R1"/>
      <c r="S1"/>
      <c r="T1"/>
      <c r="U1"/>
      <c r="V1"/>
      <c r="W1"/>
      <c r="X1"/>
      <c r="Y1"/>
    </row>
    <row r="2" spans="1:27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1"/>
      <c r="P2"/>
      <c r="Q2"/>
      <c r="R2"/>
      <c r="S2"/>
      <c r="T2"/>
      <c r="U2"/>
      <c r="V2"/>
      <c r="W2"/>
      <c r="X2"/>
      <c r="Y2"/>
    </row>
    <row r="3" spans="1:27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 s="42"/>
      <c r="P3" s="419"/>
      <c r="Q3" s="419"/>
      <c r="R3" s="419"/>
      <c r="S3" s="419"/>
      <c r="T3" s="419"/>
      <c r="U3" s="419"/>
      <c r="V3" s="419"/>
      <c r="W3" s="419"/>
      <c r="X3" s="419"/>
      <c r="Y3"/>
    </row>
    <row r="4" spans="1:27">
      <c r="A4" s="9">
        <f>INDEX('Point Grid'!B:B,MATCH(A1,'Point Grid'!A:A,0))</f>
        <v>1</v>
      </c>
      <c r="B4" s="17" t="s">
        <v>46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O4" s="422" t="s">
        <v>2</v>
      </c>
      <c r="P4" s="423" t="s">
        <v>383</v>
      </c>
      <c r="Q4" s="421"/>
      <c r="R4" s="421"/>
      <c r="S4" s="421"/>
      <c r="T4" s="421"/>
      <c r="U4" s="439">
        <f>E6</f>
        <v>2022</v>
      </c>
      <c r="V4" s="442" t="s">
        <v>384</v>
      </c>
      <c r="W4" s="433"/>
      <c r="X4" s="433"/>
      <c r="Y4" s="433"/>
      <c r="Z4" s="440" t="str">
        <f>G6</f>
        <v>2025.2.01</v>
      </c>
      <c r="AA4" s="441"/>
    </row>
    <row r="5" spans="1:27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O5" s="421"/>
      <c r="P5" s="421" t="s">
        <v>385</v>
      </c>
      <c r="Q5" s="421"/>
      <c r="R5" s="421"/>
      <c r="S5" s="421"/>
      <c r="T5" s="421"/>
      <c r="U5" s="421" t="s">
        <v>386</v>
      </c>
      <c r="V5" s="421"/>
      <c r="W5" s="421"/>
      <c r="X5" s="421"/>
      <c r="Y5" s="421"/>
      <c r="Z5" s="421"/>
      <c r="AA5" s="421"/>
    </row>
    <row r="6" spans="1:27">
      <c r="A6" s="25" t="s">
        <v>2</v>
      </c>
      <c r="B6" s="118" t="s">
        <v>365</v>
      </c>
      <c r="C6" s="118"/>
      <c r="D6" s="100"/>
      <c r="E6" s="461">
        <v>2022</v>
      </c>
      <c r="F6" s="195" t="s">
        <v>362</v>
      </c>
      <c r="G6" s="459" t="s">
        <v>363</v>
      </c>
      <c r="H6" s="460"/>
      <c r="I6" s="118"/>
      <c r="J6" s="118" t="s">
        <v>364</v>
      </c>
      <c r="K6" s="118"/>
      <c r="L6" s="118"/>
      <c r="M6" s="18"/>
      <c r="O6" s="425"/>
      <c r="P6" s="421" t="s">
        <v>387</v>
      </c>
      <c r="Q6" s="421"/>
      <c r="R6" s="421"/>
      <c r="S6" s="421"/>
      <c r="T6" s="421"/>
      <c r="U6" s="421" t="s">
        <v>388</v>
      </c>
      <c r="V6" s="421"/>
      <c r="W6" s="421"/>
      <c r="X6" s="421"/>
      <c r="Y6" s="421"/>
      <c r="Z6" s="421"/>
      <c r="AA6" s="421"/>
    </row>
    <row r="7" spans="1:27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O7" s="425"/>
      <c r="P7" s="421" t="s">
        <v>389</v>
      </c>
      <c r="Q7" s="421"/>
      <c r="R7" s="421"/>
      <c r="S7" s="421"/>
      <c r="T7" s="421"/>
      <c r="U7" s="432">
        <f>SUM(AA11:AA26)</f>
        <v>1101</v>
      </c>
      <c r="V7" s="436" t="s">
        <v>390</v>
      </c>
      <c r="W7" s="420" t="s">
        <v>249</v>
      </c>
      <c r="X7" s="421"/>
      <c r="Y7" s="421"/>
      <c r="Z7" s="421"/>
      <c r="AA7" s="421"/>
    </row>
    <row r="8" spans="1:27" ht="15.75" thickBot="1">
      <c r="A8" s="5"/>
      <c r="B8" s="34" t="s">
        <v>37</v>
      </c>
      <c r="C8" s="59"/>
      <c r="D8" s="27"/>
      <c r="E8" s="27"/>
      <c r="F8" s="27"/>
      <c r="G8" s="27"/>
      <c r="H8" s="27"/>
      <c r="I8" s="27"/>
      <c r="J8" s="27"/>
      <c r="K8" s="27"/>
      <c r="L8" s="27"/>
      <c r="M8" s="18"/>
      <c r="O8" s="425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</row>
    <row r="9" spans="1:27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O9" s="437"/>
      <c r="P9" s="426"/>
      <c r="Q9" s="426" t="s">
        <v>366</v>
      </c>
      <c r="R9" s="426"/>
      <c r="S9" s="426" t="s">
        <v>367</v>
      </c>
      <c r="T9" s="426"/>
      <c r="U9" s="426" t="s">
        <v>368</v>
      </c>
      <c r="V9" s="426"/>
      <c r="W9" s="426" t="s">
        <v>281</v>
      </c>
      <c r="X9" s="425"/>
      <c r="Y9" s="454" t="s">
        <v>391</v>
      </c>
      <c r="Z9" s="428"/>
      <c r="AA9" s="454" t="s">
        <v>251</v>
      </c>
    </row>
    <row r="10" spans="1:27">
      <c r="A10" s="2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O10" s="447" t="s">
        <v>392</v>
      </c>
      <c r="P10" s="443" t="s">
        <v>282</v>
      </c>
      <c r="Q10" s="444" t="s">
        <v>369</v>
      </c>
      <c r="R10" s="444"/>
      <c r="S10" s="444" t="s">
        <v>369</v>
      </c>
      <c r="T10" s="444"/>
      <c r="U10" s="444" t="s">
        <v>152</v>
      </c>
      <c r="V10" s="444"/>
      <c r="W10" s="444" t="s">
        <v>370</v>
      </c>
      <c r="X10" s="438"/>
      <c r="Y10" s="455" t="s">
        <v>370</v>
      </c>
      <c r="Z10" s="453"/>
      <c r="AA10" s="455" t="s">
        <v>97</v>
      </c>
    </row>
    <row r="11" spans="1:27">
      <c r="A11" s="25"/>
      <c r="B11" s="411" t="s">
        <v>393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  <c r="O11" s="446" t="str">
        <f>IFERROR(IF(AND(VALUE(LEFT(D14,4))=E6,AB11&lt;=AB4),"yes","no"),"")</f>
        <v>no</v>
      </c>
      <c r="P11" s="435" t="str">
        <f t="shared" ref="P11:P19" si="0">C14</f>
        <v>A</v>
      </c>
      <c r="Q11" s="425" t="str">
        <f t="shared" ref="Q11:Q19" si="1">D14</f>
        <v>2021.9.01</v>
      </c>
      <c r="R11" s="425"/>
      <c r="S11" s="425" t="str">
        <f t="shared" ref="S11:S19" si="2">F14</f>
        <v>2022.09.01</v>
      </c>
      <c r="T11" s="425"/>
      <c r="U11" s="425">
        <f t="shared" ref="U11:U19" si="3">H14</f>
        <v>0</v>
      </c>
      <c r="V11" s="425"/>
      <c r="W11" s="425">
        <f t="shared" ref="W11:W19" si="4">J14</f>
        <v>297</v>
      </c>
      <c r="X11" s="425"/>
      <c r="Y11" s="428">
        <f>IFERROR(IF(P11=P10,W11-W10,W11),"")</f>
        <v>297</v>
      </c>
      <c r="Z11" s="425"/>
      <c r="AA11" s="428" t="str">
        <f>IF(O11="yes",U11+Y11,"")</f>
        <v/>
      </c>
    </row>
    <row r="12" spans="1:27">
      <c r="A12" s="25"/>
      <c r="B12" s="100"/>
      <c r="C12" s="149"/>
      <c r="D12" s="149" t="s">
        <v>366</v>
      </c>
      <c r="E12" s="149"/>
      <c r="F12" s="149" t="s">
        <v>367</v>
      </c>
      <c r="G12" s="149"/>
      <c r="H12" s="149" t="s">
        <v>368</v>
      </c>
      <c r="I12" s="149"/>
      <c r="J12" s="149" t="s">
        <v>281</v>
      </c>
      <c r="K12" s="151"/>
      <c r="L12" s="17"/>
      <c r="M12" s="18"/>
      <c r="O12" s="446" t="str">
        <f>IFERROR(IF(AND(VALUE(LEFT(D15,4))=E6,AB12&lt;=AB4),"yes","no"),"")</f>
        <v>no</v>
      </c>
      <c r="P12" s="435" t="str">
        <f t="shared" si="0"/>
        <v>A</v>
      </c>
      <c r="Q12" s="425" t="str">
        <f t="shared" si="1"/>
        <v>2021.9.01</v>
      </c>
      <c r="R12" s="425"/>
      <c r="S12" s="425" t="str">
        <f t="shared" si="2"/>
        <v>2023.03.01</v>
      </c>
      <c r="T12" s="425"/>
      <c r="U12" s="425">
        <f t="shared" si="3"/>
        <v>300</v>
      </c>
      <c r="V12" s="425"/>
      <c r="W12" s="425">
        <f t="shared" si="4"/>
        <v>0</v>
      </c>
      <c r="X12" s="425"/>
      <c r="Y12" s="428">
        <f t="shared" ref="Y12:Y26" si="5">IFERROR(IF(P12=P11,W12-W11,W12),"")</f>
        <v>-297</v>
      </c>
      <c r="Z12" s="425"/>
      <c r="AA12" s="428" t="str">
        <f t="shared" ref="AA12:AA26" si="6">IF(O12="yes",U12+Y12,"")</f>
        <v/>
      </c>
    </row>
    <row r="13" spans="1:27">
      <c r="A13" s="25"/>
      <c r="B13" s="100"/>
      <c r="C13" s="410" t="s">
        <v>282</v>
      </c>
      <c r="D13" s="418" t="s">
        <v>369</v>
      </c>
      <c r="E13" s="418"/>
      <c r="F13" s="418" t="s">
        <v>369</v>
      </c>
      <c r="G13" s="418"/>
      <c r="H13" s="418" t="s">
        <v>152</v>
      </c>
      <c r="I13" s="418"/>
      <c r="J13" s="418" t="s">
        <v>370</v>
      </c>
      <c r="K13" s="413"/>
      <c r="L13" s="17"/>
      <c r="M13" s="18"/>
      <c r="O13" s="446" t="str">
        <f>IFERROR(IF(AND(VALUE(LEFT(D16,4))=E6,AB13&lt;=AB4),"yes","no"),"")</f>
        <v>yes</v>
      </c>
      <c r="P13" s="435" t="str">
        <f t="shared" si="0"/>
        <v>B</v>
      </c>
      <c r="Q13" s="425" t="str">
        <f t="shared" si="1"/>
        <v>2022.4.01</v>
      </c>
      <c r="R13" s="425"/>
      <c r="S13" s="425" t="str">
        <f t="shared" si="2"/>
        <v>2023.04.01</v>
      </c>
      <c r="T13" s="425"/>
      <c r="U13" s="425">
        <f t="shared" si="3"/>
        <v>512</v>
      </c>
      <c r="V13" s="425"/>
      <c r="W13" s="425">
        <f t="shared" si="4"/>
        <v>588</v>
      </c>
      <c r="X13" s="425"/>
      <c r="Y13" s="428">
        <f t="shared" si="5"/>
        <v>588</v>
      </c>
      <c r="Z13" s="425"/>
      <c r="AA13" s="428">
        <f t="shared" si="6"/>
        <v>1100</v>
      </c>
    </row>
    <row r="14" spans="1:27">
      <c r="A14" s="25"/>
      <c r="B14" s="100"/>
      <c r="C14" s="415" t="s">
        <v>130</v>
      </c>
      <c r="D14" s="208" t="s">
        <v>371</v>
      </c>
      <c r="E14" s="118"/>
      <c r="F14" s="118" t="s">
        <v>372</v>
      </c>
      <c r="G14" s="118"/>
      <c r="H14" s="118">
        <v>0</v>
      </c>
      <c r="I14" s="118"/>
      <c r="J14" s="118">
        <v>297</v>
      </c>
      <c r="K14" s="151"/>
      <c r="L14" s="17"/>
      <c r="M14" s="18"/>
      <c r="O14" s="445" t="str">
        <f>IFERROR(IF(AND(VALUE(LEFT(D17,4))=E6,AB14&lt;=AB4),"yes","no"),"")</f>
        <v>yes</v>
      </c>
      <c r="P14" s="443" t="str">
        <f t="shared" si="0"/>
        <v>B</v>
      </c>
      <c r="Q14" s="438" t="str">
        <f t="shared" si="1"/>
        <v>2022.4.01</v>
      </c>
      <c r="R14" s="438"/>
      <c r="S14" s="438" t="str">
        <f t="shared" si="2"/>
        <v>2024.01.01</v>
      </c>
      <c r="T14" s="438"/>
      <c r="U14" s="438">
        <f t="shared" si="3"/>
        <v>194</v>
      </c>
      <c r="V14" s="438"/>
      <c r="W14" s="438">
        <f t="shared" si="4"/>
        <v>403</v>
      </c>
      <c r="X14" s="438"/>
      <c r="Y14" s="453">
        <f t="shared" si="5"/>
        <v>-185</v>
      </c>
      <c r="Z14" s="438"/>
      <c r="AA14" s="453">
        <f t="shared" si="6"/>
        <v>9</v>
      </c>
    </row>
    <row r="15" spans="1:27">
      <c r="A15" s="25"/>
      <c r="B15" s="100"/>
      <c r="C15" s="410" t="s">
        <v>130</v>
      </c>
      <c r="D15" s="125" t="s">
        <v>371</v>
      </c>
      <c r="E15" s="125"/>
      <c r="F15" s="125" t="s">
        <v>373</v>
      </c>
      <c r="G15" s="125"/>
      <c r="H15" s="125">
        <v>300</v>
      </c>
      <c r="I15" s="125"/>
      <c r="J15" s="125">
        <v>0</v>
      </c>
      <c r="K15" s="413"/>
      <c r="L15" s="17"/>
      <c r="M15" s="18"/>
      <c r="O15" s="446" t="str">
        <f>IFERROR(IF(AND(VALUE(LEFT(D18,4))=E6,AB15&lt;=AB4),"yes","no"),"")</f>
        <v>yes</v>
      </c>
      <c r="P15" s="435" t="str">
        <f t="shared" si="0"/>
        <v>B</v>
      </c>
      <c r="Q15" s="425" t="str">
        <f t="shared" si="1"/>
        <v>2022.4.01</v>
      </c>
      <c r="R15" s="425"/>
      <c r="S15" s="425" t="str">
        <f t="shared" si="2"/>
        <v>2024.07.01</v>
      </c>
      <c r="T15" s="425"/>
      <c r="U15" s="425">
        <f t="shared" si="3"/>
        <v>56</v>
      </c>
      <c r="V15" s="425"/>
      <c r="W15" s="425">
        <f t="shared" si="4"/>
        <v>338</v>
      </c>
      <c r="X15" s="425"/>
      <c r="Y15" s="428">
        <f t="shared" si="5"/>
        <v>-65</v>
      </c>
      <c r="Z15" s="425"/>
      <c r="AA15" s="428">
        <f t="shared" si="6"/>
        <v>-9</v>
      </c>
    </row>
    <row r="16" spans="1:27">
      <c r="A16" s="25"/>
      <c r="B16" s="100"/>
      <c r="C16" s="416" t="s">
        <v>131</v>
      </c>
      <c r="D16" s="417" t="s">
        <v>374</v>
      </c>
      <c r="E16" s="118"/>
      <c r="F16" s="118" t="s">
        <v>375</v>
      </c>
      <c r="G16" s="118"/>
      <c r="H16" s="412">
        <v>512</v>
      </c>
      <c r="I16" s="118"/>
      <c r="J16" s="412">
        <v>588</v>
      </c>
      <c r="K16" s="118"/>
      <c r="L16" s="17"/>
      <c r="M16" s="18"/>
      <c r="O16" s="446" t="str">
        <f>IFERROR(IF(AND(VALUE(LEFT(D19,4))=E6,AB16&lt;=AB4),"yes","no"),"")</f>
        <v>yes</v>
      </c>
      <c r="P16" s="435" t="str">
        <f t="shared" si="0"/>
        <v>B</v>
      </c>
      <c r="Q16" s="425" t="str">
        <f t="shared" si="1"/>
        <v>2022.4.01</v>
      </c>
      <c r="R16" s="425"/>
      <c r="S16" s="425" t="str">
        <f t="shared" si="2"/>
        <v>2024.10.01</v>
      </c>
      <c r="T16" s="425"/>
      <c r="U16" s="425">
        <f t="shared" si="3"/>
        <v>19</v>
      </c>
      <c r="V16" s="425"/>
      <c r="W16" s="425">
        <f t="shared" si="4"/>
        <v>320</v>
      </c>
      <c r="X16" s="425"/>
      <c r="Y16" s="428">
        <f t="shared" si="5"/>
        <v>-18</v>
      </c>
      <c r="Z16" s="425"/>
      <c r="AA16" s="428">
        <f t="shared" si="6"/>
        <v>1</v>
      </c>
    </row>
    <row r="17" spans="1:27">
      <c r="A17" s="25"/>
      <c r="B17" s="100"/>
      <c r="C17" s="416" t="s">
        <v>131</v>
      </c>
      <c r="D17" s="118" t="s">
        <v>374</v>
      </c>
      <c r="E17" s="118"/>
      <c r="F17" s="118" t="s">
        <v>376</v>
      </c>
      <c r="G17" s="118"/>
      <c r="H17" s="412">
        <v>194</v>
      </c>
      <c r="I17" s="118"/>
      <c r="J17" s="412">
        <v>403</v>
      </c>
      <c r="K17" s="118"/>
      <c r="L17" s="17"/>
      <c r="M17" s="18"/>
      <c r="O17" s="446" t="str">
        <f>IFERROR(IF(AND(VALUE(LEFT(D20,4))=E6,AB17&lt;=AB4),"yes","no"),"")</f>
        <v>no</v>
      </c>
      <c r="P17" s="435" t="str">
        <f t="shared" si="0"/>
        <v>C</v>
      </c>
      <c r="Q17" s="425" t="str">
        <f t="shared" si="1"/>
        <v>2021.1.01</v>
      </c>
      <c r="R17" s="425"/>
      <c r="S17" s="425" t="str">
        <f t="shared" si="2"/>
        <v>2021.07.01</v>
      </c>
      <c r="T17" s="425"/>
      <c r="U17" s="425">
        <f t="shared" si="3"/>
        <v>728</v>
      </c>
      <c r="V17" s="425"/>
      <c r="W17" s="425">
        <f t="shared" si="4"/>
        <v>672</v>
      </c>
      <c r="X17" s="425"/>
      <c r="Y17" s="428">
        <f t="shared" si="5"/>
        <v>672</v>
      </c>
      <c r="Z17" s="425"/>
      <c r="AA17" s="428" t="str">
        <f t="shared" si="6"/>
        <v/>
      </c>
    </row>
    <row r="18" spans="1:27" ht="15" customHeight="1">
      <c r="A18" s="25"/>
      <c r="B18" s="100"/>
      <c r="C18" s="416" t="s">
        <v>131</v>
      </c>
      <c r="D18" s="118" t="s">
        <v>374</v>
      </c>
      <c r="E18" s="118"/>
      <c r="F18" s="118" t="s">
        <v>377</v>
      </c>
      <c r="G18" s="118"/>
      <c r="H18" s="412">
        <v>56</v>
      </c>
      <c r="I18" s="118"/>
      <c r="J18" s="412">
        <v>338</v>
      </c>
      <c r="K18" s="118"/>
      <c r="L18" s="17"/>
      <c r="M18" s="18"/>
      <c r="O18" s="445" t="str">
        <f>IFERROR(IF(AND(VALUE(LEFT(D21,4))=E6,AB18&lt;=AB4),"yes","no"),"")</f>
        <v>no</v>
      </c>
      <c r="P18" s="443" t="str">
        <f t="shared" si="0"/>
        <v>C</v>
      </c>
      <c r="Q18" s="438" t="str">
        <f t="shared" si="1"/>
        <v>2021.1.01</v>
      </c>
      <c r="R18" s="438"/>
      <c r="S18" s="438" t="str">
        <f t="shared" si="2"/>
        <v>2021.10.01</v>
      </c>
      <c r="T18" s="438"/>
      <c r="U18" s="438">
        <f t="shared" si="3"/>
        <v>91</v>
      </c>
      <c r="V18" s="438"/>
      <c r="W18" s="438">
        <f t="shared" si="4"/>
        <v>826</v>
      </c>
      <c r="X18" s="438"/>
      <c r="Y18" s="453">
        <f t="shared" si="5"/>
        <v>154</v>
      </c>
      <c r="Z18" s="438"/>
      <c r="AA18" s="453" t="str">
        <f t="shared" si="6"/>
        <v/>
      </c>
    </row>
    <row r="19" spans="1:27" ht="15" customHeight="1">
      <c r="A19" s="25"/>
      <c r="B19" s="100"/>
      <c r="C19" s="457" t="s">
        <v>131</v>
      </c>
      <c r="D19" s="125" t="s">
        <v>374</v>
      </c>
      <c r="E19" s="125"/>
      <c r="F19" s="125" t="s">
        <v>378</v>
      </c>
      <c r="G19" s="125"/>
      <c r="H19" s="458">
        <v>19</v>
      </c>
      <c r="I19" s="125"/>
      <c r="J19" s="458">
        <v>320</v>
      </c>
      <c r="K19" s="125"/>
      <c r="L19" s="17"/>
      <c r="M19" s="18"/>
      <c r="O19" s="446" t="str">
        <f>IFERROR(IF(AND(VALUE(LEFT(D22,4))=E6,AB19&lt;=AB4),"yes","no"),"")</f>
        <v>no</v>
      </c>
      <c r="P19" s="435" t="str">
        <f t="shared" si="0"/>
        <v>C</v>
      </c>
      <c r="Q19" s="425" t="str">
        <f t="shared" si="1"/>
        <v>2021.1.01</v>
      </c>
      <c r="R19" s="425"/>
      <c r="S19" s="425" t="str">
        <f t="shared" si="2"/>
        <v>2022.10.01</v>
      </c>
      <c r="T19" s="425"/>
      <c r="U19" s="425">
        <f t="shared" si="3"/>
        <v>581</v>
      </c>
      <c r="V19" s="425"/>
      <c r="W19" s="425">
        <f t="shared" si="4"/>
        <v>0</v>
      </c>
      <c r="X19" s="425"/>
      <c r="Y19" s="428">
        <f t="shared" si="5"/>
        <v>-826</v>
      </c>
      <c r="Z19" s="425"/>
      <c r="AA19" s="428" t="str">
        <f t="shared" si="6"/>
        <v/>
      </c>
    </row>
    <row r="20" spans="1:27" ht="15" customHeight="1">
      <c r="A20" s="25"/>
      <c r="B20" s="100"/>
      <c r="C20" s="416" t="s">
        <v>132</v>
      </c>
      <c r="D20" s="417" t="s">
        <v>379</v>
      </c>
      <c r="E20" s="118"/>
      <c r="F20" s="118" t="s">
        <v>380</v>
      </c>
      <c r="G20" s="118"/>
      <c r="H20" s="412">
        <v>728</v>
      </c>
      <c r="I20" s="118"/>
      <c r="J20" s="412">
        <v>672</v>
      </c>
      <c r="K20" s="118"/>
      <c r="L20" s="17"/>
      <c r="M20" s="18"/>
      <c r="O20" s="446" t="str">
        <f>IFERROR(IF(AND(VALUE(LEFT(C23,4))=E6,AB20&lt;=AB4),"yes","no"),"")</f>
        <v/>
      </c>
      <c r="P20" s="435">
        <f t="shared" ref="P20:Q26" si="7">B23</f>
        <v>0</v>
      </c>
      <c r="Q20" s="425">
        <f t="shared" si="7"/>
        <v>0</v>
      </c>
      <c r="R20" s="425"/>
      <c r="S20" s="425">
        <f t="shared" ref="S20:S26" si="8">E23</f>
        <v>0</v>
      </c>
      <c r="T20" s="425"/>
      <c r="U20" s="425">
        <f t="shared" ref="U20:U26" si="9">G23</f>
        <v>0</v>
      </c>
      <c r="V20" s="425"/>
      <c r="W20" s="425">
        <f t="shared" ref="W20:W26" si="10">I23</f>
        <v>0</v>
      </c>
      <c r="X20" s="425"/>
      <c r="Y20" s="428">
        <f t="shared" si="5"/>
        <v>0</v>
      </c>
      <c r="Z20" s="425"/>
      <c r="AA20" s="428" t="str">
        <f t="shared" si="6"/>
        <v/>
      </c>
    </row>
    <row r="21" spans="1:27" ht="15" customHeight="1">
      <c r="A21" s="25"/>
      <c r="B21" s="100"/>
      <c r="C21" s="416" t="s">
        <v>132</v>
      </c>
      <c r="D21" s="118" t="s">
        <v>379</v>
      </c>
      <c r="E21" s="118"/>
      <c r="F21" s="118" t="s">
        <v>381</v>
      </c>
      <c r="G21" s="118"/>
      <c r="H21" s="412">
        <v>91</v>
      </c>
      <c r="I21" s="118"/>
      <c r="J21" s="412">
        <v>826</v>
      </c>
      <c r="K21" s="118"/>
      <c r="L21" s="17"/>
      <c r="M21" s="18"/>
      <c r="O21" s="446" t="str">
        <f>IFERROR(IF(AND(VALUE(LEFT(C24,4))=E6,AB21&lt;=AB4),"yes","no"),"")</f>
        <v/>
      </c>
      <c r="P21" s="435">
        <f t="shared" si="7"/>
        <v>0</v>
      </c>
      <c r="Q21" s="425">
        <f t="shared" si="7"/>
        <v>0</v>
      </c>
      <c r="R21" s="425"/>
      <c r="S21" s="425">
        <f t="shared" si="8"/>
        <v>0</v>
      </c>
      <c r="T21" s="425"/>
      <c r="U21" s="425">
        <f t="shared" si="9"/>
        <v>0</v>
      </c>
      <c r="V21" s="425"/>
      <c r="W21" s="425">
        <f t="shared" si="10"/>
        <v>0</v>
      </c>
      <c r="X21" s="425"/>
      <c r="Y21" s="428">
        <f t="shared" si="5"/>
        <v>0</v>
      </c>
      <c r="Z21" s="425"/>
      <c r="AA21" s="428" t="str">
        <f t="shared" si="6"/>
        <v/>
      </c>
    </row>
    <row r="22" spans="1:27" ht="15" customHeight="1">
      <c r="A22" s="25"/>
      <c r="B22" s="100"/>
      <c r="C22" s="416" t="s">
        <v>132</v>
      </c>
      <c r="D22" s="118" t="s">
        <v>379</v>
      </c>
      <c r="E22" s="118"/>
      <c r="F22" s="118" t="s">
        <v>382</v>
      </c>
      <c r="G22" s="118"/>
      <c r="H22" s="412">
        <v>581</v>
      </c>
      <c r="I22" s="118"/>
      <c r="J22" s="412">
        <v>0</v>
      </c>
      <c r="K22" s="118"/>
      <c r="L22" s="17"/>
      <c r="M22" s="18"/>
      <c r="O22" s="445" t="str">
        <f>IFERROR(IF(AND(VALUE(LEFT(C25,4))=E6,AB22&lt;=AB4),"yes","no"),"")</f>
        <v/>
      </c>
      <c r="P22" s="443">
        <f t="shared" si="7"/>
        <v>0</v>
      </c>
      <c r="Q22" s="438">
        <f t="shared" si="7"/>
        <v>0</v>
      </c>
      <c r="R22" s="438"/>
      <c r="S22" s="438">
        <f t="shared" si="8"/>
        <v>0</v>
      </c>
      <c r="T22" s="438"/>
      <c r="U22" s="438">
        <f t="shared" si="9"/>
        <v>0</v>
      </c>
      <c r="V22" s="438"/>
      <c r="W22" s="438">
        <f t="shared" si="10"/>
        <v>0</v>
      </c>
      <c r="X22" s="438"/>
      <c r="Y22" s="453">
        <f t="shared" si="5"/>
        <v>0</v>
      </c>
      <c r="Z22" s="438"/>
      <c r="AA22" s="453" t="str">
        <f t="shared" si="6"/>
        <v/>
      </c>
    </row>
    <row r="23" spans="1:27" ht="15" customHeight="1">
      <c r="A23" s="2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O23" s="446" t="str">
        <f>IFERROR(IF(AND(VALUE(LEFT(C26,4))=E6,AB23&lt;=AB4),"yes","no"),"")</f>
        <v/>
      </c>
      <c r="P23" s="435">
        <f t="shared" si="7"/>
        <v>0</v>
      </c>
      <c r="Q23" s="425">
        <f t="shared" si="7"/>
        <v>0</v>
      </c>
      <c r="R23" s="425"/>
      <c r="S23" s="425">
        <f t="shared" si="8"/>
        <v>0</v>
      </c>
      <c r="T23" s="425"/>
      <c r="U23" s="425">
        <f t="shared" si="9"/>
        <v>0</v>
      </c>
      <c r="V23" s="425"/>
      <c r="W23" s="425">
        <f t="shared" si="10"/>
        <v>0</v>
      </c>
      <c r="X23" s="425"/>
      <c r="Y23" s="428">
        <f t="shared" si="5"/>
        <v>0</v>
      </c>
      <c r="Z23" s="425"/>
      <c r="AA23" s="428" t="str">
        <f t="shared" si="6"/>
        <v/>
      </c>
    </row>
    <row r="24" spans="1:27" ht="15" customHeight="1">
      <c r="A24" s="2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O24" s="446" t="str">
        <f>IFERROR(IF(AND(VALUE(LEFT(C27,4))=E6,AB24&lt;=AB4),"yes","no"),"")</f>
        <v/>
      </c>
      <c r="P24" s="435">
        <f t="shared" si="7"/>
        <v>0</v>
      </c>
      <c r="Q24" s="425">
        <f t="shared" si="7"/>
        <v>0</v>
      </c>
      <c r="R24" s="425"/>
      <c r="S24" s="425">
        <f t="shared" si="8"/>
        <v>0</v>
      </c>
      <c r="T24" s="425"/>
      <c r="U24" s="425">
        <f t="shared" si="9"/>
        <v>0</v>
      </c>
      <c r="V24" s="425"/>
      <c r="W24" s="425">
        <f t="shared" si="10"/>
        <v>0</v>
      </c>
      <c r="X24" s="425"/>
      <c r="Y24" s="428">
        <f t="shared" si="5"/>
        <v>0</v>
      </c>
      <c r="Z24" s="425"/>
      <c r="AA24" s="428" t="str">
        <f t="shared" si="6"/>
        <v/>
      </c>
    </row>
    <row r="25" spans="1:27" ht="15" customHeight="1">
      <c r="A25" s="2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O25" s="446" t="str">
        <f>IFERROR(IF(AND(VALUE(LEFT(C28,4))=E6,AB25&lt;=AB4),"yes","no"),"")</f>
        <v/>
      </c>
      <c r="P25" s="435">
        <f t="shared" si="7"/>
        <v>0</v>
      </c>
      <c r="Q25" s="425">
        <f t="shared" si="7"/>
        <v>0</v>
      </c>
      <c r="R25" s="425"/>
      <c r="S25" s="425">
        <f t="shared" si="8"/>
        <v>0</v>
      </c>
      <c r="T25" s="425"/>
      <c r="U25" s="425">
        <f t="shared" si="9"/>
        <v>0</v>
      </c>
      <c r="V25" s="425"/>
      <c r="W25" s="425">
        <f t="shared" si="10"/>
        <v>0</v>
      </c>
      <c r="X25" s="425"/>
      <c r="Y25" s="428">
        <f t="shared" si="5"/>
        <v>0</v>
      </c>
      <c r="Z25" s="425"/>
      <c r="AA25" s="428" t="str">
        <f t="shared" si="6"/>
        <v/>
      </c>
    </row>
    <row r="26" spans="1:27" ht="15" customHeight="1">
      <c r="A26" s="2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O26" s="446" t="str">
        <f>IFERROR(IF(AND(VALUE(LEFT(C29,4))=E6,AB26&lt;=AB4),"yes","no"),"")</f>
        <v/>
      </c>
      <c r="P26" s="435">
        <f t="shared" si="7"/>
        <v>0</v>
      </c>
      <c r="Q26" s="425">
        <f t="shared" si="7"/>
        <v>0</v>
      </c>
      <c r="R26" s="425"/>
      <c r="S26" s="425">
        <f t="shared" si="8"/>
        <v>0</v>
      </c>
      <c r="T26" s="425"/>
      <c r="U26" s="425">
        <f t="shared" si="9"/>
        <v>0</v>
      </c>
      <c r="V26" s="425"/>
      <c r="W26" s="425">
        <f t="shared" si="10"/>
        <v>0</v>
      </c>
      <c r="X26" s="425"/>
      <c r="Y26" s="428">
        <f t="shared" si="5"/>
        <v>0</v>
      </c>
      <c r="Z26" s="425"/>
      <c r="AA26" s="428" t="str">
        <f t="shared" si="6"/>
        <v/>
      </c>
    </row>
    <row r="27" spans="1:27" ht="15" customHeight="1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O27" s="448"/>
      <c r="P27" s="449"/>
      <c r="Q27" s="449"/>
      <c r="R27" s="449"/>
      <c r="S27" s="449"/>
      <c r="T27" s="449"/>
      <c r="U27" s="449"/>
      <c r="V27" s="449"/>
      <c r="W27" s="449"/>
      <c r="X27" s="449"/>
      <c r="Y27" s="451" t="s">
        <v>249</v>
      </c>
      <c r="Z27" s="452" t="s">
        <v>283</v>
      </c>
      <c r="AA27" s="450">
        <f>SUM(AA11:AA26)</f>
        <v>1101</v>
      </c>
    </row>
    <row r="28" spans="1:27" ht="15" customHeight="1">
      <c r="A28" s="2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30"/>
      <c r="O28"/>
      <c r="P28"/>
      <c r="Q28"/>
      <c r="R28"/>
      <c r="S28"/>
      <c r="T28"/>
      <c r="U28"/>
      <c r="V28"/>
      <c r="W28"/>
      <c r="X28"/>
      <c r="Y28"/>
    </row>
    <row r="29" spans="1:27" ht="15" customHeight="1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30"/>
      <c r="O29"/>
      <c r="P29"/>
      <c r="Q29"/>
      <c r="R29"/>
      <c r="S29"/>
      <c r="T29"/>
      <c r="U29"/>
      <c r="V29"/>
      <c r="W29"/>
      <c r="X29"/>
      <c r="Y29"/>
    </row>
    <row r="30" spans="1:27" ht="15" customHeight="1" thickBot="1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30"/>
      <c r="O30"/>
      <c r="P30"/>
      <c r="Q30"/>
      <c r="R30"/>
      <c r="S30"/>
      <c r="T30"/>
      <c r="U30"/>
      <c r="V30"/>
      <c r="W30"/>
      <c r="X30"/>
      <c r="Y30"/>
    </row>
    <row r="31" spans="1:27" ht="15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/>
      <c r="P31"/>
      <c r="Q31"/>
      <c r="R31"/>
      <c r="S31"/>
      <c r="T31"/>
      <c r="U31"/>
      <c r="V31"/>
      <c r="W31"/>
      <c r="X31"/>
      <c r="Y31"/>
    </row>
    <row r="32" spans="1:27" ht="15" customHeight="1">
      <c r="N32" s="30"/>
      <c r="O32"/>
      <c r="P32"/>
      <c r="Q32"/>
      <c r="R32"/>
      <c r="S32"/>
      <c r="T32"/>
      <c r="U32"/>
      <c r="V32"/>
      <c r="W32"/>
      <c r="X32"/>
      <c r="Y32"/>
    </row>
    <row r="33" spans="2:25" ht="15" customHeight="1">
      <c r="N33" s="30"/>
      <c r="O33" s="42"/>
      <c r="P33" s="1"/>
      <c r="Q33"/>
      <c r="R33"/>
      <c r="S33"/>
      <c r="T33"/>
      <c r="U33"/>
      <c r="V33"/>
      <c r="W33"/>
      <c r="X33"/>
      <c r="Y33"/>
    </row>
    <row r="34" spans="2:25" ht="15" customHeight="1">
      <c r="B34" s="21" t="s">
        <v>47</v>
      </c>
      <c r="C34" s="21">
        <v>9</v>
      </c>
      <c r="N34" s="30"/>
      <c r="O34"/>
      <c r="P34"/>
      <c r="Q34"/>
      <c r="R34"/>
      <c r="S34"/>
      <c r="T34"/>
      <c r="U34"/>
      <c r="V34"/>
      <c r="W34"/>
      <c r="X34"/>
      <c r="Y34"/>
    </row>
    <row r="35" spans="2:25" ht="15" customHeight="1">
      <c r="B35" s="21" t="s">
        <v>48</v>
      </c>
      <c r="C35" s="21">
        <v>100</v>
      </c>
      <c r="N35" s="30"/>
      <c r="O35" s="42"/>
      <c r="P35"/>
      <c r="Q35"/>
      <c r="R35"/>
      <c r="S35"/>
      <c r="T35"/>
      <c r="U35"/>
      <c r="V35"/>
      <c r="W35"/>
      <c r="X35"/>
      <c r="Y35"/>
    </row>
    <row r="36" spans="2:25" ht="15" customHeight="1">
      <c r="B36" s="21" t="s">
        <v>49</v>
      </c>
      <c r="C36" s="57">
        <v>53100</v>
      </c>
      <c r="N36" s="30"/>
      <c r="O36"/>
      <c r="P36"/>
      <c r="Q36"/>
      <c r="R36"/>
      <c r="S36"/>
      <c r="T36"/>
      <c r="U36"/>
      <c r="V36"/>
      <c r="W36"/>
      <c r="X36"/>
      <c r="Y36"/>
    </row>
    <row r="37" spans="2:25" ht="15" customHeight="1">
      <c r="B37" s="21" t="s">
        <v>50</v>
      </c>
      <c r="C37" s="57">
        <v>73800</v>
      </c>
      <c r="N37" s="30"/>
      <c r="O37"/>
      <c r="P37"/>
      <c r="Q37"/>
      <c r="R37"/>
      <c r="S37"/>
      <c r="T37"/>
      <c r="U37"/>
      <c r="V37"/>
      <c r="W37"/>
      <c r="X37"/>
      <c r="Y37"/>
    </row>
    <row r="38" spans="2:25" ht="15" customHeight="1">
      <c r="B38" s="21" t="s">
        <v>51</v>
      </c>
      <c r="C38" s="57">
        <v>90000</v>
      </c>
      <c r="N38" s="30"/>
      <c r="O38"/>
      <c r="P38"/>
      <c r="Q38"/>
      <c r="R38"/>
      <c r="S38"/>
      <c r="T38"/>
      <c r="U38"/>
      <c r="V38"/>
      <c r="W38"/>
      <c r="X38"/>
      <c r="Y38"/>
    </row>
    <row r="39" spans="2:25" ht="15" customHeight="1">
      <c r="B39" s="21" t="s">
        <v>52</v>
      </c>
      <c r="C39" s="57">
        <v>14300</v>
      </c>
      <c r="N39" s="30"/>
      <c r="O39"/>
      <c r="P39"/>
      <c r="Q39"/>
      <c r="R39"/>
      <c r="S39"/>
      <c r="T39"/>
      <c r="U39"/>
      <c r="V39"/>
      <c r="W39"/>
      <c r="X39"/>
      <c r="Y39"/>
    </row>
    <row r="40" spans="2:25" ht="15" customHeight="1">
      <c r="B40" s="21" t="s">
        <v>53</v>
      </c>
      <c r="C40" s="57">
        <v>8100</v>
      </c>
      <c r="N40" s="30"/>
      <c r="O40"/>
      <c r="P40"/>
      <c r="Q40"/>
      <c r="R40"/>
      <c r="S40"/>
      <c r="T40"/>
      <c r="U40"/>
      <c r="V40"/>
      <c r="W40"/>
      <c r="X40"/>
      <c r="Y40"/>
    </row>
    <row r="41" spans="2:25" ht="15" customHeight="1">
      <c r="B41" s="21" t="s">
        <v>54</v>
      </c>
      <c r="C41" s="57">
        <v>2950</v>
      </c>
      <c r="N41" s="30"/>
      <c r="O41"/>
      <c r="P41"/>
      <c r="Q41"/>
      <c r="R41"/>
      <c r="S41"/>
      <c r="T41"/>
      <c r="U41"/>
      <c r="V41"/>
      <c r="W41"/>
      <c r="X41"/>
      <c r="Y41"/>
    </row>
    <row r="42" spans="2:25" ht="15" customHeight="1">
      <c r="B42" s="21" t="s">
        <v>55</v>
      </c>
      <c r="C42" s="21">
        <v>56</v>
      </c>
      <c r="N42" s="30"/>
      <c r="O42"/>
      <c r="P42"/>
      <c r="Q42"/>
      <c r="R42"/>
      <c r="S42"/>
      <c r="T42"/>
      <c r="U42"/>
      <c r="V42"/>
      <c r="W42"/>
      <c r="X42"/>
      <c r="Y42"/>
    </row>
    <row r="43" spans="2:25" ht="15" customHeight="1">
      <c r="B43" s="21" t="s">
        <v>56</v>
      </c>
      <c r="C43" s="21">
        <v>100</v>
      </c>
      <c r="N43" s="30"/>
      <c r="O43"/>
      <c r="P43"/>
      <c r="Q43"/>
      <c r="R43"/>
      <c r="S43"/>
      <c r="T43"/>
      <c r="U43"/>
      <c r="V43"/>
      <c r="W43"/>
      <c r="X43"/>
      <c r="Y43"/>
    </row>
    <row r="44" spans="2:25" ht="15" customHeight="1">
      <c r="B44" s="21" t="s">
        <v>57</v>
      </c>
      <c r="C44" s="21">
        <v>101</v>
      </c>
      <c r="N44" s="30"/>
      <c r="O44"/>
      <c r="P44"/>
      <c r="Q44"/>
      <c r="R44"/>
      <c r="S44"/>
      <c r="T44"/>
      <c r="U44"/>
      <c r="V44"/>
      <c r="W44"/>
      <c r="X44"/>
      <c r="Y44"/>
    </row>
    <row r="45" spans="2:25" ht="15" customHeight="1">
      <c r="B45" s="21" t="s">
        <v>58</v>
      </c>
      <c r="C45" s="21">
        <v>150</v>
      </c>
      <c r="N45" s="30"/>
      <c r="O45"/>
      <c r="P45"/>
      <c r="Q45"/>
      <c r="R45"/>
      <c r="S45"/>
      <c r="T45"/>
      <c r="U45"/>
      <c r="V45"/>
      <c r="W45"/>
      <c r="X45"/>
      <c r="Y45"/>
    </row>
    <row r="46" spans="2:25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/>
      <c r="P46"/>
      <c r="Q46"/>
      <c r="R46"/>
      <c r="S46"/>
      <c r="T46"/>
      <c r="U46"/>
      <c r="V46"/>
      <c r="W46"/>
      <c r="X46"/>
      <c r="Y46"/>
    </row>
    <row r="47" spans="2:25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/>
      <c r="P47"/>
      <c r="Q47"/>
      <c r="R47"/>
      <c r="S47"/>
      <c r="T47"/>
      <c r="U47"/>
      <c r="V47"/>
      <c r="W47"/>
      <c r="X47"/>
      <c r="Y47"/>
    </row>
    <row r="48" spans="2:25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/>
      <c r="P48"/>
      <c r="Q48"/>
      <c r="R48"/>
      <c r="S48"/>
      <c r="T48"/>
      <c r="U48"/>
      <c r="V48"/>
      <c r="W48"/>
      <c r="X48"/>
      <c r="Y48"/>
    </row>
    <row r="49" spans="2:25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/>
      <c r="P49"/>
      <c r="Q49"/>
      <c r="R49"/>
      <c r="S49"/>
      <c r="T49"/>
      <c r="U49"/>
      <c r="V49"/>
      <c r="W49"/>
      <c r="X49"/>
      <c r="Y49"/>
    </row>
    <row r="50" spans="2:25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/>
      <c r="P50"/>
      <c r="Q50"/>
      <c r="R50"/>
      <c r="S50"/>
      <c r="T50"/>
      <c r="U50"/>
      <c r="V50"/>
      <c r="W50"/>
      <c r="X50"/>
      <c r="Y50"/>
    </row>
    <row r="51" spans="2:25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2:25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2:25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2:25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2:25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2:25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2:25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2:25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25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25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2:25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2:25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2:25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2:25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14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2:14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2:14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14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14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14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14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4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14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</sheetData>
  <mergeCells count="1">
    <mergeCell ref="L1:M1"/>
  </mergeCells>
  <conditionalFormatting sqref="B1">
    <cfRule type="cellIs" dxfId="78" priority="2" operator="equal">
      <formula>"Incomplete"</formula>
    </cfRule>
    <cfRule type="cellIs" dxfId="77" priority="3" operator="equal">
      <formula>"Flag for Review"</formula>
    </cfRule>
    <cfRule type="cellIs" dxfId="76" priority="4" operator="equal">
      <formula>"Finished"</formula>
    </cfRule>
  </conditionalFormatting>
  <conditionalFormatting sqref="O11:O26">
    <cfRule type="cellIs" dxfId="75" priority="1" operator="equal">
      <formula>"yes"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U109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6</v>
      </c>
      <c r="B1" s="26" t="s">
        <v>12</v>
      </c>
      <c r="C1" s="20"/>
      <c r="D1" s="20"/>
      <c r="E1" s="20"/>
      <c r="F1" s="20"/>
      <c r="G1" s="20"/>
      <c r="H1" s="1024" t="s">
        <v>24</v>
      </c>
      <c r="I1" s="1025"/>
      <c r="K1" s="1" t="s">
        <v>33</v>
      </c>
      <c r="L1" s="47" t="str">
        <f>VLOOKUP(A1,'Point Grid'!$L$8:$T$54,9,FALSE)</f>
        <v>Reserving  - Chap 6: Diagnostics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2" t="s">
        <v>2</v>
      </c>
      <c r="L3" s="483" t="s">
        <v>399</v>
      </c>
      <c r="M3"/>
      <c r="N3"/>
      <c r="O3"/>
      <c r="P3"/>
      <c r="Q3"/>
      <c r="R3" s="484">
        <v>4032</v>
      </c>
      <c r="S3" s="429" t="s">
        <v>405</v>
      </c>
      <c r="T3"/>
      <c r="U3"/>
    </row>
    <row r="4" spans="1:21">
      <c r="A4" s="9">
        <f>INDEX('Point Grid'!B:B,MATCH(A1,'Point Grid'!A:A,0))</f>
        <v>1</v>
      </c>
      <c r="B4" s="17" t="s">
        <v>46</v>
      </c>
      <c r="C4" s="17"/>
      <c r="D4" s="17"/>
      <c r="E4" s="17"/>
      <c r="F4" s="17"/>
      <c r="G4" s="17"/>
      <c r="H4" s="17"/>
      <c r="I4" s="18"/>
      <c r="J4" s="30"/>
      <c r="K4" s="42"/>
      <c r="L4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2"/>
      <c r="L5" s="485" t="s">
        <v>398</v>
      </c>
      <c r="M5" s="486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397</v>
      </c>
      <c r="C6" s="17"/>
      <c r="D6" s="17"/>
      <c r="E6" s="17"/>
      <c r="F6" s="17"/>
      <c r="G6" s="475" t="s">
        <v>148</v>
      </c>
      <c r="H6" s="17"/>
      <c r="I6" s="18"/>
      <c r="J6" s="30"/>
      <c r="K6" s="42"/>
      <c r="L6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0"/>
      <c r="K7" s="42"/>
      <c r="L7" t="s">
        <v>401</v>
      </c>
      <c r="M7"/>
      <c r="N7"/>
      <c r="O7"/>
      <c r="P7"/>
      <c r="Q7"/>
      <c r="R7"/>
      <c r="S7"/>
      <c r="T7"/>
      <c r="U7"/>
    </row>
    <row r="8" spans="1:21" ht="15.75" thickBot="1">
      <c r="A8" s="5"/>
      <c r="B8" s="34" t="s">
        <v>37</v>
      </c>
      <c r="C8" s="58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0"/>
      <c r="K9" s="42"/>
      <c r="L9" s="482" t="s">
        <v>283</v>
      </c>
      <c r="M9" s="481" t="s">
        <v>83</v>
      </c>
      <c r="N9" s="479">
        <f>B15</f>
        <v>2020</v>
      </c>
      <c r="O9" s="482" t="s">
        <v>161</v>
      </c>
      <c r="P9" s="479">
        <f>E14</f>
        <v>36</v>
      </c>
      <c r="Q9" s="479" t="s">
        <v>110</v>
      </c>
      <c r="R9" s="482" t="s">
        <v>34</v>
      </c>
      <c r="S9" s="477">
        <f>E15</f>
        <v>3600</v>
      </c>
    </row>
    <row r="10" spans="1:21">
      <c r="A10" s="25"/>
      <c r="B10" s="17" t="s">
        <v>400</v>
      </c>
      <c r="C10" s="17"/>
      <c r="D10" s="17"/>
      <c r="E10" s="17"/>
      <c r="F10" s="17"/>
      <c r="G10" s="17"/>
      <c r="H10" s="17"/>
      <c r="I10" s="18"/>
      <c r="J10" s="30"/>
      <c r="K10"/>
      <c r="L10" s="482" t="s">
        <v>283</v>
      </c>
      <c r="M10" s="481" t="s">
        <v>83</v>
      </c>
      <c r="N10" s="479">
        <f>B15</f>
        <v>2020</v>
      </c>
      <c r="O10" s="482" t="s">
        <v>161</v>
      </c>
      <c r="P10" s="479">
        <f>F14</f>
        <v>48</v>
      </c>
      <c r="Q10" s="479" t="s">
        <v>110</v>
      </c>
      <c r="R10" s="482" t="s">
        <v>34</v>
      </c>
      <c r="S10" s="477">
        <f>F15</f>
        <v>3960</v>
      </c>
      <c r="T10"/>
      <c r="U10"/>
    </row>
    <row r="11" spans="1:21">
      <c r="A11" s="25"/>
      <c r="B11" s="348" t="s">
        <v>396</v>
      </c>
      <c r="C11" s="17"/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 ht="15" customHeight="1">
      <c r="A12" s="25"/>
      <c r="B12" s="17"/>
      <c r="C12" s="17"/>
      <c r="D12" s="17"/>
      <c r="E12" s="17"/>
      <c r="F12" s="17"/>
      <c r="G12" s="17"/>
      <c r="H12" s="17"/>
      <c r="I12" s="18"/>
      <c r="J12" s="30"/>
      <c r="K12"/>
      <c r="L12" t="s">
        <v>402</v>
      </c>
      <c r="M12"/>
      <c r="N12"/>
      <c r="O12"/>
      <c r="P12"/>
      <c r="Q12" s="481">
        <f>S10-S9</f>
        <v>360</v>
      </c>
      <c r="R12"/>
      <c r="S12"/>
      <c r="T12"/>
      <c r="U12"/>
    </row>
    <row r="13" spans="1:21" ht="15" customHeight="1">
      <c r="A13" s="25"/>
      <c r="B13" s="465" t="s">
        <v>162</v>
      </c>
      <c r="C13" s="462" t="s">
        <v>167</v>
      </c>
      <c r="D13" s="464"/>
      <c r="E13" s="464" t="s">
        <v>164</v>
      </c>
      <c r="F13" s="464"/>
      <c r="G13" s="464"/>
      <c r="H13" s="66"/>
      <c r="I13" s="18"/>
      <c r="J13" s="30"/>
      <c r="K13" s="42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25"/>
      <c r="B14" s="463" t="s">
        <v>83</v>
      </c>
      <c r="C14" s="232">
        <v>12</v>
      </c>
      <c r="D14" s="232">
        <v>24</v>
      </c>
      <c r="E14" s="232">
        <v>36</v>
      </c>
      <c r="F14" s="232">
        <v>48</v>
      </c>
      <c r="G14" s="232">
        <v>60</v>
      </c>
      <c r="H14" s="466">
        <v>72</v>
      </c>
      <c r="I14" s="18"/>
      <c r="J14" s="30"/>
      <c r="K14"/>
      <c r="L14" t="s">
        <v>403</v>
      </c>
      <c r="M14"/>
      <c r="N14"/>
      <c r="O14"/>
      <c r="P14"/>
      <c r="Q14" s="431">
        <v>0.2</v>
      </c>
      <c r="R14" t="s">
        <v>404</v>
      </c>
      <c r="S14"/>
      <c r="T14"/>
      <c r="U14"/>
    </row>
    <row r="15" spans="1:21" ht="15" customHeight="1">
      <c r="A15" s="25"/>
      <c r="B15" s="468">
        <v>2020</v>
      </c>
      <c r="C15" s="469">
        <v>2160</v>
      </c>
      <c r="D15" s="469">
        <v>2880</v>
      </c>
      <c r="E15" s="469">
        <v>3600</v>
      </c>
      <c r="F15" s="469">
        <v>3960</v>
      </c>
      <c r="G15" s="469">
        <v>4320</v>
      </c>
      <c r="H15" s="470">
        <v>4320</v>
      </c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25"/>
      <c r="B16" s="468">
        <v>2021</v>
      </c>
      <c r="C16" s="469">
        <v>2160</v>
      </c>
      <c r="D16" s="469">
        <v>2880</v>
      </c>
      <c r="E16" s="469">
        <v>3600</v>
      </c>
      <c r="F16" s="469">
        <v>3960</v>
      </c>
      <c r="G16" s="469">
        <v>4320</v>
      </c>
      <c r="H16" s="470"/>
      <c r="I16" s="18"/>
      <c r="J16" s="30"/>
      <c r="K16" s="42"/>
      <c r="L16" s="478" t="s">
        <v>406</v>
      </c>
      <c r="M16" s="476"/>
      <c r="N16" s="476"/>
      <c r="O16" s="476"/>
      <c r="P16" s="476"/>
      <c r="Q16" s="476"/>
      <c r="R16" s="476"/>
      <c r="S16"/>
      <c r="T16"/>
      <c r="U16"/>
    </row>
    <row r="17" spans="1:21" ht="15" customHeight="1">
      <c r="A17" s="25"/>
      <c r="B17" s="468">
        <v>2022</v>
      </c>
      <c r="C17" s="469">
        <v>2160</v>
      </c>
      <c r="D17" s="469">
        <v>2880</v>
      </c>
      <c r="E17" s="469">
        <v>3600</v>
      </c>
      <c r="F17" s="469">
        <v>3960</v>
      </c>
      <c r="G17" s="469"/>
      <c r="H17" s="470"/>
      <c r="I17" s="18"/>
      <c r="J17" s="30"/>
      <c r="K17"/>
      <c r="L17" s="476"/>
      <c r="M17" s="476"/>
      <c r="N17" s="476"/>
      <c r="O17" s="476"/>
      <c r="P17" s="476"/>
      <c r="Q17" s="476"/>
      <c r="R17" s="476"/>
      <c r="S17"/>
      <c r="T17"/>
      <c r="U17"/>
    </row>
    <row r="18" spans="1:21" ht="15" customHeight="1">
      <c r="A18" s="25"/>
      <c r="B18" s="468">
        <v>2023</v>
      </c>
      <c r="C18" s="469">
        <v>2160</v>
      </c>
      <c r="D18" s="469">
        <v>2880</v>
      </c>
      <c r="E18" s="469">
        <v>3600</v>
      </c>
      <c r="F18" s="469"/>
      <c r="G18" s="469"/>
      <c r="H18" s="470"/>
      <c r="I18" s="18"/>
      <c r="J18" s="30"/>
      <c r="K18"/>
      <c r="L18" s="476"/>
      <c r="M18" s="427" t="s">
        <v>34</v>
      </c>
      <c r="N18" s="434">
        <v>1.2</v>
      </c>
      <c r="O18" s="424" t="s">
        <v>148</v>
      </c>
      <c r="P18" s="480">
        <f>Q12</f>
        <v>360</v>
      </c>
      <c r="Q18" s="476"/>
      <c r="R18" s="476"/>
      <c r="S18"/>
      <c r="T18"/>
      <c r="U18"/>
    </row>
    <row r="19" spans="1:21" ht="15" customHeight="1">
      <c r="A19" s="25"/>
      <c r="B19" s="468">
        <v>2024</v>
      </c>
      <c r="C19" s="469">
        <v>2160</v>
      </c>
      <c r="D19" s="469">
        <v>2880</v>
      </c>
      <c r="E19" s="469"/>
      <c r="F19" s="469"/>
      <c r="G19" s="469"/>
      <c r="H19" s="470"/>
      <c r="I19" s="18"/>
      <c r="J19" s="30"/>
      <c r="K19"/>
      <c r="L19" s="476"/>
      <c r="M19" s="427" t="s">
        <v>34</v>
      </c>
      <c r="N19" s="424">
        <f>N18*P18</f>
        <v>432</v>
      </c>
      <c r="O19" s="476"/>
      <c r="P19" s="476"/>
      <c r="Q19" s="476"/>
      <c r="R19" s="476"/>
      <c r="S19"/>
      <c r="T19"/>
      <c r="U19"/>
    </row>
    <row r="20" spans="1:21" ht="15" customHeight="1">
      <c r="A20" s="25"/>
      <c r="B20" s="471">
        <v>2025</v>
      </c>
      <c r="C20" s="472">
        <v>2160</v>
      </c>
      <c r="D20" s="472"/>
      <c r="E20" s="472"/>
      <c r="F20" s="472"/>
      <c r="G20" s="472"/>
      <c r="H20" s="473"/>
      <c r="I20" s="18"/>
      <c r="J20" s="30"/>
      <c r="K20"/>
      <c r="L20" s="476"/>
      <c r="M20" s="476"/>
      <c r="N20" s="476"/>
      <c r="O20" s="476"/>
      <c r="P20" s="476"/>
      <c r="Q20" s="476"/>
      <c r="R20" s="476"/>
      <c r="S20"/>
      <c r="T20"/>
      <c r="U20"/>
    </row>
    <row r="21" spans="1:21" ht="15" customHeight="1">
      <c r="A21" s="25"/>
      <c r="B21" s="17"/>
      <c r="C21" s="17"/>
      <c r="D21" s="17"/>
      <c r="E21" s="17"/>
      <c r="F21" s="17"/>
      <c r="G21" s="17"/>
      <c r="H21" s="17"/>
      <c r="I21" s="18"/>
      <c r="J21" s="30"/>
      <c r="K21"/>
      <c r="L21" s="478" t="s">
        <v>407</v>
      </c>
      <c r="M21" s="476"/>
      <c r="N21" s="476"/>
      <c r="O21" s="476"/>
      <c r="P21" s="476"/>
      <c r="Q21" s="476"/>
      <c r="R21" s="476"/>
      <c r="S21"/>
      <c r="T21"/>
      <c r="U21"/>
    </row>
    <row r="22" spans="1:21" ht="15" customHeight="1">
      <c r="A22" s="25"/>
      <c r="B22" s="17" t="s">
        <v>394</v>
      </c>
      <c r="C22" s="17"/>
      <c r="D22" s="17"/>
      <c r="E22" s="17"/>
      <c r="F22" s="17"/>
      <c r="G22" s="17"/>
      <c r="H22" s="17"/>
      <c r="I22" s="18"/>
      <c r="J22" s="30"/>
      <c r="K22"/>
      <c r="L22" s="476"/>
      <c r="M22" s="476"/>
      <c r="N22" s="476"/>
      <c r="O22" s="476"/>
      <c r="P22" s="476"/>
      <c r="Q22" s="476"/>
      <c r="R22" s="476"/>
      <c r="S22"/>
      <c r="T22"/>
      <c r="U22"/>
    </row>
    <row r="23" spans="1:21" ht="15" customHeight="1">
      <c r="A23" s="25"/>
      <c r="B23" s="17" t="s">
        <v>395</v>
      </c>
      <c r="C23" s="17"/>
      <c r="D23" s="17"/>
      <c r="E23" s="17"/>
      <c r="F23" s="17"/>
      <c r="G23" s="17"/>
      <c r="H23" s="17"/>
      <c r="I23" s="18"/>
      <c r="J23" s="30"/>
      <c r="K23"/>
      <c r="L23" s="476"/>
      <c r="M23" s="427" t="s">
        <v>34</v>
      </c>
      <c r="N23" s="480">
        <f>E28</f>
        <v>3600</v>
      </c>
      <c r="O23" s="424" t="s">
        <v>35</v>
      </c>
      <c r="P23" s="424">
        <f>N19</f>
        <v>432</v>
      </c>
      <c r="Q23" s="476"/>
      <c r="R23" s="476"/>
      <c r="S23"/>
      <c r="T23"/>
      <c r="U23"/>
    </row>
    <row r="24" spans="1:21" ht="15" customHeight="1">
      <c r="A24" s="25"/>
      <c r="B24" s="348" t="s">
        <v>396</v>
      </c>
      <c r="C24" s="17"/>
      <c r="D24" s="17"/>
      <c r="E24" s="17"/>
      <c r="F24" s="17"/>
      <c r="G24" s="17"/>
      <c r="H24" s="17"/>
      <c r="I24" s="18"/>
      <c r="J24" s="30"/>
      <c r="K24"/>
      <c r="L24" s="476"/>
      <c r="M24" s="427" t="s">
        <v>34</v>
      </c>
      <c r="N24" s="430">
        <f>N23+P23</f>
        <v>4032</v>
      </c>
      <c r="O24" s="476"/>
      <c r="P24" s="476"/>
      <c r="Q24" s="476"/>
      <c r="R24" s="476"/>
      <c r="S24"/>
      <c r="T24"/>
      <c r="U24"/>
    </row>
    <row r="25" spans="1:21" ht="15" customHeight="1">
      <c r="A25" s="25"/>
      <c r="B25" s="17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 s="429" t="s">
        <v>102</v>
      </c>
      <c r="O25"/>
      <c r="P25"/>
      <c r="Q25"/>
      <c r="R25"/>
      <c r="S25"/>
      <c r="T25"/>
      <c r="U25"/>
    </row>
    <row r="26" spans="1:21" ht="15" customHeight="1">
      <c r="A26" s="25"/>
      <c r="B26" s="465" t="s">
        <v>162</v>
      </c>
      <c r="C26" s="462" t="s">
        <v>167</v>
      </c>
      <c r="D26" s="464"/>
      <c r="E26" s="464" t="s">
        <v>164</v>
      </c>
      <c r="F26" s="464"/>
      <c r="G26" s="464"/>
      <c r="H26" s="66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463" t="s">
        <v>83</v>
      </c>
      <c r="C27" s="232">
        <v>12</v>
      </c>
      <c r="D27" s="232">
        <v>24</v>
      </c>
      <c r="E27" s="232">
        <v>36</v>
      </c>
      <c r="F27" s="232">
        <v>48</v>
      </c>
      <c r="G27" s="232">
        <v>60</v>
      </c>
      <c r="H27" s="466">
        <v>72</v>
      </c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468">
        <v>2020</v>
      </c>
      <c r="C28" s="469">
        <v>2160</v>
      </c>
      <c r="D28" s="469">
        <v>2880</v>
      </c>
      <c r="E28" s="469">
        <v>3600</v>
      </c>
      <c r="F28" s="474" t="s">
        <v>148</v>
      </c>
      <c r="G28" s="469">
        <v>4356</v>
      </c>
      <c r="H28" s="470">
        <v>4320</v>
      </c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5"/>
      <c r="B29" s="468">
        <v>2021</v>
      </c>
      <c r="C29" s="469">
        <v>2160</v>
      </c>
      <c r="D29" s="469">
        <v>2880</v>
      </c>
      <c r="E29" s="469">
        <v>3672</v>
      </c>
      <c r="F29" s="469">
        <v>3996</v>
      </c>
      <c r="G29" s="469">
        <v>4356</v>
      </c>
      <c r="H29" s="470"/>
      <c r="I29" s="18"/>
      <c r="J29" s="30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</row>
    <row r="30" spans="1:21" ht="15" customHeight="1">
      <c r="A30" s="25"/>
      <c r="B30" s="468">
        <v>2022</v>
      </c>
      <c r="C30" s="469">
        <v>2160</v>
      </c>
      <c r="D30" s="469">
        <v>2952</v>
      </c>
      <c r="E30" s="469">
        <v>3672</v>
      </c>
      <c r="F30" s="469">
        <v>3996</v>
      </c>
      <c r="G30" s="469"/>
      <c r="H30" s="470"/>
      <c r="I30" s="18"/>
      <c r="J30" s="30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</row>
    <row r="31" spans="1:21" ht="15" customHeight="1">
      <c r="A31" s="25"/>
      <c r="B31" s="468">
        <v>2023</v>
      </c>
      <c r="C31" s="469">
        <v>2304</v>
      </c>
      <c r="D31" s="469">
        <v>2988</v>
      </c>
      <c r="E31" s="469">
        <v>3672</v>
      </c>
      <c r="F31" s="469"/>
      <c r="G31" s="469"/>
      <c r="H31" s="470"/>
      <c r="I31" s="18"/>
      <c r="J31" s="30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</row>
    <row r="32" spans="1:21" ht="15" customHeight="1">
      <c r="A32" s="25"/>
      <c r="B32" s="468">
        <v>2024</v>
      </c>
      <c r="C32" s="469">
        <v>2304</v>
      </c>
      <c r="D32" s="469">
        <v>2988</v>
      </c>
      <c r="E32" s="469"/>
      <c r="F32" s="469"/>
      <c r="G32" s="469"/>
      <c r="H32" s="470"/>
      <c r="I32" s="18"/>
      <c r="J32" s="30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</row>
    <row r="33" spans="1:21" ht="15" customHeight="1">
      <c r="A33" s="25"/>
      <c r="B33" s="471">
        <v>2025</v>
      </c>
      <c r="C33" s="472">
        <v>2304</v>
      </c>
      <c r="D33" s="472"/>
      <c r="E33" s="472"/>
      <c r="F33" s="472"/>
      <c r="G33" s="472"/>
      <c r="H33" s="473"/>
      <c r="I33" s="18"/>
      <c r="J33" s="30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</row>
    <row r="34" spans="1:21" ht="15" customHeight="1">
      <c r="A34" s="25"/>
      <c r="B34" s="17"/>
      <c r="C34" s="17"/>
      <c r="D34" s="17"/>
      <c r="E34" s="17"/>
      <c r="F34" s="17"/>
      <c r="G34" s="17"/>
      <c r="H34" s="17"/>
      <c r="I34" s="18"/>
      <c r="J34" s="30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</row>
    <row r="35" spans="1:21" ht="15" customHeight="1">
      <c r="A35" s="25"/>
      <c r="B35" s="17"/>
      <c r="C35" s="17"/>
      <c r="D35" s="17"/>
      <c r="E35" s="17"/>
      <c r="F35" s="17"/>
      <c r="G35" s="17"/>
      <c r="H35" s="17"/>
      <c r="I35" s="18"/>
      <c r="J35" s="30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</row>
    <row r="36" spans="1:21" ht="15" customHeight="1">
      <c r="A36" s="25"/>
      <c r="B36" s="17"/>
      <c r="C36" s="17"/>
      <c r="D36" s="17"/>
      <c r="E36" s="17"/>
      <c r="F36" s="17"/>
      <c r="G36" s="17"/>
      <c r="H36" s="17"/>
      <c r="I36" s="18"/>
      <c r="J36" s="30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</row>
    <row r="37" spans="1:21" ht="15" customHeight="1">
      <c r="A37" s="22"/>
      <c r="B37" s="17"/>
      <c r="C37" s="17"/>
      <c r="D37" s="17"/>
      <c r="E37" s="17"/>
      <c r="F37" s="17"/>
      <c r="G37" s="17"/>
      <c r="H37" s="17"/>
      <c r="I37" s="18"/>
      <c r="J37" s="30"/>
      <c r="K37"/>
      <c r="L37"/>
      <c r="M37"/>
      <c r="N37"/>
      <c r="O37"/>
      <c r="P37"/>
      <c r="Q37"/>
      <c r="R37"/>
      <c r="S37"/>
      <c r="T37"/>
      <c r="U37"/>
    </row>
    <row r="38" spans="1:21" ht="15" customHeight="1" thickBot="1">
      <c r="A38" s="24"/>
      <c r="B38" s="31"/>
      <c r="C38" s="31"/>
      <c r="D38" s="31"/>
      <c r="E38" s="31"/>
      <c r="F38" s="31"/>
      <c r="G38" s="31"/>
      <c r="H38" s="31"/>
      <c r="I38" s="32"/>
      <c r="J38" s="30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B39" s="30"/>
      <c r="C39" s="30"/>
      <c r="D39" s="30"/>
      <c r="E39" s="30"/>
      <c r="F39" s="30"/>
      <c r="G39" s="30"/>
      <c r="H39" s="30"/>
      <c r="I39" s="30"/>
      <c r="J39" s="30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J41" s="30"/>
      <c r="K41" s="42"/>
      <c r="L41" s="1"/>
      <c r="M41"/>
      <c r="N41"/>
      <c r="O41"/>
      <c r="P41"/>
      <c r="Q41"/>
      <c r="R41"/>
      <c r="S41"/>
      <c r="T41"/>
      <c r="U41"/>
    </row>
    <row r="42" spans="1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J43" s="30"/>
      <c r="K43" s="42"/>
      <c r="L43"/>
      <c r="M43"/>
      <c r="N43"/>
      <c r="O43"/>
      <c r="P43"/>
      <c r="Q43"/>
      <c r="R43"/>
      <c r="S43"/>
      <c r="T43"/>
      <c r="U43"/>
    </row>
    <row r="44" spans="1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J46" s="30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J47" s="30"/>
      <c r="K47"/>
      <c r="L47"/>
      <c r="M47"/>
      <c r="N47"/>
      <c r="O47"/>
      <c r="P47"/>
      <c r="Q47"/>
      <c r="R47"/>
      <c r="S47"/>
      <c r="T47"/>
      <c r="U47"/>
    </row>
    <row r="48" spans="1:21" ht="15" customHeight="1"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J51" s="30"/>
      <c r="K51"/>
      <c r="L51"/>
      <c r="M51"/>
      <c r="N51"/>
      <c r="O51"/>
      <c r="P51"/>
      <c r="Q51"/>
      <c r="R51"/>
      <c r="S51"/>
      <c r="T51"/>
      <c r="U51"/>
    </row>
    <row r="52" spans="2:21" ht="15" customHeight="1">
      <c r="J52" s="30"/>
      <c r="K52"/>
      <c r="L52"/>
      <c r="M52"/>
      <c r="N52"/>
      <c r="O52"/>
      <c r="P52"/>
      <c r="Q52"/>
      <c r="R52"/>
      <c r="S52"/>
      <c r="T52"/>
      <c r="U52"/>
    </row>
    <row r="53" spans="2:21" ht="15" customHeight="1">
      <c r="J53" s="30"/>
      <c r="K53"/>
      <c r="L53"/>
      <c r="M53"/>
      <c r="N53"/>
      <c r="O53"/>
      <c r="P53"/>
      <c r="Q53"/>
      <c r="R53"/>
      <c r="S53"/>
      <c r="T53"/>
      <c r="U53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2:10" ht="15" customHeight="1"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2:10" ht="15" customHeight="1"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2:10" ht="15" customHeight="1"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2:10" ht="15" customHeight="1"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2:10" ht="15" customHeight="1"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2:10" ht="15" customHeight="1"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2:10" ht="15" customHeight="1"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2:10" ht="15" customHeight="1">
      <c r="B109" s="30"/>
      <c r="C109" s="30"/>
      <c r="D109" s="30"/>
      <c r="E109" s="30"/>
      <c r="F109" s="30"/>
      <c r="G109" s="30"/>
      <c r="H109" s="30"/>
      <c r="I109" s="30"/>
      <c r="J109" s="30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U9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7</v>
      </c>
      <c r="B1" s="26" t="s">
        <v>12</v>
      </c>
      <c r="C1" s="20"/>
      <c r="D1" s="20"/>
      <c r="E1" s="20"/>
      <c r="F1" s="20"/>
      <c r="G1" s="20"/>
      <c r="H1" s="1024" t="s">
        <v>24</v>
      </c>
      <c r="I1" s="1025"/>
      <c r="K1" s="1" t="s">
        <v>33</v>
      </c>
      <c r="L1" s="47" t="str">
        <f>VLOOKUP(A1,'Point Grid'!$L$8:$T$54,9,FALSE)</f>
        <v>Pricing - Chap 3,4: Data, Exposures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2" t="s">
        <v>2</v>
      </c>
      <c r="L3" t="s">
        <v>260</v>
      </c>
      <c r="M3" s="296" t="s">
        <v>261</v>
      </c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2.25</v>
      </c>
      <c r="B4" s="17"/>
      <c r="C4" s="17"/>
      <c r="D4" s="17"/>
      <c r="E4" s="17"/>
      <c r="F4" s="17"/>
      <c r="G4" s="17"/>
      <c r="H4" s="17"/>
      <c r="I4" s="18"/>
      <c r="J4" s="30"/>
      <c r="K4" s="42"/>
      <c r="L4" s="382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2"/>
      <c r="L5" s="382" t="s">
        <v>262</v>
      </c>
      <c r="M5" t="s">
        <v>263</v>
      </c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259</v>
      </c>
      <c r="C6" s="17"/>
      <c r="D6" s="17"/>
      <c r="E6" s="17"/>
      <c r="F6" s="17"/>
      <c r="G6" s="17"/>
      <c r="H6" s="17"/>
      <c r="I6" s="18"/>
      <c r="J6" s="30"/>
      <c r="K6" s="42"/>
      <c r="L6" s="382" t="s">
        <v>262</v>
      </c>
      <c r="M6" t="s">
        <v>264</v>
      </c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0.75</v>
      </c>
      <c r="B7" s="17"/>
      <c r="C7" s="17"/>
      <c r="D7" s="17"/>
      <c r="E7" s="17"/>
      <c r="F7" s="17"/>
      <c r="G7" s="17"/>
      <c r="H7" s="17"/>
      <c r="I7" s="18"/>
      <c r="J7" s="30"/>
      <c r="K7" s="42"/>
      <c r="L7" s="382" t="s">
        <v>38</v>
      </c>
      <c r="M7" t="s">
        <v>265</v>
      </c>
      <c r="N7"/>
      <c r="O7"/>
      <c r="P7"/>
      <c r="Q7"/>
      <c r="R7"/>
      <c r="S7"/>
      <c r="T7"/>
      <c r="U7"/>
    </row>
    <row r="8" spans="1:21" ht="15.75" thickBot="1">
      <c r="A8" s="5"/>
      <c r="B8" s="17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0"/>
      <c r="K9" s="42" t="s">
        <v>3</v>
      </c>
      <c r="L9" s="476" t="s">
        <v>414</v>
      </c>
      <c r="M9"/>
      <c r="N9"/>
      <c r="O9"/>
      <c r="P9"/>
      <c r="Q9"/>
      <c r="R9"/>
      <c r="S9"/>
    </row>
    <row r="10" spans="1:21">
      <c r="A10" s="25" t="s">
        <v>3</v>
      </c>
      <c r="B10" s="17" t="s">
        <v>415</v>
      </c>
      <c r="C10" s="17"/>
      <c r="D10" s="17"/>
      <c r="E10" s="17"/>
      <c r="F10" s="17"/>
      <c r="G10" s="17"/>
      <c r="H10" s="17"/>
      <c r="I10" s="18"/>
      <c r="J10" s="30"/>
      <c r="K10"/>
      <c r="L10"/>
      <c r="M10"/>
      <c r="N10"/>
      <c r="O10"/>
      <c r="P10"/>
      <c r="Q10"/>
      <c r="R10"/>
      <c r="S10"/>
      <c r="T10"/>
      <c r="U10"/>
    </row>
    <row r="11" spans="1:21" ht="15.75" thickBot="1">
      <c r="A11" s="9">
        <f>INDEX('Point Grid'!$C$8:$I$54,MATCH($A$1,'Point Grid'!$A$8:$A$54,0),MATCH(A10,'Point Grid'!$C$7:$I$7,0))</f>
        <v>1.5</v>
      </c>
      <c r="B11" s="17" t="s">
        <v>266</v>
      </c>
      <c r="C11" s="17"/>
      <c r="D11" s="17"/>
      <c r="E11" s="17"/>
      <c r="F11" s="17"/>
      <c r="G11" s="17"/>
      <c r="H11" s="17"/>
      <c r="I11" s="18"/>
      <c r="J11" s="30"/>
      <c r="K11" s="42"/>
      <c r="L11" s="382" t="s">
        <v>262</v>
      </c>
      <c r="M11" t="s">
        <v>410</v>
      </c>
      <c r="N11"/>
      <c r="O11"/>
      <c r="P11"/>
      <c r="Q11"/>
      <c r="R11"/>
      <c r="S11"/>
      <c r="T11"/>
      <c r="U11"/>
    </row>
    <row r="12" spans="1:21" ht="15.75" thickBot="1">
      <c r="A12" s="5"/>
      <c r="B12" s="17"/>
      <c r="C12" s="27"/>
      <c r="D12" s="27"/>
      <c r="E12" s="27"/>
      <c r="F12" s="27"/>
      <c r="G12" s="27"/>
      <c r="H12" s="27"/>
      <c r="I12" s="18"/>
      <c r="J12" s="30"/>
      <c r="K12" s="42"/>
      <c r="L12"/>
      <c r="M12" t="s">
        <v>409</v>
      </c>
      <c r="N12"/>
      <c r="O12"/>
      <c r="P12"/>
      <c r="Q12"/>
      <c r="R12"/>
      <c r="S12"/>
      <c r="T12"/>
      <c r="U12"/>
    </row>
    <row r="13" spans="1:21">
      <c r="A13" s="25"/>
      <c r="B13" s="17"/>
      <c r="C13" s="27"/>
      <c r="D13" s="27"/>
      <c r="E13" s="27"/>
      <c r="F13" s="27"/>
      <c r="G13" s="27"/>
      <c r="H13" s="27"/>
      <c r="I13" s="18"/>
      <c r="J13" s="30"/>
      <c r="K13" s="42"/>
      <c r="L13"/>
      <c r="M13"/>
      <c r="N13"/>
      <c r="O13"/>
      <c r="P13"/>
      <c r="Q13"/>
      <c r="R13"/>
      <c r="S13"/>
      <c r="T13"/>
      <c r="U13"/>
    </row>
    <row r="14" spans="1:21">
      <c r="A14" s="22"/>
      <c r="B14" s="17"/>
      <c r="C14" s="17"/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>
      <c r="A15" s="22"/>
      <c r="B15" s="17"/>
      <c r="C15" s="17"/>
      <c r="D15" s="17"/>
      <c r="E15" s="17"/>
      <c r="F15" s="17"/>
      <c r="G15" s="17"/>
      <c r="H15" s="17"/>
      <c r="I15" s="18"/>
      <c r="J15" s="30"/>
      <c r="K15"/>
      <c r="L15" s="382" t="s">
        <v>262</v>
      </c>
      <c r="M15" t="s">
        <v>411</v>
      </c>
      <c r="N15"/>
      <c r="O15"/>
      <c r="P15"/>
      <c r="Q15"/>
      <c r="R15"/>
      <c r="S15"/>
      <c r="T15"/>
      <c r="U15"/>
    </row>
    <row r="16" spans="1:21">
      <c r="A16" s="22"/>
      <c r="B16" s="17"/>
      <c r="C16" s="17"/>
      <c r="D16" s="17"/>
      <c r="E16" s="17"/>
      <c r="F16" s="17"/>
      <c r="G16" s="17"/>
      <c r="H16" s="17"/>
      <c r="I16" s="18"/>
      <c r="J16" s="30"/>
      <c r="K16" s="42"/>
      <c r="L16"/>
      <c r="M16"/>
      <c r="N16"/>
      <c r="O16"/>
      <c r="P16"/>
      <c r="Q16"/>
      <c r="R16"/>
      <c r="S16"/>
      <c r="T16"/>
      <c r="U16"/>
    </row>
    <row r="17" spans="1:21" ht="15.75" thickBot="1">
      <c r="A17" s="24"/>
      <c r="B17" s="31"/>
      <c r="C17" s="31"/>
      <c r="D17" s="31"/>
      <c r="E17" s="31"/>
      <c r="F17" s="31"/>
      <c r="G17" s="31"/>
      <c r="H17" s="31"/>
      <c r="I17" s="32"/>
      <c r="J17" s="30"/>
      <c r="K17" s="42"/>
      <c r="L17"/>
      <c r="M17"/>
      <c r="N17"/>
      <c r="O17"/>
      <c r="P17"/>
      <c r="Q17"/>
      <c r="R17"/>
      <c r="S17"/>
      <c r="T17"/>
      <c r="U17"/>
    </row>
    <row r="18" spans="1:21" ht="15" customHeight="1">
      <c r="B18" s="30"/>
      <c r="C18" s="30"/>
      <c r="D18" s="30"/>
      <c r="E18" s="30"/>
      <c r="F18" s="30"/>
      <c r="G18" s="30"/>
      <c r="H18" s="30"/>
      <c r="I18" s="30"/>
      <c r="J18" s="30"/>
      <c r="K18"/>
      <c r="L18" s="382" t="s">
        <v>38</v>
      </c>
      <c r="M18" t="s">
        <v>413</v>
      </c>
      <c r="N18"/>
      <c r="O18"/>
      <c r="P18"/>
      <c r="Q18"/>
      <c r="R18"/>
      <c r="S18"/>
      <c r="T18"/>
      <c r="U18"/>
    </row>
    <row r="19" spans="1:21" ht="15" customHeight="1">
      <c r="J19" s="30"/>
      <c r="K19"/>
      <c r="L19"/>
      <c r="M19" t="s">
        <v>412</v>
      </c>
      <c r="N19"/>
      <c r="O19"/>
      <c r="P19"/>
      <c r="Q19"/>
      <c r="R19"/>
      <c r="S19"/>
      <c r="T19"/>
      <c r="U19"/>
    </row>
    <row r="20" spans="1:21" ht="15" customHeight="1"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B21" s="30"/>
      <c r="C21" s="30"/>
      <c r="D21" s="30"/>
      <c r="E21" s="30"/>
      <c r="F21" s="30"/>
      <c r="G21" s="30"/>
      <c r="H21" s="30"/>
      <c r="I21" s="30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J23" s="30"/>
      <c r="K23" s="42"/>
      <c r="L23" s="1"/>
      <c r="M23"/>
      <c r="N23"/>
      <c r="O23"/>
      <c r="P23"/>
      <c r="Q23"/>
      <c r="R23"/>
      <c r="S23"/>
      <c r="T23"/>
      <c r="U23"/>
    </row>
    <row r="24" spans="1:21" ht="15" customHeight="1"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J25" s="30"/>
      <c r="K25" s="42"/>
      <c r="L25"/>
      <c r="M25"/>
      <c r="N25"/>
      <c r="O25"/>
      <c r="P25"/>
      <c r="Q25"/>
      <c r="R25"/>
      <c r="S25"/>
      <c r="T25"/>
      <c r="U25"/>
    </row>
    <row r="26" spans="1:21" ht="15" customHeight="1"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/>
      <c r="L33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/>
      <c r="L35"/>
      <c r="M35"/>
      <c r="N35"/>
      <c r="O35"/>
      <c r="P35"/>
      <c r="Q35"/>
      <c r="R35"/>
      <c r="S35"/>
      <c r="T35"/>
      <c r="U35"/>
    </row>
    <row r="36" spans="2:21" ht="15" customHeight="1">
      <c r="B36" s="30"/>
      <c r="C36" s="30"/>
      <c r="D36" s="30"/>
      <c r="E36" s="30"/>
      <c r="F36" s="30"/>
      <c r="G36" s="30"/>
      <c r="H36" s="30"/>
      <c r="I36" s="30"/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B37" s="30"/>
      <c r="C37" s="30"/>
      <c r="D37" s="30"/>
      <c r="E37" s="30"/>
      <c r="F37" s="30"/>
      <c r="G37" s="30"/>
      <c r="H37" s="30"/>
      <c r="I37" s="30"/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B38" s="30"/>
      <c r="C38" s="30"/>
      <c r="D38" s="30"/>
      <c r="E38" s="30"/>
      <c r="F38" s="30"/>
      <c r="G38" s="30"/>
      <c r="H38" s="30"/>
      <c r="I38" s="30"/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B39" s="30"/>
      <c r="C39" s="30"/>
      <c r="D39" s="30"/>
      <c r="E39" s="30"/>
      <c r="F39" s="30"/>
      <c r="G39" s="30"/>
      <c r="H39" s="30"/>
      <c r="I39" s="30"/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B40" s="30"/>
      <c r="C40" s="30"/>
      <c r="D40" s="30"/>
      <c r="E40" s="30"/>
      <c r="F40" s="30"/>
      <c r="G40" s="30"/>
      <c r="H40" s="30"/>
      <c r="I40" s="30"/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B41" s="30"/>
      <c r="C41" s="30"/>
      <c r="D41" s="30"/>
      <c r="E41" s="30"/>
      <c r="F41" s="30"/>
      <c r="G41" s="30"/>
      <c r="H41" s="30"/>
      <c r="I41" s="30"/>
      <c r="J41" s="30"/>
    </row>
    <row r="42" spans="2:21" ht="15" customHeight="1">
      <c r="B42" s="30"/>
      <c r="C42" s="30"/>
      <c r="D42" s="30"/>
      <c r="E42" s="30"/>
      <c r="F42" s="30"/>
      <c r="G42" s="30"/>
      <c r="H42" s="30"/>
      <c r="I42" s="30"/>
      <c r="J42" s="30"/>
    </row>
    <row r="43" spans="2:21" ht="15" customHeight="1">
      <c r="B43" s="30"/>
      <c r="C43" s="30"/>
      <c r="D43" s="30"/>
      <c r="E43" s="30"/>
      <c r="F43" s="30"/>
      <c r="G43" s="30"/>
      <c r="H43" s="30"/>
      <c r="I43" s="30"/>
      <c r="J43" s="30"/>
    </row>
    <row r="44" spans="2:21" ht="15" customHeight="1">
      <c r="B44" s="30"/>
      <c r="C44" s="30"/>
      <c r="D44" s="30"/>
      <c r="E44" s="30"/>
      <c r="F44" s="30"/>
      <c r="G44" s="30"/>
      <c r="H44" s="30"/>
      <c r="I44" s="30"/>
      <c r="J44" s="30"/>
    </row>
    <row r="45" spans="2:21" ht="15" customHeight="1">
      <c r="B45" s="30"/>
      <c r="C45" s="30"/>
      <c r="D45" s="30"/>
      <c r="E45" s="30"/>
      <c r="F45" s="30"/>
      <c r="G45" s="30"/>
      <c r="H45" s="30"/>
      <c r="I45" s="30"/>
      <c r="J45" s="30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</row>
    <row r="49" spans="2:10" ht="15" customHeight="1">
      <c r="B49" s="30"/>
      <c r="C49" s="30"/>
      <c r="D49" s="30"/>
      <c r="E49" s="30"/>
      <c r="F49" s="30"/>
      <c r="G49" s="30"/>
      <c r="H49" s="30"/>
      <c r="I49" s="30"/>
      <c r="J49" s="30"/>
    </row>
    <row r="50" spans="2:10" ht="15" customHeight="1">
      <c r="B50" s="30"/>
      <c r="C50" s="30"/>
      <c r="D50" s="30"/>
      <c r="E50" s="30"/>
      <c r="F50" s="30"/>
      <c r="G50" s="30"/>
      <c r="H50" s="30"/>
      <c r="I50" s="30"/>
      <c r="J50" s="30"/>
    </row>
    <row r="51" spans="2:10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10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10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10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10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10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10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10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10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10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10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10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10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10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W123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4" width="11.140625" style="21" customWidth="1"/>
    <col min="5" max="5" width="14.28515625" style="21" bestFit="1" customWidth="1"/>
    <col min="6" max="9" width="11.140625" style="21" customWidth="1"/>
    <col min="10" max="16384" width="9.140625" style="21"/>
  </cols>
  <sheetData>
    <row r="1" spans="1:21">
      <c r="A1" s="7">
        <v>8</v>
      </c>
      <c r="B1" s="26" t="s">
        <v>12</v>
      </c>
      <c r="C1" s="20"/>
      <c r="D1" s="20"/>
      <c r="E1" s="20"/>
      <c r="F1" s="20"/>
      <c r="G1" s="20"/>
      <c r="H1" s="1024" t="s">
        <v>24</v>
      </c>
      <c r="I1" s="1025"/>
      <c r="K1" s="1" t="s">
        <v>33</v>
      </c>
      <c r="L1" s="47" t="str">
        <f>VLOOKUP(A1,'Point Grid'!$L$8:$T$54,9,FALSE)</f>
        <v>Pricing - Chap 5: Premiums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2" t="s">
        <v>2</v>
      </c>
      <c r="L3" s="81" t="s">
        <v>65</v>
      </c>
      <c r="M3" s="89"/>
      <c r="N3" s="489">
        <v>143.1</v>
      </c>
      <c r="O3"/>
      <c r="P3"/>
      <c r="Q3"/>
      <c r="R3"/>
      <c r="S3"/>
      <c r="T3"/>
      <c r="U3"/>
    </row>
    <row r="4" spans="1:21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 s="30"/>
      <c r="K4" s="42"/>
      <c r="L4" s="83" t="s">
        <v>66</v>
      </c>
      <c r="M4" s="365"/>
      <c r="N4" s="490">
        <v>300</v>
      </c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2"/>
      <c r="L5" s="87" t="s">
        <v>273</v>
      </c>
      <c r="M5" s="90"/>
      <c r="N5" s="491">
        <v>320</v>
      </c>
      <c r="O5"/>
      <c r="P5"/>
      <c r="Q5"/>
      <c r="R5"/>
      <c r="S5"/>
      <c r="T5"/>
      <c r="U5"/>
    </row>
    <row r="6" spans="1:21">
      <c r="A6" s="25" t="s">
        <v>2</v>
      </c>
      <c r="B6" s="17" t="s">
        <v>267</v>
      </c>
      <c r="C6" s="17"/>
      <c r="D6" s="17"/>
      <c r="E6" s="17"/>
      <c r="F6" s="17"/>
      <c r="G6" s="17"/>
      <c r="H6" s="17"/>
      <c r="I6" s="18"/>
      <c r="J6" s="30"/>
    </row>
    <row r="7" spans="1:21" ht="15.75" thickBot="1">
      <c r="A7" s="9">
        <f>INDEX('Point Grid'!$C$8:$I$54,MATCH($A$1,'Point Grid'!$A$8:$A$54,0),MATCH(A6,'Point Grid'!$C$7:$I$7,0))</f>
        <v>2</v>
      </c>
      <c r="B7" s="17"/>
      <c r="C7" s="17"/>
      <c r="D7" s="17"/>
      <c r="E7" s="17"/>
      <c r="F7" s="17"/>
      <c r="G7" s="17"/>
      <c r="H7" s="17"/>
      <c r="I7" s="18"/>
      <c r="J7" s="30"/>
      <c r="K7" s="42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17"/>
      <c r="C8" s="65" t="s">
        <v>63</v>
      </c>
      <c r="D8" s="72"/>
      <c r="E8" s="66">
        <v>150</v>
      </c>
      <c r="F8" s="27"/>
      <c r="G8" s="27"/>
      <c r="H8" s="27"/>
      <c r="I8" s="18"/>
      <c r="J8" s="30"/>
      <c r="K8" s="42"/>
      <c r="L8" s="75" t="s">
        <v>67</v>
      </c>
      <c r="M8"/>
      <c r="N8"/>
      <c r="O8"/>
      <c r="P8"/>
      <c r="Q8"/>
      <c r="R8"/>
      <c r="S8"/>
      <c r="T8"/>
      <c r="U8"/>
    </row>
    <row r="9" spans="1:21">
      <c r="A9" s="25"/>
      <c r="B9" s="17"/>
      <c r="C9" s="67" t="s">
        <v>64</v>
      </c>
      <c r="D9" s="74"/>
      <c r="E9" s="383">
        <v>300</v>
      </c>
      <c r="F9" s="17"/>
      <c r="G9" s="17"/>
      <c r="H9" s="17"/>
      <c r="I9" s="18"/>
      <c r="J9" s="30"/>
      <c r="K9"/>
      <c r="L9" s="76"/>
      <c r="M9"/>
      <c r="N9"/>
      <c r="O9"/>
      <c r="P9"/>
      <c r="Q9"/>
      <c r="R9"/>
      <c r="S9"/>
      <c r="T9"/>
      <c r="U9"/>
    </row>
    <row r="10" spans="1:21">
      <c r="A10" s="25"/>
      <c r="B10" s="17"/>
      <c r="C10" s="69" t="s">
        <v>268</v>
      </c>
      <c r="D10" s="73"/>
      <c r="E10" s="71">
        <v>320</v>
      </c>
      <c r="F10" s="27"/>
      <c r="G10" s="27"/>
      <c r="H10" s="27"/>
      <c r="I10" s="18"/>
      <c r="J10" s="30"/>
      <c r="K10" s="42"/>
      <c r="L10"/>
      <c r="M10"/>
      <c r="N10"/>
      <c r="O10" s="63"/>
      <c r="P10"/>
      <c r="Q10"/>
      <c r="R10"/>
      <c r="S10"/>
    </row>
    <row r="11" spans="1:21">
      <c r="A11" s="25"/>
      <c r="B11" s="17"/>
      <c r="C11" s="27"/>
      <c r="D11" s="27"/>
      <c r="E11" s="27"/>
      <c r="F11" s="27"/>
      <c r="G11" s="27"/>
      <c r="H11" s="27"/>
      <c r="I11" s="18"/>
      <c r="J11" s="30"/>
      <c r="K11" s="42"/>
      <c r="L11"/>
      <c r="M11"/>
      <c r="N11"/>
      <c r="O11" s="64"/>
      <c r="P11"/>
      <c r="Q11"/>
      <c r="R11"/>
      <c r="S11"/>
    </row>
    <row r="12" spans="1:21">
      <c r="A12" s="25"/>
      <c r="B12" s="17"/>
      <c r="C12" s="226" t="s">
        <v>269</v>
      </c>
      <c r="D12" s="381"/>
      <c r="E12" s="384">
        <v>-0.06</v>
      </c>
      <c r="F12" s="27"/>
      <c r="G12" s="27"/>
      <c r="H12" s="27"/>
      <c r="I12" s="18"/>
      <c r="J12" s="30"/>
      <c r="K12" s="42"/>
      <c r="L12"/>
      <c r="M12"/>
      <c r="N12"/>
      <c r="O12"/>
      <c r="P12"/>
      <c r="Q12"/>
      <c r="R12"/>
      <c r="S12"/>
    </row>
    <row r="13" spans="1:21">
      <c r="A13" s="25"/>
      <c r="B13" s="17"/>
      <c r="C13" s="69" t="s">
        <v>270</v>
      </c>
      <c r="D13" s="73"/>
      <c r="E13" s="70">
        <v>44013</v>
      </c>
      <c r="F13" s="27"/>
      <c r="G13" s="27"/>
      <c r="H13" s="27"/>
      <c r="I13" s="18"/>
      <c r="J13" s="30"/>
      <c r="K13" s="42"/>
      <c r="L13"/>
      <c r="M13"/>
      <c r="N13"/>
      <c r="O13"/>
      <c r="P13"/>
      <c r="Q13"/>
      <c r="R13"/>
      <c r="S13"/>
    </row>
    <row r="14" spans="1:21">
      <c r="A14" s="25"/>
      <c r="B14" s="17"/>
      <c r="C14" s="67" t="s">
        <v>271</v>
      </c>
      <c r="D14" s="74"/>
      <c r="E14" s="68">
        <v>0</v>
      </c>
      <c r="F14" s="17"/>
      <c r="G14" s="17"/>
      <c r="H14" s="17"/>
      <c r="I14" s="18"/>
      <c r="J14" s="30"/>
      <c r="K14" s="42"/>
      <c r="L14"/>
      <c r="M14"/>
      <c r="N14"/>
      <c r="O14"/>
      <c r="P14"/>
      <c r="Q14"/>
      <c r="R14"/>
      <c r="S14"/>
    </row>
    <row r="15" spans="1:21">
      <c r="A15" s="25"/>
      <c r="B15" s="17"/>
      <c r="C15" s="69" t="s">
        <v>272</v>
      </c>
      <c r="D15" s="73"/>
      <c r="E15" s="488" t="s">
        <v>229</v>
      </c>
      <c r="F15" s="17"/>
      <c r="G15" s="17"/>
      <c r="H15" s="17"/>
      <c r="I15" s="18"/>
      <c r="J15" s="30"/>
      <c r="K15" s="42"/>
      <c r="L15"/>
      <c r="M15"/>
      <c r="N15"/>
      <c r="O15"/>
      <c r="P15"/>
      <c r="Q15"/>
      <c r="R15"/>
      <c r="S15"/>
    </row>
    <row r="16" spans="1:21" ht="15" customHeight="1">
      <c r="A16" s="25"/>
      <c r="B16" s="17"/>
      <c r="C16" s="17"/>
      <c r="D16" s="17"/>
      <c r="E16" s="17"/>
      <c r="F16" s="17"/>
      <c r="G16" s="17"/>
      <c r="H16" s="17"/>
      <c r="I16" s="18"/>
      <c r="J16" s="30"/>
    </row>
    <row r="17" spans="1:23">
      <c r="A17" s="25" t="s">
        <v>3</v>
      </c>
      <c r="B17" s="17" t="s">
        <v>417</v>
      </c>
      <c r="C17" s="17"/>
      <c r="D17" s="17"/>
      <c r="E17" s="17"/>
      <c r="F17" s="17"/>
      <c r="G17" s="17"/>
      <c r="H17" s="17"/>
      <c r="I17" s="18"/>
      <c r="J17" s="30"/>
    </row>
    <row r="18" spans="1:23" ht="15.75" thickBot="1">
      <c r="A18" s="9">
        <f>INDEX('Point Grid'!$C$8:$I$54,MATCH($A$1,'Point Grid'!$A$8:$A$54,0),MATCH(A17,'Point Grid'!$C$7:$I$7,0))</f>
        <v>0.5</v>
      </c>
      <c r="B18" s="17" t="s">
        <v>418</v>
      </c>
      <c r="C18" s="17"/>
      <c r="D18" s="17"/>
      <c r="E18" s="17"/>
      <c r="F18" s="17"/>
      <c r="G18" s="17"/>
      <c r="H18" s="17"/>
      <c r="I18" s="18"/>
      <c r="J18" s="30"/>
      <c r="K18" s="42"/>
      <c r="L18" t="s">
        <v>416</v>
      </c>
      <c r="M18"/>
      <c r="N18"/>
      <c r="O18"/>
      <c r="P18"/>
      <c r="Q18"/>
      <c r="R18"/>
      <c r="S18"/>
    </row>
    <row r="19" spans="1:23" ht="15" customHeight="1" thickBot="1">
      <c r="A19" s="5"/>
      <c r="B19" s="17"/>
      <c r="C19" s="27"/>
      <c r="D19" s="27"/>
      <c r="E19" s="27"/>
      <c r="F19" s="27"/>
      <c r="G19" s="27"/>
      <c r="H19" s="27"/>
      <c r="I19" s="18"/>
      <c r="J19" s="30"/>
      <c r="K19" s="42"/>
      <c r="L19" s="79" t="s">
        <v>82</v>
      </c>
      <c r="M19"/>
      <c r="N19"/>
      <c r="O19"/>
      <c r="P19"/>
      <c r="Q19"/>
      <c r="R19"/>
      <c r="S19"/>
    </row>
    <row r="20" spans="1:23" ht="15" customHeight="1">
      <c r="A20" s="25"/>
      <c r="B20" s="17"/>
      <c r="C20" s="27"/>
      <c r="D20" s="27"/>
      <c r="E20" s="27"/>
      <c r="F20" s="27"/>
      <c r="G20" s="27"/>
      <c r="H20" s="27"/>
      <c r="I20" s="18"/>
      <c r="J20" s="30"/>
      <c r="K20" s="42"/>
      <c r="L20"/>
      <c r="M20"/>
      <c r="N20"/>
      <c r="O20"/>
      <c r="P20"/>
      <c r="Q20"/>
      <c r="R20"/>
      <c r="S20"/>
    </row>
    <row r="21" spans="1:23">
      <c r="A21" s="22"/>
      <c r="B21" s="17"/>
      <c r="C21" s="17"/>
      <c r="D21" s="17"/>
      <c r="E21" s="17"/>
      <c r="F21" s="17"/>
      <c r="G21" s="17"/>
      <c r="H21" s="17"/>
      <c r="I21" s="18"/>
      <c r="J21" s="30"/>
      <c r="K21"/>
      <c r="L21" s="35" t="s">
        <v>68</v>
      </c>
      <c r="M21" s="78" t="s">
        <v>73</v>
      </c>
      <c r="N21"/>
      <c r="O21"/>
      <c r="P21"/>
      <c r="Q21"/>
      <c r="R21"/>
      <c r="S21"/>
      <c r="T21"/>
      <c r="U21"/>
    </row>
    <row r="22" spans="1:23" ht="18.75" thickBot="1">
      <c r="A22" s="24"/>
      <c r="B22" s="31"/>
      <c r="C22" s="31"/>
      <c r="D22" s="31"/>
      <c r="E22" s="31"/>
      <c r="F22" s="31"/>
      <c r="G22" s="31"/>
      <c r="H22" s="31"/>
      <c r="I22" s="32"/>
      <c r="J22" s="30"/>
      <c r="K22"/>
      <c r="L22" s="79" t="s">
        <v>76</v>
      </c>
      <c r="M22" s="78" t="s">
        <v>74</v>
      </c>
      <c r="N22"/>
      <c r="O22"/>
      <c r="P22"/>
      <c r="Q22"/>
      <c r="R22"/>
      <c r="S22"/>
      <c r="T22"/>
      <c r="U22"/>
    </row>
    <row r="23" spans="1:23" ht="18">
      <c r="B23" s="30"/>
      <c r="C23" s="30"/>
      <c r="D23" s="30"/>
      <c r="E23" s="30"/>
      <c r="F23" s="30"/>
      <c r="G23" s="30"/>
      <c r="H23" s="30"/>
      <c r="I23" s="30"/>
      <c r="J23" s="30"/>
      <c r="K23"/>
      <c r="L23" s="79" t="s">
        <v>77</v>
      </c>
      <c r="M23" s="80" t="s">
        <v>75</v>
      </c>
      <c r="N23"/>
      <c r="O23"/>
      <c r="P23"/>
      <c r="Q23"/>
      <c r="R23"/>
      <c r="S23"/>
      <c r="T23"/>
      <c r="U23"/>
    </row>
    <row r="24" spans="1:23">
      <c r="J24" s="30"/>
      <c r="K24" s="42"/>
      <c r="L24"/>
      <c r="M24" s="77"/>
      <c r="N24"/>
      <c r="O24"/>
      <c r="P24"/>
      <c r="Q24"/>
      <c r="R24"/>
      <c r="S24"/>
      <c r="T24"/>
      <c r="U24"/>
    </row>
    <row r="25" spans="1:23">
      <c r="J25" s="30"/>
      <c r="K25"/>
      <c r="L25" s="81" t="s">
        <v>69</v>
      </c>
      <c r="M25" s="82">
        <v>0.75</v>
      </c>
      <c r="N25"/>
      <c r="O25" s="389" t="s">
        <v>68</v>
      </c>
      <c r="P25" s="297">
        <v>0.94</v>
      </c>
      <c r="T25"/>
      <c r="U25" s="467"/>
      <c r="W25" s="386"/>
    </row>
    <row r="26" spans="1:23" ht="15" customHeight="1">
      <c r="J26" s="30"/>
      <c r="K26"/>
      <c r="L26" s="83" t="s">
        <v>70</v>
      </c>
      <c r="M26" s="84">
        <v>0.25</v>
      </c>
      <c r="N26"/>
      <c r="O26" s="85" t="s">
        <v>78</v>
      </c>
      <c r="P26" s="387">
        <v>0.98499999999999999</v>
      </c>
      <c r="T26"/>
      <c r="U26" s="467"/>
      <c r="W26" s="386"/>
    </row>
    <row r="27" spans="1:23" ht="15" customHeight="1">
      <c r="J27" s="30"/>
      <c r="K27" s="42"/>
      <c r="L27" s="87" t="s">
        <v>71</v>
      </c>
      <c r="M27" s="88">
        <v>0</v>
      </c>
      <c r="N27"/>
      <c r="O27" s="85" t="s">
        <v>79</v>
      </c>
      <c r="P27" s="387">
        <v>0.94</v>
      </c>
      <c r="T27"/>
      <c r="U27" s="467"/>
      <c r="W27" s="386"/>
    </row>
    <row r="28" spans="1:23" ht="15" customHeight="1">
      <c r="J28" s="30"/>
      <c r="K28"/>
      <c r="L28" s="83" t="s">
        <v>72</v>
      </c>
      <c r="M28" s="84">
        <v>0</v>
      </c>
      <c r="N28"/>
      <c r="O28" s="86" t="s">
        <v>279</v>
      </c>
      <c r="P28" s="388">
        <v>0.94</v>
      </c>
      <c r="T28"/>
      <c r="U28" s="467"/>
      <c r="W28" s="386"/>
    </row>
    <row r="29" spans="1:23" ht="15" customHeight="1">
      <c r="J29" s="30"/>
      <c r="K29"/>
      <c r="L29" s="83" t="s">
        <v>274</v>
      </c>
      <c r="M29" s="84">
        <v>1</v>
      </c>
      <c r="N29"/>
      <c r="O29" s="85" t="s">
        <v>80</v>
      </c>
      <c r="P29" s="387">
        <v>0.95430000000000004</v>
      </c>
      <c r="T29"/>
      <c r="U29" s="467"/>
      <c r="W29" s="386"/>
    </row>
    <row r="30" spans="1:23" ht="15" customHeight="1">
      <c r="J30" s="30"/>
      <c r="K30"/>
      <c r="L30" s="87" t="s">
        <v>275</v>
      </c>
      <c r="M30" s="88">
        <v>0</v>
      </c>
      <c r="N30"/>
      <c r="O30" s="85" t="s">
        <v>81</v>
      </c>
      <c r="P30" s="387">
        <v>1</v>
      </c>
      <c r="T30"/>
      <c r="U30" s="467"/>
      <c r="W30" s="386"/>
    </row>
    <row r="31" spans="1:23" ht="15" customHeight="1">
      <c r="J31" s="30"/>
      <c r="K31"/>
      <c r="L31" s="83" t="s">
        <v>276</v>
      </c>
      <c r="M31" s="84">
        <v>0</v>
      </c>
      <c r="N31"/>
      <c r="O31" s="86" t="s">
        <v>280</v>
      </c>
      <c r="P31" s="388">
        <v>1</v>
      </c>
      <c r="T31"/>
      <c r="U31" s="467"/>
      <c r="W31" s="386"/>
    </row>
    <row r="32" spans="1:23" ht="15" customHeight="1">
      <c r="J32" s="30"/>
      <c r="K32"/>
      <c r="L32" s="83" t="s">
        <v>277</v>
      </c>
      <c r="M32" s="84">
        <v>1</v>
      </c>
      <c r="N32"/>
      <c r="O32" s="385"/>
      <c r="P32"/>
      <c r="T32"/>
      <c r="U32" s="467"/>
      <c r="W32" s="386"/>
    </row>
    <row r="33" spans="10:23" ht="15" customHeight="1">
      <c r="J33" s="30"/>
      <c r="K33"/>
      <c r="L33" s="87" t="s">
        <v>278</v>
      </c>
      <c r="M33" s="88">
        <v>0</v>
      </c>
      <c r="N33"/>
      <c r="O33"/>
      <c r="P33"/>
      <c r="T33"/>
      <c r="U33" s="467"/>
      <c r="W33" s="386"/>
    </row>
    <row r="34" spans="10:23" ht="15" customHeight="1">
      <c r="J34" s="30"/>
      <c r="K34"/>
      <c r="L34"/>
      <c r="M34" s="77"/>
      <c r="N34"/>
      <c r="O34"/>
      <c r="P34"/>
      <c r="Q34"/>
      <c r="R34"/>
      <c r="S34"/>
      <c r="T34"/>
      <c r="U34" s="467"/>
    </row>
    <row r="35" spans="10:23" ht="15" customHeight="1">
      <c r="J35" s="30"/>
      <c r="K35"/>
      <c r="L35"/>
      <c r="M35" s="77"/>
      <c r="N35"/>
      <c r="O35"/>
      <c r="P35"/>
      <c r="Q35"/>
      <c r="R35"/>
      <c r="S35"/>
      <c r="T35"/>
      <c r="U35" s="467"/>
    </row>
    <row r="36" spans="10:23" ht="15" customHeight="1">
      <c r="J36" s="30"/>
      <c r="K36" s="42" t="s">
        <v>3</v>
      </c>
      <c r="L36" s="91" t="s">
        <v>419</v>
      </c>
      <c r="M36" s="77"/>
      <c r="N36"/>
      <c r="O36"/>
      <c r="P36"/>
      <c r="Q36"/>
      <c r="R36"/>
      <c r="S36"/>
      <c r="T36"/>
      <c r="U36" s="467"/>
    </row>
    <row r="37" spans="10:23" ht="15" customHeight="1">
      <c r="J37" s="30"/>
      <c r="K37"/>
      <c r="L37" s="91" t="s">
        <v>427</v>
      </c>
      <c r="M37" s="77"/>
      <c r="N37"/>
      <c r="O37"/>
      <c r="P37"/>
      <c r="Q37"/>
      <c r="R37"/>
      <c r="S37"/>
      <c r="T37"/>
      <c r="U37" s="467"/>
    </row>
    <row r="38" spans="10:23" ht="15" customHeight="1">
      <c r="J38" s="30"/>
      <c r="K38"/>
      <c r="L38"/>
      <c r="M38" s="77"/>
      <c r="N38"/>
      <c r="O38"/>
      <c r="P38"/>
      <c r="Q38"/>
      <c r="R38"/>
      <c r="S38"/>
      <c r="T38"/>
      <c r="U38" s="467"/>
    </row>
    <row r="39" spans="10:23" ht="15" customHeight="1">
      <c r="J39" s="30"/>
      <c r="K39"/>
      <c r="L39" s="482" t="s">
        <v>283</v>
      </c>
      <c r="M39" s="492" t="s">
        <v>423</v>
      </c>
      <c r="N39"/>
      <c r="O39"/>
      <c r="P39"/>
      <c r="Q39"/>
      <c r="R39"/>
      <c r="S39"/>
      <c r="T39"/>
      <c r="U39" s="467"/>
    </row>
    <row r="40" spans="10:23" ht="15" customHeight="1">
      <c r="J40" s="30"/>
      <c r="K40"/>
      <c r="L40"/>
      <c r="M40" s="492" t="s">
        <v>420</v>
      </c>
      <c r="N40"/>
      <c r="O40"/>
      <c r="P40"/>
      <c r="Q40"/>
      <c r="R40"/>
      <c r="S40"/>
      <c r="T40"/>
      <c r="U40" s="467"/>
    </row>
    <row r="41" spans="10:23" ht="15" customHeight="1">
      <c r="J41" s="30"/>
      <c r="K41"/>
      <c r="L41"/>
      <c r="M41" s="492" t="s">
        <v>421</v>
      </c>
      <c r="N41"/>
      <c r="O41"/>
      <c r="P41"/>
      <c r="Q41"/>
      <c r="R41"/>
      <c r="S41"/>
      <c r="T41"/>
      <c r="U41"/>
    </row>
    <row r="42" spans="10:23" ht="15" customHeight="1">
      <c r="J42" s="30"/>
      <c r="K42"/>
      <c r="L42"/>
      <c r="M42" s="492" t="s">
        <v>422</v>
      </c>
      <c r="N42"/>
      <c r="O42"/>
      <c r="P42"/>
      <c r="Q42"/>
      <c r="R42"/>
      <c r="S42"/>
      <c r="T42"/>
      <c r="U42"/>
    </row>
    <row r="43" spans="10:23" ht="15" customHeight="1">
      <c r="J43" s="30"/>
      <c r="K43"/>
      <c r="L43"/>
      <c r="M43" s="77"/>
      <c r="N43"/>
      <c r="O43"/>
      <c r="P43"/>
      <c r="Q43"/>
      <c r="R43"/>
      <c r="S43"/>
      <c r="T43"/>
      <c r="U43"/>
    </row>
    <row r="44" spans="10:23" ht="15" customHeight="1">
      <c r="J44" s="30"/>
      <c r="K44"/>
      <c r="L44" s="482" t="s">
        <v>283</v>
      </c>
      <c r="M44" s="492" t="s">
        <v>428</v>
      </c>
      <c r="N44"/>
      <c r="O44"/>
      <c r="P44"/>
      <c r="Q44"/>
      <c r="R44"/>
      <c r="S44"/>
      <c r="T44"/>
      <c r="U44"/>
    </row>
    <row r="45" spans="10:23" ht="15" customHeight="1">
      <c r="J45" s="30"/>
      <c r="K45"/>
      <c r="L45"/>
      <c r="M45" s="492" t="s">
        <v>424</v>
      </c>
      <c r="N45"/>
      <c r="O45"/>
      <c r="P45"/>
      <c r="Q45"/>
      <c r="R45"/>
      <c r="S45"/>
      <c r="T45"/>
      <c r="U45"/>
    </row>
    <row r="46" spans="10:23" ht="15" customHeight="1">
      <c r="J46" s="30"/>
      <c r="K46"/>
      <c r="L46"/>
      <c r="M46" s="492" t="s">
        <v>425</v>
      </c>
      <c r="N46"/>
      <c r="O46"/>
      <c r="P46"/>
      <c r="Q46"/>
      <c r="R46"/>
      <c r="S46"/>
      <c r="T46"/>
      <c r="U46"/>
    </row>
    <row r="47" spans="10:23" ht="15" customHeight="1">
      <c r="J47" s="30"/>
      <c r="K47"/>
      <c r="L47"/>
      <c r="M47" s="492" t="s">
        <v>426</v>
      </c>
      <c r="N47"/>
      <c r="O47"/>
      <c r="P47"/>
      <c r="Q47"/>
      <c r="R47"/>
      <c r="S47"/>
      <c r="T47"/>
      <c r="U47"/>
    </row>
    <row r="48" spans="10:23" ht="15" customHeight="1">
      <c r="J48" s="30"/>
      <c r="K48"/>
      <c r="L48"/>
      <c r="M48" s="77"/>
      <c r="N48"/>
      <c r="O48"/>
      <c r="P48"/>
      <c r="Q48"/>
      <c r="R48"/>
      <c r="S48"/>
      <c r="T48"/>
      <c r="U48"/>
    </row>
    <row r="49" spans="10:21" ht="15" customHeight="1">
      <c r="J49" s="30"/>
      <c r="K49" s="42"/>
      <c r="L49" s="494" t="s">
        <v>283</v>
      </c>
      <c r="M49" s="493" t="s">
        <v>429</v>
      </c>
      <c r="N49"/>
      <c r="O49"/>
      <c r="P49"/>
      <c r="Q49"/>
      <c r="R49"/>
      <c r="S49"/>
      <c r="T49"/>
      <c r="U49"/>
    </row>
    <row r="50" spans="10:21" ht="15" customHeight="1">
      <c r="J50" s="30"/>
      <c r="K50"/>
      <c r="L50" s="91"/>
      <c r="M50" s="493" t="s">
        <v>430</v>
      </c>
      <c r="N50"/>
      <c r="O50"/>
      <c r="P50"/>
      <c r="Q50"/>
      <c r="R50"/>
      <c r="S50"/>
      <c r="T50"/>
      <c r="U50"/>
    </row>
    <row r="51" spans="10:21" ht="15" customHeight="1">
      <c r="J51" s="30"/>
      <c r="K51"/>
      <c r="L51"/>
      <c r="M51"/>
      <c r="N51"/>
      <c r="O51"/>
      <c r="P51"/>
      <c r="Q51"/>
      <c r="R51"/>
      <c r="S51"/>
      <c r="T51"/>
      <c r="U51"/>
    </row>
    <row r="52" spans="10:21" ht="15" customHeight="1">
      <c r="J52" s="30"/>
      <c r="K52"/>
      <c r="L52"/>
      <c r="M52"/>
      <c r="N52"/>
      <c r="O52"/>
      <c r="P52"/>
      <c r="Q52"/>
      <c r="R52"/>
      <c r="S52"/>
      <c r="T52"/>
      <c r="U52"/>
    </row>
    <row r="53" spans="10:21" ht="15" customHeight="1">
      <c r="J53" s="30"/>
      <c r="K53"/>
      <c r="L53"/>
      <c r="M53"/>
      <c r="N53"/>
      <c r="O53"/>
      <c r="P53"/>
      <c r="Q53"/>
      <c r="R53"/>
      <c r="S53"/>
      <c r="T53"/>
      <c r="U53"/>
    </row>
    <row r="54" spans="10:21" ht="15" customHeight="1">
      <c r="J54" s="30"/>
      <c r="K54"/>
      <c r="L54"/>
      <c r="M54"/>
      <c r="N54"/>
      <c r="O54"/>
      <c r="P54"/>
      <c r="Q54"/>
      <c r="R54"/>
      <c r="S54"/>
      <c r="T54"/>
      <c r="U54"/>
    </row>
    <row r="55" spans="10:21" ht="15" customHeight="1">
      <c r="J55" s="30"/>
      <c r="K55" s="42"/>
      <c r="L55" s="1"/>
      <c r="M55"/>
      <c r="N55"/>
      <c r="O55"/>
      <c r="P55"/>
      <c r="Q55"/>
      <c r="R55"/>
      <c r="S55"/>
      <c r="T55"/>
      <c r="U55"/>
    </row>
    <row r="56" spans="10:21" ht="15" customHeight="1">
      <c r="J56" s="30"/>
      <c r="K56"/>
      <c r="L56"/>
      <c r="M56"/>
      <c r="N56"/>
      <c r="O56"/>
      <c r="P56"/>
      <c r="Q56"/>
      <c r="R56"/>
      <c r="S56"/>
      <c r="T56"/>
      <c r="U56"/>
    </row>
    <row r="57" spans="10:21" ht="15" customHeight="1">
      <c r="J57" s="30"/>
      <c r="K57" s="42"/>
      <c r="L57"/>
      <c r="M57"/>
      <c r="N57"/>
      <c r="O57"/>
      <c r="P57"/>
      <c r="Q57"/>
      <c r="R57"/>
      <c r="S57"/>
      <c r="T57"/>
      <c r="U57"/>
    </row>
    <row r="58" spans="10:21" ht="15" customHeight="1">
      <c r="J58" s="30"/>
      <c r="K58"/>
      <c r="L58"/>
      <c r="M58"/>
      <c r="N58"/>
      <c r="O58"/>
      <c r="P58"/>
      <c r="Q58"/>
      <c r="R58"/>
      <c r="S58"/>
      <c r="T58"/>
      <c r="U58"/>
    </row>
    <row r="59" spans="10:21" ht="15" customHeight="1">
      <c r="J59" s="30"/>
      <c r="K59"/>
      <c r="L59"/>
      <c r="M59"/>
      <c r="N59"/>
      <c r="O59"/>
      <c r="P59"/>
      <c r="Q59"/>
      <c r="R59"/>
      <c r="S59"/>
      <c r="T59"/>
      <c r="U59"/>
    </row>
    <row r="60" spans="10:21" ht="15" customHeight="1">
      <c r="J60" s="30"/>
      <c r="K60"/>
      <c r="L60"/>
      <c r="M60"/>
      <c r="N60"/>
      <c r="O60"/>
      <c r="P60"/>
      <c r="Q60"/>
      <c r="R60"/>
      <c r="S60"/>
      <c r="T60"/>
      <c r="U60"/>
    </row>
    <row r="61" spans="10:21" ht="15" customHeight="1">
      <c r="J61" s="30"/>
      <c r="K61"/>
      <c r="L61"/>
      <c r="M61"/>
      <c r="N61"/>
      <c r="O61"/>
      <c r="P61"/>
      <c r="Q61"/>
      <c r="R61"/>
      <c r="S61"/>
      <c r="T61"/>
      <c r="U61"/>
    </row>
    <row r="62" spans="10:21" ht="15" customHeight="1">
      <c r="J62" s="30"/>
      <c r="K62"/>
      <c r="L62"/>
      <c r="M62"/>
      <c r="N62"/>
      <c r="O62"/>
      <c r="P62"/>
      <c r="Q62"/>
      <c r="R62"/>
      <c r="S62"/>
      <c r="T62"/>
      <c r="U62"/>
    </row>
    <row r="63" spans="10:21" ht="15" customHeight="1">
      <c r="J63" s="30"/>
      <c r="K63"/>
      <c r="L63"/>
      <c r="M63"/>
      <c r="N63"/>
      <c r="O63"/>
      <c r="P63"/>
      <c r="Q63"/>
      <c r="R63"/>
      <c r="S63"/>
      <c r="T63"/>
      <c r="U63"/>
    </row>
    <row r="64" spans="10:21" ht="15" customHeight="1">
      <c r="J64" s="30"/>
      <c r="K64"/>
      <c r="L64"/>
      <c r="M64"/>
      <c r="N64"/>
      <c r="O64"/>
      <c r="P64"/>
      <c r="Q64"/>
      <c r="R64"/>
      <c r="S64"/>
      <c r="T64"/>
      <c r="U64"/>
    </row>
    <row r="65" spans="2:21" ht="15" customHeight="1">
      <c r="J65" s="30"/>
      <c r="K65"/>
      <c r="L65"/>
      <c r="M65"/>
      <c r="N65"/>
      <c r="O65"/>
      <c r="P65"/>
      <c r="Q65"/>
      <c r="R65"/>
      <c r="S65"/>
      <c r="T65"/>
      <c r="U65"/>
    </row>
    <row r="66" spans="2:21" ht="15" customHeight="1">
      <c r="J66" s="30"/>
      <c r="K66"/>
      <c r="L66"/>
      <c r="M66"/>
      <c r="N66"/>
      <c r="O66"/>
      <c r="P66"/>
      <c r="Q66"/>
      <c r="R66"/>
      <c r="S66"/>
      <c r="T66"/>
      <c r="U66"/>
    </row>
    <row r="67" spans="2:21" ht="15" customHeight="1">
      <c r="J67" s="30"/>
      <c r="K67"/>
      <c r="L67"/>
      <c r="M67"/>
      <c r="N67"/>
      <c r="O67"/>
      <c r="P67"/>
      <c r="Q67"/>
      <c r="R67"/>
      <c r="S67"/>
      <c r="T67"/>
      <c r="U67"/>
    </row>
    <row r="68" spans="2:21" ht="15" customHeight="1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</row>
    <row r="69" spans="2:21" ht="15" customHeight="1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</row>
    <row r="70" spans="2:21" ht="15" customHeight="1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</row>
    <row r="71" spans="2:21" ht="15" customHeight="1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</row>
    <row r="72" spans="2:21" ht="15" customHeight="1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</row>
    <row r="73" spans="2:21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21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21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21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21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21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21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21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2:10" ht="15" customHeight="1"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2:10" ht="15" customHeight="1"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2:10" ht="15" customHeight="1"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2:10" ht="15" customHeight="1"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2:10" ht="15" customHeight="1"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2:10" ht="15" customHeight="1"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2:10" ht="15" customHeight="1"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2:10" ht="15" customHeight="1"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2:10" ht="15" customHeight="1"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2:10" ht="15" customHeight="1"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2:10" ht="15" customHeight="1"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2:10" ht="15" customHeight="1"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2:10" ht="15" customHeight="1"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2:10" ht="15" customHeight="1"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2:10" ht="15" customHeight="1"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2:10" ht="15" customHeight="1"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2:10" ht="15" customHeight="1"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2:10" ht="15" customHeight="1"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2:10" ht="15" customHeight="1"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2:10" ht="15" customHeight="1"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2:10" ht="15" customHeight="1"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2:10" ht="15" customHeight="1">
      <c r="B123" s="30"/>
      <c r="C123" s="30"/>
      <c r="D123" s="30"/>
      <c r="E123" s="30"/>
      <c r="F123" s="30"/>
      <c r="G123" s="30"/>
      <c r="H123" s="30"/>
      <c r="I123" s="30"/>
      <c r="J123" s="30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M12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3" width="11.140625" style="21" customWidth="1"/>
    <col min="4" max="8" width="12.7109375" style="21" customWidth="1"/>
    <col min="9" max="9" width="6.7109375" style="21" customWidth="1"/>
    <col min="10" max="10" width="11.140625" style="21" customWidth="1"/>
    <col min="11" max="11" width="6.7109375" style="21" customWidth="1"/>
    <col min="12" max="13" width="9.140625" style="21"/>
    <col min="14" max="14" width="10.7109375" style="21" customWidth="1"/>
    <col min="15" max="16384" width="9.140625" style="21"/>
  </cols>
  <sheetData>
    <row r="1" spans="1:39">
      <c r="A1" s="7">
        <v>9</v>
      </c>
      <c r="B1" s="26" t="s">
        <v>12</v>
      </c>
      <c r="C1" s="20"/>
      <c r="D1" s="20"/>
      <c r="E1" s="20"/>
      <c r="F1" s="20"/>
      <c r="G1" s="20"/>
      <c r="H1" s="20"/>
      <c r="I1" s="20"/>
      <c r="J1" s="1024" t="s">
        <v>24</v>
      </c>
      <c r="K1" s="1025"/>
      <c r="M1" s="1" t="s">
        <v>33</v>
      </c>
      <c r="N1" s="47" t="str">
        <f>VLOOKUP(A1,'Point Grid'!$L$8:$T$54,9,FALSE)</f>
        <v>Pricing - Chap 6: Loss &amp; LAE</v>
      </c>
      <c r="O1"/>
      <c r="P1"/>
      <c r="Q1"/>
      <c r="R1"/>
      <c r="S1"/>
      <c r="T1"/>
      <c r="U1"/>
      <c r="V1"/>
      <c r="W1"/>
    </row>
    <row r="2" spans="1:39">
      <c r="A2" s="22"/>
      <c r="B2" s="19"/>
      <c r="C2" s="19"/>
      <c r="D2" s="19"/>
      <c r="E2" s="19"/>
      <c r="F2" s="19"/>
      <c r="G2" s="19"/>
      <c r="H2" s="19"/>
      <c r="I2" s="19"/>
      <c r="J2" s="19"/>
      <c r="K2" s="23"/>
      <c r="M2" s="1"/>
      <c r="N2" s="476"/>
      <c r="O2" s="476"/>
      <c r="P2" s="476"/>
      <c r="Q2" s="476"/>
      <c r="R2" s="476"/>
      <c r="S2" s="476"/>
      <c r="T2" s="476"/>
      <c r="U2" s="476"/>
      <c r="V2" s="476"/>
      <c r="W2" s="467"/>
    </row>
    <row r="3" spans="1:39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8"/>
      <c r="L3" s="30"/>
      <c r="M3" s="479" t="s">
        <v>2</v>
      </c>
      <c r="N3" s="479" t="s">
        <v>59</v>
      </c>
      <c r="O3" s="467" t="s">
        <v>434</v>
      </c>
      <c r="P3" s="467"/>
      <c r="Q3" s="476"/>
      <c r="R3" s="476"/>
      <c r="S3" s="476"/>
      <c r="T3" s="476"/>
      <c r="U3" s="476"/>
      <c r="V3" s="476"/>
      <c r="W3" s="467"/>
    </row>
    <row r="4" spans="1:39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7"/>
      <c r="J4" s="17"/>
      <c r="K4" s="18"/>
      <c r="L4" s="30"/>
      <c r="M4" s="479"/>
      <c r="N4" s="479"/>
      <c r="O4" s="467" t="s">
        <v>435</v>
      </c>
      <c r="P4" s="467"/>
      <c r="Q4" s="476"/>
      <c r="R4" s="476"/>
      <c r="S4" s="476"/>
      <c r="T4" s="476"/>
      <c r="U4" s="476"/>
      <c r="V4" s="476"/>
      <c r="W4" s="467"/>
    </row>
    <row r="5" spans="1:39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N5" s="467"/>
      <c r="O5" s="467"/>
      <c r="P5" s="467"/>
      <c r="Q5" s="476"/>
      <c r="R5" s="476"/>
      <c r="S5" s="476"/>
      <c r="T5" s="476"/>
      <c r="U5" s="476"/>
      <c r="V5" s="476"/>
      <c r="W5" s="467"/>
    </row>
    <row r="6" spans="1:39">
      <c r="A6" s="25" t="s">
        <v>2</v>
      </c>
      <c r="B6" s="34" t="s">
        <v>59</v>
      </c>
      <c r="C6" s="17" t="s">
        <v>431</v>
      </c>
      <c r="D6" s="17"/>
      <c r="E6" s="17"/>
      <c r="F6" s="17"/>
      <c r="G6" s="17"/>
      <c r="H6" s="17"/>
      <c r="I6" s="17"/>
      <c r="J6" s="17"/>
      <c r="K6" s="18"/>
      <c r="N6" s="479" t="s">
        <v>60</v>
      </c>
      <c r="O6" s="476" t="s">
        <v>436</v>
      </c>
      <c r="P6" s="467"/>
      <c r="Q6" s="476"/>
      <c r="R6" s="476"/>
      <c r="S6" s="476"/>
      <c r="T6" s="476"/>
      <c r="U6" s="476"/>
      <c r="V6" s="476"/>
      <c r="W6" s="467"/>
    </row>
    <row r="7" spans="1:39" ht="15.75" thickBot="1">
      <c r="A7" s="9">
        <f>INDEX('Point Grid'!$C$8:$I$54,MATCH($A$1,'Point Grid'!$A$8:$A$54,0),MATCH(A6,'Point Grid'!$C$7:$I$7,0))</f>
        <v>1</v>
      </c>
      <c r="B7" s="34"/>
      <c r="C7" s="17"/>
      <c r="D7" s="17"/>
      <c r="E7" s="17"/>
      <c r="F7" s="17"/>
      <c r="G7" s="17"/>
      <c r="H7" s="17"/>
      <c r="I7" s="17"/>
      <c r="J7" s="17"/>
      <c r="K7" s="18"/>
      <c r="N7" s="467"/>
      <c r="O7" s="467" t="s">
        <v>437</v>
      </c>
      <c r="P7" s="467"/>
      <c r="Q7" s="476"/>
      <c r="R7" s="476"/>
      <c r="S7" s="476"/>
      <c r="T7" s="476"/>
      <c r="U7" s="476"/>
      <c r="V7" s="476"/>
      <c r="W7" s="467"/>
    </row>
    <row r="8" spans="1:39" ht="15.75" thickBot="1">
      <c r="A8" s="5"/>
      <c r="B8" s="34" t="s">
        <v>60</v>
      </c>
      <c r="C8" s="17" t="s">
        <v>432</v>
      </c>
      <c r="D8" s="27"/>
      <c r="E8" s="27"/>
      <c r="F8" s="27"/>
      <c r="G8" s="27"/>
      <c r="H8" s="27"/>
      <c r="I8" s="27"/>
      <c r="J8" s="27"/>
      <c r="K8" s="18"/>
      <c r="O8" s="467" t="s">
        <v>438</v>
      </c>
      <c r="P8" s="467"/>
    </row>
    <row r="9" spans="1:39">
      <c r="A9" s="25"/>
      <c r="B9" s="17"/>
      <c r="C9" s="27" t="s">
        <v>433</v>
      </c>
      <c r="D9" s="17"/>
      <c r="E9" s="17"/>
      <c r="F9" s="17"/>
      <c r="G9" s="17"/>
      <c r="H9" s="17"/>
      <c r="I9" s="17"/>
      <c r="J9" s="17"/>
      <c r="K9" s="18"/>
      <c r="O9" s="467"/>
      <c r="P9" s="467"/>
    </row>
    <row r="10" spans="1:39">
      <c r="A10" s="25"/>
      <c r="B10" s="17"/>
      <c r="C10" s="17"/>
      <c r="D10" s="17"/>
      <c r="E10" s="17"/>
      <c r="F10" s="17"/>
      <c r="G10" s="17"/>
      <c r="H10" s="17"/>
      <c r="I10" s="17"/>
      <c r="J10" s="17"/>
      <c r="K10" s="18"/>
      <c r="O10" s="476" t="s">
        <v>439</v>
      </c>
      <c r="P10" s="467"/>
    </row>
    <row r="11" spans="1:39">
      <c r="A11" s="25" t="s">
        <v>3</v>
      </c>
      <c r="B11" s="17" t="s">
        <v>442</v>
      </c>
      <c r="C11" s="17"/>
      <c r="D11" s="17"/>
      <c r="E11" s="17"/>
      <c r="F11" s="17"/>
      <c r="G11" s="17"/>
      <c r="H11" s="17"/>
      <c r="I11" s="17"/>
      <c r="J11" s="17"/>
      <c r="K11" s="18"/>
      <c r="O11" s="467" t="s">
        <v>440</v>
      </c>
      <c r="P11" s="467"/>
    </row>
    <row r="12" spans="1:39" ht="15.75" thickBot="1">
      <c r="A12" s="9">
        <f>INDEX('Point Grid'!$C$8:$I$54,MATCH($A$1,'Point Grid'!$A$8:$A$54,0),MATCH(A11,'Point Grid'!$C$7:$I$7,0))</f>
        <v>1.5</v>
      </c>
      <c r="B12" s="17"/>
      <c r="C12" s="17"/>
      <c r="D12" s="17"/>
      <c r="E12" s="17"/>
      <c r="F12" s="17"/>
      <c r="G12" s="17"/>
      <c r="H12" s="17"/>
      <c r="I12" s="17"/>
      <c r="J12" s="17"/>
      <c r="K12" s="18"/>
      <c r="O12" s="467" t="s">
        <v>441</v>
      </c>
      <c r="P12" s="467"/>
    </row>
    <row r="13" spans="1:39" ht="15.75" thickBot="1">
      <c r="A13" s="5"/>
      <c r="B13" s="34" t="s">
        <v>59</v>
      </c>
      <c r="C13" s="17" t="s">
        <v>443</v>
      </c>
      <c r="D13" s="17"/>
      <c r="E13" s="17"/>
      <c r="F13" s="17"/>
      <c r="G13" s="17"/>
      <c r="H13" s="17"/>
      <c r="I13" s="17"/>
      <c r="J13" s="17"/>
      <c r="K13" s="18"/>
    </row>
    <row r="14" spans="1:39">
      <c r="A14" s="25"/>
      <c r="B14" s="17"/>
      <c r="C14" s="17"/>
      <c r="D14" s="17"/>
      <c r="E14" s="17"/>
      <c r="F14" s="17"/>
      <c r="G14" s="17"/>
      <c r="H14" s="17"/>
      <c r="I14" s="17"/>
      <c r="J14" s="17"/>
      <c r="K14" s="18"/>
    </row>
    <row r="15" spans="1:39">
      <c r="A15" s="25"/>
      <c r="B15" s="34" t="s">
        <v>60</v>
      </c>
      <c r="C15" s="17" t="s">
        <v>444</v>
      </c>
      <c r="D15" s="17"/>
      <c r="E15" s="17"/>
      <c r="F15" s="17"/>
      <c r="G15" s="17"/>
      <c r="H15" s="17"/>
      <c r="I15" s="17"/>
      <c r="J15" s="17"/>
      <c r="K15" s="18"/>
      <c r="M15" s="214" t="s">
        <v>3</v>
      </c>
      <c r="N15" s="221" t="s">
        <v>99</v>
      </c>
      <c r="O15" s="425" t="s">
        <v>451</v>
      </c>
      <c r="P15" s="425"/>
      <c r="Q15" s="425"/>
      <c r="R15" s="425"/>
      <c r="S15" s="425"/>
      <c r="T15" s="425"/>
      <c r="U15" s="425"/>
      <c r="V15" s="425"/>
      <c r="W15" s="425"/>
      <c r="X15" s="425"/>
      <c r="Y15" s="425"/>
      <c r="Z15" s="478"/>
      <c r="AA15" s="424" t="s">
        <v>112</v>
      </c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</row>
    <row r="16" spans="1:39">
      <c r="A16" s="25"/>
      <c r="B16" s="17"/>
      <c r="C16" s="17"/>
      <c r="D16" s="17"/>
      <c r="E16" s="17"/>
      <c r="F16" s="17"/>
      <c r="G16" s="17"/>
      <c r="H16" s="17"/>
      <c r="I16" s="17"/>
      <c r="J16" s="17"/>
      <c r="K16" s="1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80" t="s">
        <v>112</v>
      </c>
      <c r="AB16" s="128" t="s">
        <v>113</v>
      </c>
      <c r="AC16" s="476" t="s">
        <v>114</v>
      </c>
      <c r="AD16" s="478"/>
      <c r="AE16" s="478"/>
      <c r="AF16" s="478"/>
      <c r="AG16" s="478"/>
      <c r="AH16" s="478"/>
      <c r="AI16" s="478"/>
      <c r="AJ16" s="478"/>
      <c r="AK16" s="177" t="s">
        <v>115</v>
      </c>
      <c r="AL16" s="177" t="s">
        <v>116</v>
      </c>
      <c r="AM16" s="177" t="s">
        <v>117</v>
      </c>
    </row>
    <row r="17" spans="1:39">
      <c r="A17" s="25"/>
      <c r="B17" s="34" t="s">
        <v>159</v>
      </c>
      <c r="C17" s="17" t="s">
        <v>445</v>
      </c>
      <c r="D17" s="17"/>
      <c r="E17" s="17"/>
      <c r="F17" s="17"/>
      <c r="G17" s="17"/>
      <c r="H17" s="17"/>
      <c r="I17" s="17"/>
      <c r="J17" s="17"/>
      <c r="K17" s="18"/>
      <c r="M17" s="42"/>
      <c r="N17" s="478"/>
      <c r="O17" s="103" t="s">
        <v>115</v>
      </c>
      <c r="P17" s="105" t="s">
        <v>449</v>
      </c>
      <c r="Q17" s="253" t="s">
        <v>452</v>
      </c>
      <c r="R17" s="478"/>
      <c r="S17" s="478"/>
      <c r="T17" s="478"/>
      <c r="U17" s="478"/>
      <c r="V17" s="478"/>
      <c r="W17" s="478"/>
      <c r="X17" s="478"/>
      <c r="Y17" s="478"/>
      <c r="Z17" s="425"/>
      <c r="AA17" s="480" t="s">
        <v>112</v>
      </c>
      <c r="AB17" s="425"/>
      <c r="AC17" s="480" t="s">
        <v>121</v>
      </c>
      <c r="AD17" s="480" t="s">
        <v>34</v>
      </c>
      <c r="AE17" s="425" t="s">
        <v>122</v>
      </c>
      <c r="AF17" s="425"/>
      <c r="AG17" s="425"/>
      <c r="AH17" s="425"/>
      <c r="AI17" s="425"/>
      <c r="AJ17" s="480" t="s">
        <v>34</v>
      </c>
      <c r="AK17" s="178">
        <f>W27+INT((X27-0.5*D23)/12)</f>
        <v>2024</v>
      </c>
      <c r="AL17" s="480" t="str">
        <f>RIGHT("0"&amp;MOD(X27-0.5*D23,12),2)</f>
        <v>04</v>
      </c>
      <c r="AM17" s="480" t="str">
        <f>Y27</f>
        <v>01</v>
      </c>
    </row>
    <row r="18" spans="1:39">
      <c r="A18" s="25"/>
      <c r="B18" s="17"/>
      <c r="C18" s="17"/>
      <c r="D18" s="17"/>
      <c r="E18" s="17"/>
      <c r="F18" s="17"/>
      <c r="G18" s="17"/>
      <c r="H18" s="17"/>
      <c r="I18" s="17"/>
      <c r="J18" s="17"/>
      <c r="K18" s="18"/>
      <c r="M18" s="42"/>
      <c r="N18" s="478"/>
      <c r="O18" s="495">
        <v>2020</v>
      </c>
      <c r="P18" s="508">
        <f>E26</f>
        <v>126000</v>
      </c>
      <c r="Q18" s="509" t="s">
        <v>225</v>
      </c>
      <c r="R18" s="478"/>
      <c r="S18" s="478"/>
      <c r="T18" s="478"/>
      <c r="U18" s="478"/>
      <c r="V18" s="478"/>
      <c r="W18" s="478"/>
      <c r="X18" s="478"/>
      <c r="Y18" s="478"/>
      <c r="Z18" s="425"/>
      <c r="AA18" s="480" t="s">
        <v>112</v>
      </c>
      <c r="AB18" s="425"/>
      <c r="AC18" s="480" t="s">
        <v>125</v>
      </c>
      <c r="AD18" s="480" t="s">
        <v>34</v>
      </c>
      <c r="AE18" s="425" t="s">
        <v>126</v>
      </c>
      <c r="AF18" s="425"/>
      <c r="AG18" s="425"/>
      <c r="AH18" s="425"/>
      <c r="AI18" s="425"/>
      <c r="AJ18" s="480" t="s">
        <v>34</v>
      </c>
      <c r="AK18" s="178">
        <f>D21+INT((E21+D22/2)/12)</f>
        <v>2027</v>
      </c>
      <c r="AL18" s="480" t="str">
        <f>RIGHT("0"&amp;MOD(E21+D22/2,12),2)</f>
        <v>04</v>
      </c>
      <c r="AM18" s="480" t="str">
        <f>RIGHT("0"&amp;F21,2)</f>
        <v>01</v>
      </c>
    </row>
    <row r="19" spans="1:39">
      <c r="A19" s="25"/>
      <c r="B19" s="17"/>
      <c r="C19" s="17"/>
      <c r="D19" s="17"/>
      <c r="E19" s="17"/>
      <c r="F19" s="17"/>
      <c r="G19" s="17"/>
      <c r="H19" s="17"/>
      <c r="I19" s="17"/>
      <c r="J19" s="17"/>
      <c r="K19" s="18"/>
      <c r="M19"/>
      <c r="N19" s="478"/>
      <c r="O19" s="495">
        <f>O18+1</f>
        <v>2021</v>
      </c>
      <c r="P19" s="508">
        <f>E27</f>
        <v>130913.99999999999</v>
      </c>
      <c r="Q19" s="510">
        <f>P19/P18-1</f>
        <v>3.8999999999999924E-2</v>
      </c>
      <c r="R19" s="478"/>
      <c r="S19" s="478"/>
      <c r="T19" s="478"/>
      <c r="U19" s="478"/>
      <c r="V19" s="478"/>
      <c r="W19" s="478"/>
      <c r="X19" s="478"/>
      <c r="Y19" s="478"/>
      <c r="Z19" s="425"/>
      <c r="AA19" s="480" t="s">
        <v>112</v>
      </c>
      <c r="AB19" s="425"/>
      <c r="AC19" s="425"/>
      <c r="AD19" s="425"/>
      <c r="AE19" s="425"/>
      <c r="AF19" s="425"/>
      <c r="AG19" s="480"/>
      <c r="AH19" s="425"/>
      <c r="AI19" s="425"/>
      <c r="AJ19" s="425"/>
      <c r="AK19" s="425"/>
      <c r="AL19" s="425"/>
      <c r="AM19" s="425"/>
    </row>
    <row r="20" spans="1:39">
      <c r="A20" s="25"/>
      <c r="B20" s="114" t="s">
        <v>446</v>
      </c>
      <c r="C20" s="116"/>
      <c r="D20" s="390">
        <v>2024</v>
      </c>
      <c r="E20" s="196"/>
      <c r="F20" s="197"/>
      <c r="G20" s="502"/>
      <c r="H20" s="116"/>
      <c r="I20" s="17"/>
      <c r="J20" s="17"/>
      <c r="K20" s="18"/>
      <c r="M20"/>
      <c r="N20" s="478"/>
      <c r="O20" s="495">
        <f>O19+1</f>
        <v>2022</v>
      </c>
      <c r="P20" s="508">
        <f>E28</f>
        <v>136019.64599999998</v>
      </c>
      <c r="Q20" s="510">
        <f>P20/P19-1</f>
        <v>3.8999999999999924E-2</v>
      </c>
      <c r="R20" s="478"/>
      <c r="S20" s="478"/>
      <c r="T20" s="478"/>
      <c r="U20" s="478"/>
      <c r="V20" s="478"/>
      <c r="W20" s="478"/>
      <c r="X20" s="478"/>
      <c r="Y20" s="478"/>
      <c r="Z20" s="425"/>
      <c r="AA20" s="480" t="s">
        <v>112</v>
      </c>
      <c r="AB20" s="478"/>
      <c r="AC20" s="138" t="s">
        <v>453</v>
      </c>
      <c r="AD20" s="480" t="s">
        <v>34</v>
      </c>
      <c r="AE20" s="480" t="s">
        <v>125</v>
      </c>
      <c r="AF20" s="131" t="s">
        <v>104</v>
      </c>
      <c r="AG20" s="480" t="s">
        <v>121</v>
      </c>
      <c r="AH20" s="478"/>
      <c r="AI20" s="478"/>
      <c r="AJ20" s="478"/>
      <c r="AK20" s="478"/>
      <c r="AL20" s="478"/>
      <c r="AM20" s="478"/>
    </row>
    <row r="21" spans="1:39">
      <c r="A21" s="25"/>
      <c r="B21" s="124" t="s">
        <v>109</v>
      </c>
      <c r="C21" s="126"/>
      <c r="D21" s="504">
        <v>2026</v>
      </c>
      <c r="E21" s="505" t="s">
        <v>119</v>
      </c>
      <c r="F21" s="507" t="s">
        <v>120</v>
      </c>
      <c r="G21" s="506" t="s">
        <v>291</v>
      </c>
      <c r="H21" s="126"/>
      <c r="I21" s="17"/>
      <c r="J21" s="17"/>
      <c r="K21" s="18"/>
      <c r="M21"/>
      <c r="N21" s="478"/>
      <c r="O21" s="496">
        <f>O20+1</f>
        <v>2023</v>
      </c>
      <c r="P21" s="511">
        <f>E29</f>
        <v>141324.41219399997</v>
      </c>
      <c r="Q21" s="512">
        <f>P21/P20-1</f>
        <v>3.8999999999999924E-2</v>
      </c>
      <c r="R21" s="478"/>
      <c r="S21" s="478"/>
      <c r="T21" s="478"/>
      <c r="U21" s="478"/>
      <c r="V21" s="478"/>
      <c r="W21" s="478"/>
      <c r="X21" s="478"/>
      <c r="Y21" s="478"/>
      <c r="Z21" s="425"/>
      <c r="AA21" s="480" t="s">
        <v>112</v>
      </c>
      <c r="AB21" s="478"/>
      <c r="AC21" s="478"/>
      <c r="AD21" s="480" t="s">
        <v>34</v>
      </c>
      <c r="AE21" s="513" t="str">
        <f>ROUND(((AK18*12)+AL18-(AK17*12+AL17))/12+IF(AM17=AM18,0,1/24),3) &amp; " years"</f>
        <v>3 years</v>
      </c>
      <c r="AF21" s="478"/>
      <c r="AG21" s="478"/>
      <c r="AH21" s="478"/>
      <c r="AI21" s="478"/>
      <c r="AJ21" s="478"/>
      <c r="AK21" s="478"/>
      <c r="AL21" s="478"/>
      <c r="AM21" s="478"/>
    </row>
    <row r="22" spans="1:39">
      <c r="A22" s="25"/>
      <c r="B22" s="119" t="s">
        <v>447</v>
      </c>
      <c r="C22" s="121"/>
      <c r="D22" s="199">
        <v>18</v>
      </c>
      <c r="E22" s="120" t="s">
        <v>110</v>
      </c>
      <c r="F22" s="171"/>
      <c r="G22" s="503"/>
      <c r="H22" s="120"/>
      <c r="I22" s="17"/>
      <c r="J22" s="17"/>
      <c r="K22" s="18"/>
      <c r="M22" s="42"/>
      <c r="N22" s="425"/>
      <c r="O22" s="103" t="s">
        <v>290</v>
      </c>
      <c r="P22" s="147"/>
      <c r="Q22" s="514">
        <f>ROUND(AVERAGE(Q19:Q21),3)</f>
        <v>3.9E-2</v>
      </c>
      <c r="R22" s="401" t="s">
        <v>390</v>
      </c>
      <c r="S22" s="192" t="s">
        <v>454</v>
      </c>
      <c r="T22" s="425"/>
      <c r="U22" s="425"/>
      <c r="V22" s="425"/>
      <c r="W22" s="425"/>
      <c r="X22" s="425"/>
      <c r="Y22" s="425"/>
      <c r="Z22" s="425"/>
      <c r="AA22" s="480" t="s">
        <v>112</v>
      </c>
      <c r="AB22" s="477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</row>
    <row r="23" spans="1:39">
      <c r="A23" s="25"/>
      <c r="B23" s="124" t="s">
        <v>111</v>
      </c>
      <c r="C23" s="126"/>
      <c r="D23" s="201">
        <v>6</v>
      </c>
      <c r="E23" s="125" t="s">
        <v>110</v>
      </c>
      <c r="F23" s="173"/>
      <c r="G23" s="503"/>
      <c r="H23" s="120"/>
      <c r="I23" s="17"/>
      <c r="J23" s="17"/>
      <c r="K23" s="18"/>
      <c r="M23"/>
      <c r="N23" s="425"/>
      <c r="O23" s="148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80" t="s">
        <v>112</v>
      </c>
      <c r="AB23" s="477"/>
      <c r="AC23" s="477"/>
      <c r="AD23" s="477"/>
      <c r="AE23" s="478"/>
      <c r="AF23" s="478"/>
      <c r="AG23" s="478"/>
      <c r="AH23" s="478"/>
      <c r="AI23" s="478"/>
      <c r="AJ23" s="478"/>
      <c r="AK23" s="478"/>
      <c r="AL23" s="478"/>
      <c r="AM23" s="478"/>
    </row>
    <row r="24" spans="1:39">
      <c r="A24" s="25"/>
      <c r="B24" s="118"/>
      <c r="C24" s="118"/>
      <c r="D24" s="497"/>
      <c r="E24" s="498"/>
      <c r="F24" s="498"/>
      <c r="G24" s="120"/>
      <c r="H24" s="120"/>
      <c r="I24" s="17"/>
      <c r="J24" s="17"/>
      <c r="K24" s="18"/>
      <c r="M24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25"/>
      <c r="AA24" s="480" t="s">
        <v>112</v>
      </c>
      <c r="AB24" s="477"/>
      <c r="AC24" s="477"/>
      <c r="AD24" s="477"/>
      <c r="AE24" s="478"/>
      <c r="AF24" s="478"/>
      <c r="AG24" s="478"/>
      <c r="AH24" s="478"/>
      <c r="AI24" s="478"/>
      <c r="AJ24" s="478"/>
      <c r="AK24" s="478"/>
      <c r="AL24" s="478"/>
      <c r="AM24" s="478"/>
    </row>
    <row r="25" spans="1:39">
      <c r="A25" s="25"/>
      <c r="B25" s="158" t="s">
        <v>448</v>
      </c>
      <c r="C25" s="405" t="s">
        <v>283</v>
      </c>
      <c r="D25" s="203" t="s">
        <v>115</v>
      </c>
      <c r="E25" s="499" t="s">
        <v>449</v>
      </c>
      <c r="F25" s="415"/>
      <c r="G25" s="415"/>
      <c r="H25" s="118"/>
      <c r="I25" s="17"/>
      <c r="J25" s="17"/>
      <c r="K25" s="18"/>
      <c r="M25" s="42"/>
      <c r="N25" s="515" t="s">
        <v>100</v>
      </c>
      <c r="O25" s="478" t="s">
        <v>455</v>
      </c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25"/>
      <c r="AA25" s="480" t="s">
        <v>112</v>
      </c>
      <c r="AB25" s="477"/>
      <c r="AC25" s="477"/>
      <c r="AD25" s="477"/>
      <c r="AE25" s="478"/>
      <c r="AF25" s="478"/>
      <c r="AG25" s="478"/>
      <c r="AH25" s="478"/>
      <c r="AI25" s="478"/>
      <c r="AJ25" s="478"/>
      <c r="AK25" s="478"/>
      <c r="AL25" s="478"/>
      <c r="AM25" s="478"/>
    </row>
    <row r="26" spans="1:39">
      <c r="A26" s="25"/>
      <c r="B26" s="162" t="s">
        <v>450</v>
      </c>
      <c r="C26" s="118"/>
      <c r="D26" s="500">
        <v>2020</v>
      </c>
      <c r="E26" s="200">
        <v>126000</v>
      </c>
      <c r="F26" s="415"/>
      <c r="G26" s="415"/>
      <c r="H26" s="295"/>
      <c r="I26" s="17"/>
      <c r="J26" s="17"/>
      <c r="K26" s="18"/>
      <c r="M26"/>
      <c r="N26" s="425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25"/>
      <c r="AA26" s="480" t="s">
        <v>112</v>
      </c>
      <c r="AB26" s="477"/>
      <c r="AC26" s="477"/>
      <c r="AD26" s="477"/>
      <c r="AE26" s="478"/>
      <c r="AF26" s="478"/>
      <c r="AG26" s="478"/>
      <c r="AH26" s="478"/>
      <c r="AI26" s="478"/>
      <c r="AJ26" s="478"/>
      <c r="AK26" s="478"/>
      <c r="AL26" s="478"/>
      <c r="AM26" s="478"/>
    </row>
    <row r="27" spans="1:39">
      <c r="A27" s="25"/>
      <c r="B27" s="118"/>
      <c r="C27" s="118"/>
      <c r="D27" s="500">
        <v>2021</v>
      </c>
      <c r="E27" s="200">
        <v>130913.99999999999</v>
      </c>
      <c r="F27" s="415"/>
      <c r="G27" s="415"/>
      <c r="H27" s="295"/>
      <c r="I27" s="17"/>
      <c r="J27" s="17"/>
      <c r="K27" s="18"/>
      <c r="M27"/>
      <c r="N27" s="425"/>
      <c r="O27" s="425" t="s">
        <v>118</v>
      </c>
      <c r="P27" s="480" t="s">
        <v>34</v>
      </c>
      <c r="Q27" s="425" t="s">
        <v>456</v>
      </c>
      <c r="R27" s="425"/>
      <c r="S27" s="425"/>
      <c r="T27" s="425"/>
      <c r="U27" s="425"/>
      <c r="V27" s="480" t="s">
        <v>34</v>
      </c>
      <c r="W27" s="178">
        <f>D20</f>
        <v>2024</v>
      </c>
      <c r="X27" s="131" t="s">
        <v>119</v>
      </c>
      <c r="Y27" s="131" t="s">
        <v>120</v>
      </c>
      <c r="Z27" s="425"/>
      <c r="AA27" s="480" t="s">
        <v>112</v>
      </c>
      <c r="AB27" s="477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</row>
    <row r="28" spans="1:39">
      <c r="A28" s="25"/>
      <c r="B28" s="118"/>
      <c r="C28" s="118"/>
      <c r="D28" s="500">
        <v>2022</v>
      </c>
      <c r="E28" s="200">
        <v>136019.64599999998</v>
      </c>
      <c r="F28" s="415"/>
      <c r="G28" s="415"/>
      <c r="H28" s="295"/>
      <c r="I28" s="17"/>
      <c r="J28" s="17"/>
      <c r="K28" s="18"/>
      <c r="L28" s="30"/>
      <c r="M28"/>
      <c r="N28" s="425"/>
      <c r="O28" s="425" t="s">
        <v>123</v>
      </c>
      <c r="P28" s="480" t="s">
        <v>34</v>
      </c>
      <c r="Q28" s="425" t="s">
        <v>124</v>
      </c>
      <c r="R28" s="425"/>
      <c r="S28" s="425"/>
      <c r="T28" s="425"/>
      <c r="U28" s="425"/>
      <c r="V28" s="480" t="s">
        <v>34</v>
      </c>
      <c r="W28" s="178">
        <f>AK18+INT((AL18+0.5*D23)/12)</f>
        <v>2027</v>
      </c>
      <c r="X28" s="131" t="str">
        <f>RIGHT("0"&amp;MOD(AL18+0.5*D23,12),2)</f>
        <v>07</v>
      </c>
      <c r="Y28" s="131" t="str">
        <f>AM18</f>
        <v>01</v>
      </c>
      <c r="Z28" s="425"/>
      <c r="AA28" s="480" t="s">
        <v>112</v>
      </c>
      <c r="AB28" s="477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</row>
    <row r="29" spans="1:39">
      <c r="A29" s="25"/>
      <c r="B29" s="118"/>
      <c r="C29" s="118"/>
      <c r="D29" s="501">
        <v>2023</v>
      </c>
      <c r="E29" s="202">
        <v>141324.41219399997</v>
      </c>
      <c r="F29" s="118"/>
      <c r="G29" s="118"/>
      <c r="H29" s="118"/>
      <c r="I29" s="17"/>
      <c r="J29" s="17"/>
      <c r="K29" s="18"/>
      <c r="L29" s="30"/>
      <c r="M29"/>
      <c r="N29" s="425"/>
      <c r="O29" s="425"/>
      <c r="P29" s="425"/>
      <c r="Q29" s="425"/>
      <c r="R29" s="425"/>
      <c r="S29" s="425"/>
      <c r="T29" s="425"/>
      <c r="U29" s="425"/>
      <c r="V29" s="425"/>
      <c r="W29" s="425"/>
      <c r="X29" s="425"/>
      <c r="Y29" s="425"/>
      <c r="Z29" s="425"/>
      <c r="AA29" s="480" t="s">
        <v>112</v>
      </c>
      <c r="AB29" s="477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</row>
    <row r="30" spans="1:39">
      <c r="A30" s="25"/>
      <c r="B30" s="17"/>
      <c r="C30" s="17"/>
      <c r="D30" s="17"/>
      <c r="E30" s="17"/>
      <c r="F30" s="17"/>
      <c r="G30" s="17"/>
      <c r="H30" s="17"/>
      <c r="I30" s="17"/>
      <c r="J30" s="17"/>
      <c r="K30" s="18"/>
      <c r="L30" s="30"/>
      <c r="M30"/>
      <c r="N30" s="425"/>
      <c r="O30" s="138" t="s">
        <v>127</v>
      </c>
      <c r="P30" s="480" t="s">
        <v>34</v>
      </c>
      <c r="Q30" s="480" t="s">
        <v>123</v>
      </c>
      <c r="R30" s="131" t="s">
        <v>104</v>
      </c>
      <c r="S30" s="480" t="s">
        <v>118</v>
      </c>
      <c r="T30" s="425"/>
      <c r="U30" s="101"/>
      <c r="V30" s="425"/>
      <c r="W30" s="425"/>
      <c r="X30" s="425"/>
      <c r="Y30" s="425"/>
      <c r="Z30" s="425"/>
      <c r="AA30" s="480" t="s">
        <v>112</v>
      </c>
      <c r="AB30" s="477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</row>
    <row r="31" spans="1:39">
      <c r="A31" s="25"/>
      <c r="B31" s="17"/>
      <c r="C31" s="17"/>
      <c r="D31" s="17"/>
      <c r="E31" s="17"/>
      <c r="F31" s="17"/>
      <c r="G31" s="17"/>
      <c r="H31" s="17"/>
      <c r="I31" s="17"/>
      <c r="J31" s="17"/>
      <c r="K31" s="18"/>
      <c r="L31" s="30"/>
      <c r="M31"/>
      <c r="N31" s="425"/>
      <c r="O31" s="478"/>
      <c r="P31" s="480" t="s">
        <v>34</v>
      </c>
      <c r="Q31" s="513" t="str">
        <f>ROUND(((W28*12)+X28-(W27*12+X27))/12+IF(Y27=Y28,0,1/24),3) &amp; " year(s)"</f>
        <v>3 year(s)</v>
      </c>
      <c r="R31" s="478"/>
      <c r="S31" s="478"/>
      <c r="T31" s="425"/>
      <c r="U31" s="425"/>
      <c r="V31" s="425"/>
      <c r="W31" s="425"/>
      <c r="X31" s="425"/>
      <c r="Y31" s="425"/>
      <c r="Z31" s="425"/>
      <c r="AA31" s="480" t="s">
        <v>112</v>
      </c>
      <c r="AB31" s="477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</row>
    <row r="32" spans="1:39">
      <c r="A32" s="25"/>
      <c r="B32" s="17"/>
      <c r="C32" s="17"/>
      <c r="D32" s="17"/>
      <c r="E32" s="17"/>
      <c r="F32" s="17"/>
      <c r="G32" s="17"/>
      <c r="H32" s="17"/>
      <c r="I32" s="17"/>
      <c r="J32" s="17"/>
      <c r="K32" s="18"/>
      <c r="L32" s="30"/>
      <c r="M32"/>
      <c r="N32" s="425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25"/>
      <c r="AA32" s="480" t="s">
        <v>112</v>
      </c>
      <c r="AB32" s="477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</row>
    <row r="33" spans="1:39">
      <c r="A33" s="25"/>
      <c r="B33" s="17"/>
      <c r="C33" s="17"/>
      <c r="D33" s="17"/>
      <c r="E33" s="17"/>
      <c r="F33" s="17"/>
      <c r="G33" s="17"/>
      <c r="H33" s="17"/>
      <c r="I33" s="17"/>
      <c r="J33" s="27"/>
      <c r="K33" s="18"/>
      <c r="L33" s="30"/>
      <c r="M33"/>
      <c r="Y33" s="425"/>
      <c r="Z33" s="425"/>
      <c r="AA33" s="480" t="s">
        <v>112</v>
      </c>
      <c r="AB33" s="477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</row>
    <row r="34" spans="1:39">
      <c r="A34" s="25"/>
      <c r="B34" s="17"/>
      <c r="C34" s="17"/>
      <c r="D34" s="17"/>
      <c r="E34" s="17"/>
      <c r="F34" s="17"/>
      <c r="G34" s="17"/>
      <c r="H34" s="17"/>
      <c r="I34" s="17"/>
      <c r="J34" s="27"/>
      <c r="K34" s="18"/>
      <c r="L34" s="30"/>
      <c r="M34"/>
      <c r="N34" s="430" t="s">
        <v>150</v>
      </c>
      <c r="O34" s="425" t="s">
        <v>457</v>
      </c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80" t="s">
        <v>112</v>
      </c>
      <c r="AB34" s="477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</row>
    <row r="35" spans="1:39">
      <c r="A35" s="25"/>
      <c r="B35" s="17"/>
      <c r="C35" s="17"/>
      <c r="D35" s="17"/>
      <c r="E35" s="17"/>
      <c r="F35" s="17"/>
      <c r="G35" s="17"/>
      <c r="H35" s="17"/>
      <c r="I35" s="17"/>
      <c r="J35" s="27"/>
      <c r="K35" s="18"/>
      <c r="L35" s="30"/>
      <c r="M35"/>
      <c r="N35" s="425"/>
      <c r="O35" s="425"/>
      <c r="P35" s="425"/>
      <c r="Q35" s="425"/>
      <c r="R35" s="425"/>
      <c r="S35" s="425"/>
      <c r="T35" s="425"/>
      <c r="U35" s="425"/>
      <c r="V35" s="425"/>
      <c r="W35" s="425"/>
      <c r="X35" s="425"/>
      <c r="Y35" s="425"/>
      <c r="Z35" s="425"/>
      <c r="AA35" s="480" t="s">
        <v>112</v>
      </c>
      <c r="AB35" s="477"/>
      <c r="AC35" s="478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</row>
    <row r="36" spans="1:39">
      <c r="A36" s="25"/>
      <c r="B36" s="17"/>
      <c r="C36" s="17"/>
      <c r="D36" s="17"/>
      <c r="E36" s="17"/>
      <c r="F36" s="17"/>
      <c r="G36" s="17"/>
      <c r="H36" s="17"/>
      <c r="I36" s="17"/>
      <c r="J36" s="27"/>
      <c r="K36" s="18"/>
      <c r="L36" s="30"/>
      <c r="M36"/>
      <c r="N36" s="425"/>
      <c r="O36" s="425" t="s">
        <v>458</v>
      </c>
      <c r="P36" s="425"/>
      <c r="Q36" s="425"/>
      <c r="R36" s="425"/>
      <c r="S36" s="425"/>
      <c r="T36" s="425"/>
      <c r="U36" s="425"/>
      <c r="V36" s="480"/>
      <c r="W36" s="425"/>
      <c r="X36" s="425"/>
      <c r="Y36" s="425"/>
      <c r="Z36" s="425"/>
      <c r="AA36" s="480" t="s">
        <v>112</v>
      </c>
      <c r="AB36" s="477"/>
      <c r="AC36" s="478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</row>
    <row r="37" spans="1:39">
      <c r="A37" s="25"/>
      <c r="B37" s="17"/>
      <c r="C37" s="17"/>
      <c r="D37" s="17"/>
      <c r="E37" s="17"/>
      <c r="F37" s="17"/>
      <c r="G37" s="17"/>
      <c r="H37" s="17"/>
      <c r="I37" s="17"/>
      <c r="J37" s="27"/>
      <c r="K37" s="18"/>
      <c r="L37" s="30"/>
      <c r="M37"/>
      <c r="N37" s="425"/>
      <c r="O37" s="425"/>
      <c r="P37" s="480" t="s">
        <v>34</v>
      </c>
      <c r="Q37" s="480">
        <f>E26</f>
        <v>126000</v>
      </c>
      <c r="R37" s="480" t="s">
        <v>459</v>
      </c>
      <c r="S37" s="362">
        <f>1+Q22</f>
        <v>1.0389999999999999</v>
      </c>
      <c r="T37" s="480" t="s">
        <v>460</v>
      </c>
      <c r="U37" s="516">
        <f>ROUND(((W28*12)+X28-(W27*12+X27))/12+IF(Y27=Y28,0,1/24),3)</f>
        <v>3</v>
      </c>
      <c r="V37" s="425"/>
      <c r="W37" s="425"/>
      <c r="X37" s="425"/>
      <c r="Y37" s="425"/>
      <c r="Z37" s="425"/>
      <c r="AA37" s="480" t="s">
        <v>112</v>
      </c>
      <c r="AB37" s="477"/>
      <c r="AC37" s="478"/>
      <c r="AD37" s="478"/>
      <c r="AE37" s="478"/>
      <c r="AF37" s="478"/>
      <c r="AG37" s="478"/>
      <c r="AH37" s="478"/>
      <c r="AI37" s="478"/>
      <c r="AJ37" s="478"/>
      <c r="AK37" s="478"/>
      <c r="AL37" s="478"/>
      <c r="AM37" s="478"/>
    </row>
    <row r="38" spans="1:39" ht="15" customHeight="1">
      <c r="A38" s="25"/>
      <c r="B38" s="17"/>
      <c r="C38" s="17"/>
      <c r="D38" s="17"/>
      <c r="E38" s="17"/>
      <c r="F38" s="17"/>
      <c r="G38" s="17"/>
      <c r="H38" s="17"/>
      <c r="I38" s="17"/>
      <c r="J38" s="27"/>
      <c r="K38" s="18"/>
      <c r="L38" s="30"/>
      <c r="M38"/>
      <c r="N38" s="425"/>
      <c r="O38" s="425"/>
      <c r="P38" s="480" t="s">
        <v>34</v>
      </c>
      <c r="Q38" s="430">
        <f>Q37*S37^U37</f>
        <v>141324.41219399995</v>
      </c>
      <c r="R38" s="425"/>
      <c r="S38" s="425"/>
      <c r="T38" s="425"/>
      <c r="U38" s="425"/>
      <c r="V38" s="425"/>
      <c r="W38" s="425"/>
      <c r="X38" s="425"/>
      <c r="Y38" s="425"/>
      <c r="Z38" s="425"/>
      <c r="AA38" s="480" t="s">
        <v>112</v>
      </c>
      <c r="AB38" s="425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</row>
    <row r="39" spans="1:39" ht="15" customHeight="1">
      <c r="A39" s="25"/>
      <c r="B39" s="17"/>
      <c r="C39" s="17"/>
      <c r="D39" s="17"/>
      <c r="E39" s="17"/>
      <c r="F39" s="17"/>
      <c r="G39" s="17"/>
      <c r="H39" s="17"/>
      <c r="I39" s="17"/>
      <c r="J39" s="27"/>
      <c r="K39" s="18"/>
      <c r="L39" s="30"/>
      <c r="M39"/>
      <c r="N39" s="425"/>
      <c r="O39" s="425"/>
      <c r="P39" s="425"/>
      <c r="Q39" s="134" t="s">
        <v>102</v>
      </c>
      <c r="R39" s="425"/>
      <c r="S39" s="425"/>
      <c r="T39" s="425"/>
      <c r="U39" s="425"/>
      <c r="V39" s="425"/>
      <c r="W39" s="425"/>
      <c r="X39" s="425"/>
      <c r="Y39" s="425"/>
      <c r="Z39" s="425"/>
      <c r="AA39" s="480" t="s">
        <v>112</v>
      </c>
      <c r="AB39" s="425"/>
      <c r="AC39" s="478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</row>
    <row r="40" spans="1:39" ht="15" customHeight="1">
      <c r="A40" s="25"/>
      <c r="B40" s="17"/>
      <c r="C40" s="17"/>
      <c r="D40" s="17"/>
      <c r="E40" s="17"/>
      <c r="F40" s="17"/>
      <c r="G40" s="17"/>
      <c r="H40" s="17"/>
      <c r="I40" s="17"/>
      <c r="J40" s="27"/>
      <c r="K40" s="18"/>
      <c r="L40" s="30"/>
      <c r="M40"/>
      <c r="N40" s="478"/>
      <c r="O40" s="478"/>
      <c r="P40" s="478"/>
      <c r="Q40" s="478"/>
      <c r="R40" s="478"/>
      <c r="S40" s="478"/>
      <c r="T40" s="478"/>
      <c r="U40" s="478"/>
      <c r="V40" s="425"/>
      <c r="W40" s="425"/>
      <c r="X40" s="425"/>
      <c r="Y40" s="425"/>
      <c r="Z40" s="425"/>
      <c r="AA40" s="480" t="s">
        <v>112</v>
      </c>
      <c r="AB40" s="425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</row>
    <row r="41" spans="1:39" ht="15" customHeight="1">
      <c r="A41" s="25"/>
      <c r="B41" s="17"/>
      <c r="C41" s="100"/>
      <c r="D41" s="100"/>
      <c r="E41" s="100"/>
      <c r="F41" s="100"/>
      <c r="G41" s="100"/>
      <c r="H41" s="100"/>
      <c r="I41" s="27"/>
      <c r="J41" s="27"/>
      <c r="K41" s="18"/>
      <c r="L41" s="30"/>
      <c r="M41"/>
      <c r="X41" s="425"/>
      <c r="Y41" s="425"/>
      <c r="Z41" s="425"/>
      <c r="AA41" s="480" t="s">
        <v>112</v>
      </c>
      <c r="AB41" s="425"/>
      <c r="AC41" s="478"/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</row>
    <row r="42" spans="1:39" ht="15" customHeight="1">
      <c r="A42" s="25"/>
      <c r="B42" s="17"/>
      <c r="C42" s="27"/>
      <c r="D42" s="27"/>
      <c r="E42" s="27"/>
      <c r="F42" s="27"/>
      <c r="G42" s="27"/>
      <c r="H42" s="27"/>
      <c r="I42" s="27"/>
      <c r="J42" s="27"/>
      <c r="K42" s="18"/>
      <c r="L42" s="30"/>
      <c r="M42" s="42"/>
      <c r="X42" s="425"/>
      <c r="Y42" s="425"/>
      <c r="Z42" s="425"/>
      <c r="AA42" s="480" t="s">
        <v>112</v>
      </c>
      <c r="AB42" s="425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</row>
    <row r="43" spans="1:39" ht="15" customHeight="1">
      <c r="A43" s="25"/>
      <c r="B43" s="17"/>
      <c r="C43" s="27"/>
      <c r="D43" s="27"/>
      <c r="E43" s="27"/>
      <c r="F43" s="27"/>
      <c r="G43" s="27"/>
      <c r="H43" s="27"/>
      <c r="I43" s="27"/>
      <c r="J43" s="27"/>
      <c r="K43" s="18"/>
      <c r="L43" s="30"/>
      <c r="M43"/>
      <c r="X43" s="425"/>
      <c r="Y43" s="425"/>
      <c r="Z43" s="425"/>
      <c r="AA43" s="480" t="s">
        <v>112</v>
      </c>
      <c r="AB43" s="425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</row>
    <row r="44" spans="1:39" ht="15" customHeight="1">
      <c r="A44" s="25"/>
      <c r="B44" s="17"/>
      <c r="C44" s="27"/>
      <c r="D44" s="27"/>
      <c r="E44" s="27"/>
      <c r="F44" s="27"/>
      <c r="G44" s="27"/>
      <c r="H44" s="27"/>
      <c r="I44" s="27"/>
      <c r="J44" s="27"/>
      <c r="K44" s="18"/>
      <c r="L44" s="30"/>
      <c r="M44" s="42"/>
      <c r="X44" s="425"/>
      <c r="Y44" s="425"/>
      <c r="Z44" s="425"/>
      <c r="AA44" s="480" t="s">
        <v>112</v>
      </c>
      <c r="AB44" s="425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</row>
    <row r="45" spans="1:39" ht="15" customHeight="1">
      <c r="A45" s="25"/>
      <c r="B45" s="17"/>
      <c r="C45" s="27"/>
      <c r="D45" s="27"/>
      <c r="E45" s="27"/>
      <c r="F45" s="27"/>
      <c r="G45" s="27"/>
      <c r="H45" s="27"/>
      <c r="I45" s="27"/>
      <c r="J45" s="27"/>
      <c r="K45" s="18"/>
      <c r="L45" s="30"/>
      <c r="M45"/>
      <c r="X45" s="425"/>
      <c r="Y45" s="425"/>
      <c r="Z45" s="425"/>
      <c r="AA45" s="480" t="s">
        <v>112</v>
      </c>
      <c r="AB45" s="425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</row>
    <row r="46" spans="1:39" ht="15" customHeight="1">
      <c r="A46" s="25"/>
      <c r="B46" s="17"/>
      <c r="C46" s="27"/>
      <c r="D46" s="27"/>
      <c r="E46" s="27"/>
      <c r="F46" s="27"/>
      <c r="G46" s="27"/>
      <c r="H46" s="27"/>
      <c r="I46" s="27"/>
      <c r="J46" s="27"/>
      <c r="K46" s="18"/>
      <c r="L46" s="30"/>
      <c r="M46"/>
      <c r="X46" s="425"/>
      <c r="Y46" s="425"/>
      <c r="Z46" s="425"/>
      <c r="AA46" s="480" t="s">
        <v>112</v>
      </c>
      <c r="AB46" s="425"/>
      <c r="AC46" s="478"/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</row>
    <row r="47" spans="1:39" ht="15" customHeight="1">
      <c r="A47" s="25"/>
      <c r="B47" s="17"/>
      <c r="C47" s="27"/>
      <c r="D47" s="27"/>
      <c r="E47" s="27"/>
      <c r="F47" s="27"/>
      <c r="G47" s="27"/>
      <c r="H47" s="27"/>
      <c r="I47" s="27"/>
      <c r="J47" s="27"/>
      <c r="K47" s="18"/>
      <c r="L47" s="30"/>
      <c r="M47"/>
      <c r="N47" s="425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25"/>
      <c r="AA47" s="480" t="s">
        <v>112</v>
      </c>
      <c r="AB47" s="425"/>
      <c r="AC47" s="478"/>
      <c r="AD47" s="478"/>
      <c r="AE47" s="478"/>
      <c r="AF47" s="478"/>
      <c r="AG47" s="478"/>
      <c r="AH47" s="478"/>
      <c r="AI47" s="478"/>
      <c r="AJ47" s="478"/>
      <c r="AK47" s="478"/>
      <c r="AL47" s="478"/>
      <c r="AM47" s="478"/>
    </row>
    <row r="48" spans="1:39" ht="15" customHeight="1">
      <c r="A48" s="25"/>
      <c r="B48" s="17"/>
      <c r="C48" s="27"/>
      <c r="D48" s="27"/>
      <c r="E48" s="27"/>
      <c r="F48" s="27"/>
      <c r="G48" s="27"/>
      <c r="H48" s="27"/>
      <c r="I48" s="27"/>
      <c r="J48" s="27"/>
      <c r="K48" s="18"/>
      <c r="L48" s="30"/>
      <c r="M48"/>
      <c r="N48"/>
      <c r="O48"/>
      <c r="P48"/>
      <c r="Q48"/>
      <c r="R48"/>
      <c r="S48"/>
      <c r="T48"/>
      <c r="U48"/>
      <c r="V48"/>
      <c r="W48"/>
    </row>
    <row r="49" spans="1:23" ht="15" customHeight="1">
      <c r="A49" s="22"/>
      <c r="B49" s="17"/>
      <c r="C49" s="17"/>
      <c r="D49" s="17"/>
      <c r="E49" s="17"/>
      <c r="F49" s="17"/>
      <c r="G49" s="17"/>
      <c r="H49" s="17"/>
      <c r="I49" s="17"/>
      <c r="J49" s="17"/>
      <c r="K49" s="18"/>
      <c r="L49" s="30"/>
      <c r="M49"/>
      <c r="N49"/>
      <c r="O49"/>
      <c r="P49"/>
      <c r="Q49"/>
      <c r="R49"/>
      <c r="S49"/>
      <c r="T49"/>
      <c r="U49"/>
      <c r="V49"/>
      <c r="W49"/>
    </row>
    <row r="50" spans="1:23" ht="15" customHeight="1" thickBot="1">
      <c r="A50" s="24"/>
      <c r="B50" s="31"/>
      <c r="C50" s="31"/>
      <c r="D50" s="31"/>
      <c r="E50" s="31"/>
      <c r="F50" s="31"/>
      <c r="G50" s="31"/>
      <c r="H50" s="31"/>
      <c r="I50" s="31"/>
      <c r="J50" s="31"/>
      <c r="K50" s="32"/>
      <c r="L50" s="30"/>
      <c r="M50"/>
      <c r="N50"/>
      <c r="O50"/>
      <c r="P50"/>
      <c r="Q50"/>
      <c r="R50"/>
      <c r="S50"/>
      <c r="T50"/>
      <c r="U50"/>
      <c r="V50"/>
      <c r="W50"/>
    </row>
    <row r="51" spans="1:23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/>
      <c r="N51"/>
      <c r="O51"/>
      <c r="P51"/>
      <c r="Q51"/>
      <c r="R51"/>
      <c r="S51"/>
      <c r="T51"/>
      <c r="U51"/>
      <c r="V51"/>
      <c r="W51"/>
    </row>
    <row r="52" spans="1:23" ht="15" customHeight="1">
      <c r="L52" s="30"/>
      <c r="M52"/>
      <c r="N52"/>
      <c r="O52"/>
      <c r="P52"/>
      <c r="Q52"/>
      <c r="R52"/>
      <c r="S52"/>
      <c r="T52"/>
      <c r="U52"/>
      <c r="V52"/>
      <c r="W52"/>
    </row>
    <row r="53" spans="1:23" ht="15" customHeight="1">
      <c r="L53" s="30"/>
      <c r="M53"/>
      <c r="N53"/>
      <c r="O53"/>
      <c r="P53"/>
      <c r="Q53"/>
      <c r="R53"/>
      <c r="S53"/>
      <c r="T53"/>
      <c r="U53"/>
      <c r="V53"/>
      <c r="W53"/>
    </row>
    <row r="54" spans="1:23" ht="15" customHeight="1">
      <c r="L54" s="30"/>
    </row>
    <row r="55" spans="1:23" ht="15" customHeight="1">
      <c r="L55" s="30"/>
    </row>
    <row r="56" spans="1:23" ht="15" customHeight="1">
      <c r="L56" s="30"/>
    </row>
    <row r="57" spans="1:23" ht="15" customHeight="1">
      <c r="L57" s="30"/>
    </row>
    <row r="58" spans="1:23" ht="15" customHeight="1">
      <c r="L58" s="30"/>
    </row>
    <row r="59" spans="1:23" ht="15" customHeight="1">
      <c r="L59" s="30"/>
    </row>
    <row r="60" spans="1:23" ht="15" customHeight="1">
      <c r="L60" s="30"/>
    </row>
    <row r="61" spans="1:23" ht="15" customHeight="1">
      <c r="L61" s="30"/>
    </row>
    <row r="62" spans="1:23" ht="15" customHeight="1">
      <c r="L62" s="30"/>
    </row>
    <row r="63" spans="1:23" ht="15" customHeight="1">
      <c r="L63" s="30"/>
    </row>
    <row r="64" spans="1:23" ht="15" customHeight="1">
      <c r="L64" s="30"/>
    </row>
    <row r="65" spans="2:23" ht="15" customHeight="1">
      <c r="L65" s="30"/>
      <c r="M65"/>
      <c r="N65"/>
      <c r="O65"/>
      <c r="P65"/>
      <c r="Q65"/>
      <c r="R65"/>
      <c r="S65"/>
      <c r="T65"/>
      <c r="U65"/>
      <c r="V65"/>
      <c r="W65"/>
    </row>
    <row r="66" spans="2:23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/>
      <c r="N66"/>
      <c r="O66"/>
      <c r="P66"/>
      <c r="Q66"/>
      <c r="R66"/>
      <c r="S66"/>
      <c r="T66"/>
      <c r="U66"/>
      <c r="V66"/>
      <c r="W66"/>
    </row>
    <row r="67" spans="2:23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/>
      <c r="N67"/>
      <c r="O67"/>
      <c r="P67"/>
      <c r="Q67"/>
      <c r="R67"/>
      <c r="S67"/>
      <c r="T67"/>
      <c r="U67"/>
      <c r="V67"/>
      <c r="W67"/>
    </row>
    <row r="68" spans="2:23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/>
      <c r="N68"/>
      <c r="O68"/>
      <c r="P68"/>
      <c r="Q68"/>
      <c r="R68"/>
      <c r="S68"/>
      <c r="T68"/>
      <c r="U68"/>
      <c r="V68"/>
      <c r="W68"/>
    </row>
    <row r="69" spans="2:23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/>
      <c r="N69"/>
      <c r="O69"/>
      <c r="P69"/>
      <c r="Q69"/>
      <c r="R69"/>
      <c r="S69"/>
      <c r="T69"/>
      <c r="U69"/>
      <c r="V69"/>
      <c r="W69"/>
    </row>
    <row r="70" spans="2:23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/>
      <c r="N70"/>
      <c r="O70"/>
      <c r="P70"/>
      <c r="Q70"/>
      <c r="R70"/>
      <c r="S70"/>
      <c r="T70"/>
      <c r="U70"/>
      <c r="V70"/>
      <c r="W70"/>
    </row>
    <row r="71" spans="2:23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2:23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2:23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23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2:23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2:23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2:23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2:23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2:23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2:23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2:12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2:12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2:12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2:12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2:12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</row>
    <row r="86" spans="2:12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2:12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2:12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2:12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0" spans="2:12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1" spans="2:12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</row>
    <row r="92" spans="2:12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</row>
    <row r="93" spans="2:12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</row>
    <row r="94" spans="2:12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</row>
    <row r="95" spans="2:12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</row>
    <row r="96" spans="2:12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2:12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</row>
    <row r="98" spans="2:12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</row>
    <row r="99" spans="2:12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</row>
    <row r="100" spans="2:12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2:12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</row>
    <row r="102" spans="2:12" ht="1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</row>
    <row r="103" spans="2:12" ht="1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2:12" ht="1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</row>
    <row r="105" spans="2:12" ht="1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</row>
    <row r="106" spans="2:12" ht="1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</row>
    <row r="107" spans="2:12" ht="1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</row>
    <row r="108" spans="2:12" ht="1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</row>
    <row r="109" spans="2:12" ht="1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</row>
    <row r="110" spans="2:12" ht="1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</row>
    <row r="111" spans="2:12" ht="1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</row>
    <row r="112" spans="2:12" ht="1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</row>
    <row r="113" spans="2:12" ht="1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</row>
    <row r="114" spans="2:12" ht="1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</row>
    <row r="115" spans="2:12" ht="1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2:12" ht="1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2:12" ht="1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</row>
    <row r="118" spans="2:12" ht="1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</row>
    <row r="119" spans="2:12" ht="1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</row>
    <row r="120" spans="2:12" ht="1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  <row r="121" spans="2:12" ht="1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</sheetData>
  <mergeCells count="1">
    <mergeCell ref="J1:K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I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6" width="16" style="21" customWidth="1"/>
    <col min="7" max="7" width="1.7109375" style="21" customWidth="1"/>
    <col min="8" max="8" width="11.140625" style="21" customWidth="1"/>
    <col min="9" max="9" width="1.7109375" style="21" customWidth="1"/>
    <col min="10" max="13" width="11.140625" style="21" customWidth="1"/>
    <col min="14" max="16384" width="9.140625" style="21"/>
  </cols>
  <sheetData>
    <row r="1" spans="1:35">
      <c r="A1" s="7">
        <v>10</v>
      </c>
      <c r="B1" s="26" t="s">
        <v>12</v>
      </c>
      <c r="C1" s="26"/>
      <c r="D1" s="26"/>
      <c r="E1" s="26"/>
      <c r="F1" s="26"/>
      <c r="G1" s="20"/>
      <c r="H1" s="20"/>
      <c r="I1" s="20"/>
      <c r="J1" s="20"/>
      <c r="K1" s="20"/>
      <c r="L1" s="1024" t="s">
        <v>24</v>
      </c>
      <c r="M1" s="1025"/>
      <c r="O1" s="1" t="s">
        <v>33</v>
      </c>
      <c r="P1" s="47" t="str">
        <f>VLOOKUP(A1,'Point Grid'!$L$8:$T$54,9,FALSE)</f>
        <v>Pricing - Chap 7: Other Expenses</v>
      </c>
      <c r="Q1"/>
      <c r="R1"/>
      <c r="S1"/>
      <c r="T1"/>
      <c r="U1"/>
      <c r="V1"/>
      <c r="W1"/>
      <c r="X1"/>
      <c r="Y1"/>
    </row>
    <row r="2" spans="1:3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1"/>
      <c r="P2"/>
      <c r="Q2" s="467"/>
      <c r="R2"/>
      <c r="S2"/>
      <c r="T2"/>
      <c r="U2"/>
      <c r="V2"/>
      <c r="W2"/>
      <c r="X2"/>
      <c r="Y2"/>
    </row>
    <row r="3" spans="1:3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 s="42" t="s">
        <v>2</v>
      </c>
      <c r="P3" s="476" t="s">
        <v>197</v>
      </c>
      <c r="Q3" s="467"/>
      <c r="R3"/>
      <c r="S3"/>
      <c r="T3"/>
      <c r="U3"/>
      <c r="V3"/>
      <c r="W3"/>
      <c r="X3"/>
      <c r="Y3"/>
    </row>
    <row r="4" spans="1:3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0"/>
      <c r="O4" s="42"/>
      <c r="P4" s="482" t="s">
        <v>283</v>
      </c>
      <c r="Q4" s="467" t="s">
        <v>490</v>
      </c>
      <c r="R4"/>
      <c r="S4"/>
      <c r="T4"/>
      <c r="U4"/>
      <c r="V4"/>
      <c r="W4"/>
      <c r="X4"/>
      <c r="Y4"/>
    </row>
    <row r="5" spans="1:3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0"/>
      <c r="O5" s="42"/>
      <c r="P5" s="482"/>
      <c r="Q5" s="467"/>
      <c r="R5"/>
      <c r="S5"/>
      <c r="T5"/>
      <c r="U5"/>
      <c r="V5"/>
      <c r="W5"/>
      <c r="X5"/>
      <c r="Y5"/>
    </row>
    <row r="6" spans="1:35">
      <c r="A6" s="25" t="s">
        <v>2</v>
      </c>
      <c r="B6" s="17" t="s">
        <v>461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30"/>
      <c r="O6" s="42"/>
      <c r="P6" s="476" t="s">
        <v>495</v>
      </c>
      <c r="Q6" s="467"/>
      <c r="R6" s="240" t="s">
        <v>489</v>
      </c>
      <c r="S6"/>
      <c r="T6"/>
      <c r="U6"/>
      <c r="V6"/>
      <c r="W6"/>
      <c r="X6"/>
      <c r="Y6"/>
    </row>
    <row r="7" spans="1:35" ht="15.75" thickBot="1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30"/>
      <c r="O7" s="42"/>
      <c r="P7" s="482" t="s">
        <v>283</v>
      </c>
      <c r="Q7" s="467" t="s">
        <v>491</v>
      </c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7"/>
    </row>
    <row r="8" spans="1:35" ht="15.75" thickBot="1">
      <c r="A8" s="5"/>
      <c r="B8" s="17"/>
      <c r="C8" s="17"/>
      <c r="D8" s="17"/>
      <c r="E8" s="17"/>
      <c r="F8" s="17"/>
      <c r="G8" s="27"/>
      <c r="H8" s="27"/>
      <c r="I8" s="27"/>
      <c r="J8" s="27"/>
      <c r="K8" s="27"/>
      <c r="L8" s="27"/>
      <c r="M8" s="18"/>
      <c r="P8" s="482" t="s">
        <v>283</v>
      </c>
      <c r="Q8" s="21" t="s">
        <v>492</v>
      </c>
      <c r="AA8" s="467"/>
      <c r="AB8" s="467"/>
      <c r="AC8" s="467"/>
      <c r="AD8" s="467"/>
      <c r="AE8" s="467"/>
      <c r="AF8" s="467"/>
      <c r="AG8" s="467"/>
      <c r="AH8" s="467"/>
      <c r="AI8" s="467"/>
    </row>
    <row r="9" spans="1:3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P9" s="482" t="s">
        <v>283</v>
      </c>
      <c r="Q9" s="21" t="s">
        <v>493</v>
      </c>
      <c r="AA9" s="467"/>
      <c r="AB9" s="467"/>
      <c r="AC9" s="467"/>
      <c r="AD9" s="467"/>
      <c r="AE9" s="467"/>
      <c r="AF9" s="467"/>
      <c r="AG9" s="467"/>
      <c r="AH9" s="467"/>
      <c r="AI9" s="467"/>
    </row>
    <row r="10" spans="1:35">
      <c r="A10" s="25" t="s">
        <v>3</v>
      </c>
      <c r="B10" s="118" t="s">
        <v>462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51"/>
      <c r="M10" s="18"/>
      <c r="P10" s="482" t="s">
        <v>283</v>
      </c>
      <c r="Q10" s="21" t="s">
        <v>494</v>
      </c>
      <c r="AA10" s="467"/>
      <c r="AB10" s="467"/>
      <c r="AC10" s="467"/>
      <c r="AD10" s="467"/>
      <c r="AE10" s="467"/>
      <c r="AF10" s="467"/>
      <c r="AG10" s="467"/>
      <c r="AH10" s="467"/>
      <c r="AI10" s="467"/>
    </row>
    <row r="11" spans="1:35" ht="15.75" thickBot="1">
      <c r="A11" s="9">
        <f>INDEX('Point Grid'!$C$8:$I$54,MATCH($A$1,'Point Grid'!$A$8:$A$54,0),MATCH(A10,'Point Grid'!$C$7:$I$7,0))</f>
        <v>1.5</v>
      </c>
      <c r="B11" s="118" t="s">
        <v>463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51"/>
      <c r="M11" s="18"/>
      <c r="AD11" s="467"/>
      <c r="AE11" s="467"/>
      <c r="AF11" s="467"/>
      <c r="AG11" s="467"/>
      <c r="AH11" s="467"/>
      <c r="AI11" s="467"/>
    </row>
    <row r="12" spans="1:35" ht="15.75" thickBot="1">
      <c r="A12" s="5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8"/>
      <c r="O12" s="214" t="s">
        <v>3</v>
      </c>
      <c r="P12" s="132" t="s">
        <v>99</v>
      </c>
      <c r="Q12" s="478" t="s">
        <v>475</v>
      </c>
      <c r="R12" s="478"/>
      <c r="S12" s="478"/>
      <c r="T12" s="478"/>
      <c r="U12" s="478"/>
      <c r="V12" s="478"/>
      <c r="W12" s="478"/>
      <c r="X12" s="478"/>
      <c r="Y12" s="478"/>
      <c r="Z12" s="478"/>
      <c r="AA12" s="478"/>
      <c r="AB12" s="478"/>
      <c r="AC12" s="467"/>
      <c r="AD12" s="467"/>
      <c r="AE12" s="467"/>
      <c r="AF12" s="467"/>
      <c r="AG12" s="467"/>
      <c r="AH12" s="467"/>
      <c r="AI12" s="467"/>
    </row>
    <row r="13" spans="1:35">
      <c r="A13" s="391"/>
      <c r="B13" s="164"/>
      <c r="C13" s="174"/>
      <c r="D13" s="165"/>
      <c r="E13" s="517" t="s">
        <v>284</v>
      </c>
      <c r="F13" s="499" t="s">
        <v>464</v>
      </c>
      <c r="G13" s="118"/>
      <c r="H13" s="522" t="s">
        <v>474</v>
      </c>
      <c r="I13" s="118"/>
      <c r="J13" s="118"/>
      <c r="K13" s="118"/>
      <c r="L13" s="239" t="s">
        <v>465</v>
      </c>
      <c r="M13" s="1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478"/>
      <c r="AB13" s="478"/>
      <c r="AC13" s="467"/>
      <c r="AD13" s="467"/>
      <c r="AE13" s="467"/>
      <c r="AF13" s="467"/>
      <c r="AG13" s="467"/>
      <c r="AH13" s="467"/>
      <c r="AI13" s="467"/>
    </row>
    <row r="14" spans="1:35">
      <c r="A14" s="25"/>
      <c r="B14" s="119" t="s">
        <v>466</v>
      </c>
      <c r="C14" s="120"/>
      <c r="D14" s="121"/>
      <c r="E14" s="120">
        <v>34900</v>
      </c>
      <c r="F14" s="518" t="s">
        <v>225</v>
      </c>
      <c r="G14" s="415"/>
      <c r="H14" s="152" t="s">
        <v>467</v>
      </c>
      <c r="I14" s="118"/>
      <c r="J14" s="114" t="s">
        <v>468</v>
      </c>
      <c r="K14" s="116"/>
      <c r="L14" s="519">
        <v>63.5</v>
      </c>
      <c r="M14" s="18"/>
      <c r="P14" s="425"/>
      <c r="Q14" s="478"/>
      <c r="R14" s="425"/>
      <c r="S14" s="425"/>
      <c r="T14" s="478"/>
      <c r="U14" s="478"/>
      <c r="V14" s="480" t="s">
        <v>476</v>
      </c>
      <c r="W14" s="425"/>
      <c r="X14" s="425"/>
      <c r="Y14" s="480" t="s">
        <v>477</v>
      </c>
      <c r="Z14" s="425"/>
      <c r="AA14" s="425"/>
      <c r="AB14" s="425"/>
      <c r="AC14" s="467"/>
      <c r="AD14" s="467"/>
      <c r="AE14" s="467"/>
      <c r="AF14" s="467"/>
      <c r="AG14" s="467"/>
      <c r="AH14" s="467"/>
      <c r="AI14" s="467"/>
    </row>
    <row r="15" spans="1:35">
      <c r="A15" s="25"/>
      <c r="B15" s="124" t="s">
        <v>469</v>
      </c>
      <c r="C15" s="125"/>
      <c r="D15" s="126"/>
      <c r="E15" s="125">
        <v>35600</v>
      </c>
      <c r="F15" s="520" t="s">
        <v>225</v>
      </c>
      <c r="G15" s="415"/>
      <c r="H15" s="155" t="s">
        <v>188</v>
      </c>
      <c r="I15" s="118"/>
      <c r="J15" s="124" t="s">
        <v>470</v>
      </c>
      <c r="K15" s="126"/>
      <c r="L15" s="521">
        <v>61.4</v>
      </c>
      <c r="M15" s="18"/>
      <c r="P15" s="425"/>
      <c r="Q15" s="425"/>
      <c r="R15" s="425"/>
      <c r="S15" s="425"/>
      <c r="T15" s="425"/>
      <c r="U15" s="425"/>
      <c r="V15" s="523" t="s">
        <v>478</v>
      </c>
      <c r="W15" s="425"/>
      <c r="X15" s="425"/>
      <c r="Y15" s="523" t="s">
        <v>478</v>
      </c>
      <c r="Z15" s="425"/>
      <c r="AA15" s="425"/>
      <c r="AB15" s="425"/>
      <c r="AC15" s="467"/>
      <c r="AD15" s="467"/>
      <c r="AE15" s="467"/>
      <c r="AF15" s="467"/>
      <c r="AG15" s="467"/>
      <c r="AH15" s="467"/>
      <c r="AI15" s="467"/>
    </row>
    <row r="16" spans="1:35">
      <c r="A16" s="25"/>
      <c r="B16" s="119" t="s">
        <v>471</v>
      </c>
      <c r="C16" s="120"/>
      <c r="D16" s="121"/>
      <c r="E16" s="120">
        <v>3800</v>
      </c>
      <c r="F16" s="137">
        <v>0</v>
      </c>
      <c r="G16" s="415"/>
      <c r="H16" s="198" t="s">
        <v>286</v>
      </c>
      <c r="I16" s="118"/>
      <c r="J16" s="151"/>
      <c r="K16" s="151"/>
      <c r="L16" s="151"/>
      <c r="M16" s="18"/>
      <c r="P16" s="425"/>
      <c r="Q16" s="478"/>
      <c r="R16" s="425"/>
      <c r="S16" s="98" t="s">
        <v>464</v>
      </c>
      <c r="T16" s="478"/>
      <c r="U16" s="44" t="s">
        <v>476</v>
      </c>
      <c r="V16" s="44" t="s">
        <v>224</v>
      </c>
      <c r="W16" s="425"/>
      <c r="X16" s="98" t="s">
        <v>477</v>
      </c>
      <c r="Y16" s="44" t="s">
        <v>139</v>
      </c>
      <c r="Z16" s="425"/>
      <c r="AA16" s="425"/>
      <c r="AB16" s="425"/>
      <c r="AC16" s="467"/>
      <c r="AD16" s="467"/>
      <c r="AE16" s="467"/>
      <c r="AF16" s="467"/>
      <c r="AG16" s="467"/>
      <c r="AH16" s="467"/>
      <c r="AI16" s="467"/>
    </row>
    <row r="17" spans="1:35">
      <c r="A17" s="25"/>
      <c r="B17" s="119" t="s">
        <v>472</v>
      </c>
      <c r="C17" s="120"/>
      <c r="D17" s="121"/>
      <c r="E17" s="120">
        <v>2830</v>
      </c>
      <c r="F17" s="137">
        <v>0.8</v>
      </c>
      <c r="G17" s="415"/>
      <c r="H17" s="198" t="s">
        <v>287</v>
      </c>
      <c r="I17" s="118"/>
      <c r="J17" s="151"/>
      <c r="K17" s="151"/>
      <c r="L17" s="151"/>
      <c r="M17" s="18"/>
      <c r="P17" s="425"/>
      <c r="Q17" s="138" t="s">
        <v>286</v>
      </c>
      <c r="R17" s="524" t="s">
        <v>148</v>
      </c>
      <c r="S17" s="431">
        <f>F16</f>
        <v>0</v>
      </c>
      <c r="T17" s="401" t="s">
        <v>479</v>
      </c>
      <c r="U17" s="425">
        <f>E16*S17</f>
        <v>0</v>
      </c>
      <c r="V17" s="48">
        <f>U17/L14</f>
        <v>0</v>
      </c>
      <c r="W17" s="401" t="s">
        <v>479</v>
      </c>
      <c r="X17" s="425">
        <f>E16-U17</f>
        <v>3800</v>
      </c>
      <c r="Y17" s="317">
        <f>X17/E14</f>
        <v>0.10888252148997135</v>
      </c>
      <c r="Z17" s="148" t="s">
        <v>480</v>
      </c>
      <c r="AA17" s="425"/>
      <c r="AB17" s="425"/>
      <c r="AC17" s="467"/>
      <c r="AD17" s="467"/>
      <c r="AE17" s="467"/>
      <c r="AF17" s="467"/>
      <c r="AG17" s="467"/>
      <c r="AH17" s="467"/>
      <c r="AI17" s="467"/>
    </row>
    <row r="18" spans="1:35" ht="15" customHeight="1">
      <c r="A18" s="25"/>
      <c r="B18" s="119" t="s">
        <v>473</v>
      </c>
      <c r="C18" s="120"/>
      <c r="D18" s="121"/>
      <c r="E18" s="120">
        <v>700</v>
      </c>
      <c r="F18" s="137">
        <v>0.15</v>
      </c>
      <c r="G18" s="415"/>
      <c r="H18" s="198" t="s">
        <v>289</v>
      </c>
      <c r="I18" s="118"/>
      <c r="J18" s="151"/>
      <c r="K18" s="151"/>
      <c r="L18" s="151"/>
      <c r="M18" s="18"/>
      <c r="P18" s="425"/>
      <c r="Q18" s="138" t="s">
        <v>287</v>
      </c>
      <c r="R18" s="524" t="s">
        <v>148</v>
      </c>
      <c r="S18" s="431">
        <f>F17</f>
        <v>0.8</v>
      </c>
      <c r="T18" s="401" t="s">
        <v>479</v>
      </c>
      <c r="U18" s="425">
        <f>E17*S18</f>
        <v>2264</v>
      </c>
      <c r="V18" s="48">
        <f>U18/L14</f>
        <v>35.653543307086615</v>
      </c>
      <c r="W18" s="401" t="s">
        <v>479</v>
      </c>
      <c r="X18" s="425">
        <f>E17-U18</f>
        <v>566</v>
      </c>
      <c r="Y18" s="317">
        <f>X18/E14</f>
        <v>1.6217765042979941E-2</v>
      </c>
      <c r="Z18" s="148" t="s">
        <v>480</v>
      </c>
      <c r="AA18" s="425"/>
      <c r="AB18" s="425"/>
      <c r="AC18" s="467"/>
      <c r="AD18" s="467"/>
      <c r="AE18" s="467"/>
      <c r="AF18" s="467"/>
      <c r="AG18" s="467"/>
      <c r="AH18" s="467"/>
      <c r="AI18" s="467"/>
    </row>
    <row r="19" spans="1:35" ht="15" customHeight="1">
      <c r="A19" s="25"/>
      <c r="B19" s="119" t="s">
        <v>54</v>
      </c>
      <c r="C19" s="120"/>
      <c r="D19" s="121"/>
      <c r="E19" s="120">
        <v>2600</v>
      </c>
      <c r="F19" s="137">
        <v>0.65</v>
      </c>
      <c r="G19" s="415"/>
      <c r="H19" s="155" t="s">
        <v>288</v>
      </c>
      <c r="I19" s="118"/>
      <c r="J19" s="151"/>
      <c r="K19" s="151"/>
      <c r="L19" s="151"/>
      <c r="M19" s="18"/>
      <c r="P19" s="425"/>
      <c r="Q19" s="138" t="s">
        <v>289</v>
      </c>
      <c r="R19" s="524" t="s">
        <v>148</v>
      </c>
      <c r="S19" s="431">
        <f>F18</f>
        <v>0.15</v>
      </c>
      <c r="T19" s="401" t="s">
        <v>479</v>
      </c>
      <c r="U19" s="425">
        <f>E18*S19</f>
        <v>105</v>
      </c>
      <c r="V19" s="48">
        <f>U19/L14</f>
        <v>1.6535433070866141</v>
      </c>
      <c r="W19" s="401" t="s">
        <v>479</v>
      </c>
      <c r="X19" s="425">
        <f>E18-U19</f>
        <v>595</v>
      </c>
      <c r="Y19" s="317">
        <f>X19/E14</f>
        <v>1.7048710601719197E-2</v>
      </c>
      <c r="Z19" s="148" t="s">
        <v>480</v>
      </c>
      <c r="AA19" s="425"/>
      <c r="AB19" s="425"/>
      <c r="AC19" s="467"/>
      <c r="AD19" s="467"/>
      <c r="AE19" s="467"/>
      <c r="AF19" s="467"/>
      <c r="AG19" s="467"/>
      <c r="AH19" s="467"/>
      <c r="AI19" s="467"/>
    </row>
    <row r="20" spans="1:35" ht="15" customHeight="1">
      <c r="A20" s="25"/>
      <c r="B20" s="164" t="s">
        <v>98</v>
      </c>
      <c r="C20" s="174"/>
      <c r="D20" s="165"/>
      <c r="E20" s="174">
        <v>1200</v>
      </c>
      <c r="F20" s="166">
        <v>0</v>
      </c>
      <c r="G20" s="415"/>
      <c r="H20" s="155" t="s">
        <v>98</v>
      </c>
      <c r="I20" s="118"/>
      <c r="J20" s="151"/>
      <c r="K20" s="151"/>
      <c r="L20" s="151"/>
      <c r="M20" s="18"/>
      <c r="P20" s="425"/>
      <c r="Q20" s="392" t="s">
        <v>481</v>
      </c>
      <c r="R20" s="524" t="s">
        <v>148</v>
      </c>
      <c r="S20" s="431">
        <f>F19</f>
        <v>0.65</v>
      </c>
      <c r="T20" s="401" t="s">
        <v>479</v>
      </c>
      <c r="U20" s="425">
        <f>E19*S20</f>
        <v>1690</v>
      </c>
      <c r="V20" s="525">
        <f>U20/L15</f>
        <v>27.524429967426709</v>
      </c>
      <c r="W20" s="401" t="s">
        <v>479</v>
      </c>
      <c r="X20" s="425">
        <f>E19-U20</f>
        <v>910</v>
      </c>
      <c r="Y20" s="526">
        <f>X20/E15</f>
        <v>2.5561797752808989E-2</v>
      </c>
      <c r="Z20" s="148" t="s">
        <v>482</v>
      </c>
      <c r="AA20" s="425"/>
      <c r="AB20" s="425"/>
      <c r="AC20" s="467"/>
      <c r="AD20" s="467"/>
      <c r="AE20" s="467"/>
      <c r="AF20" s="467"/>
      <c r="AG20" s="467"/>
      <c r="AH20" s="467"/>
      <c r="AI20" s="467"/>
    </row>
    <row r="21" spans="1:35" ht="15" customHeight="1">
      <c r="A21" s="2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  <c r="P21" s="425"/>
      <c r="Q21" s="425"/>
      <c r="R21" s="425"/>
      <c r="S21" s="425"/>
      <c r="T21" s="425"/>
      <c r="U21" s="425"/>
      <c r="V21" s="527">
        <f>SUM(V17:V20)</f>
        <v>64.831516581599942</v>
      </c>
      <c r="W21" s="425"/>
      <c r="X21" s="425"/>
      <c r="Y21" s="528">
        <f>SUM(Y17:Y20)</f>
        <v>0.16771079488747948</v>
      </c>
      <c r="Z21" s="425"/>
      <c r="AA21" s="425"/>
      <c r="AB21" s="425"/>
      <c r="AC21" s="467"/>
      <c r="AD21" s="467"/>
      <c r="AE21" s="467"/>
      <c r="AF21" s="467"/>
      <c r="AG21" s="467"/>
      <c r="AH21" s="467"/>
      <c r="AI21" s="467"/>
    </row>
    <row r="22" spans="1:35" ht="15" customHeight="1">
      <c r="A22" s="2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67"/>
      <c r="AD22" s="467"/>
      <c r="AE22" s="467"/>
      <c r="AF22" s="467"/>
      <c r="AG22" s="467"/>
      <c r="AH22" s="467"/>
      <c r="AI22" s="467"/>
    </row>
    <row r="23" spans="1:35" ht="15" customHeight="1">
      <c r="A23" s="2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P23" s="478"/>
      <c r="Q23" s="240" t="s">
        <v>483</v>
      </c>
      <c r="R23" s="478"/>
      <c r="S23" s="478"/>
      <c r="T23" s="478"/>
      <c r="U23" s="478"/>
      <c r="V23" s="478"/>
      <c r="W23" s="478"/>
      <c r="X23" s="478"/>
      <c r="Y23" s="478"/>
      <c r="Z23" s="425"/>
      <c r="AA23" s="425"/>
      <c r="AB23" s="425"/>
      <c r="AC23" s="467"/>
      <c r="AD23" s="467"/>
      <c r="AE23" s="467"/>
      <c r="AF23" s="467"/>
      <c r="AG23" s="467"/>
      <c r="AH23" s="467"/>
      <c r="AI23" s="467"/>
    </row>
    <row r="24" spans="1:35" ht="15" customHeight="1">
      <c r="A24" s="2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P24" s="478"/>
      <c r="Q24" s="240" t="s">
        <v>484</v>
      </c>
      <c r="R24" s="478"/>
      <c r="S24" s="478"/>
      <c r="T24" s="478"/>
      <c r="U24" s="478"/>
      <c r="V24" s="478"/>
      <c r="W24" s="478"/>
      <c r="X24" s="478"/>
      <c r="Y24" s="478"/>
      <c r="Z24" s="425"/>
      <c r="AA24" s="425"/>
      <c r="AB24" s="425"/>
      <c r="AC24" s="467"/>
      <c r="AD24" s="467"/>
      <c r="AE24" s="467"/>
      <c r="AF24" s="467"/>
      <c r="AG24" s="467"/>
      <c r="AH24" s="467"/>
      <c r="AI24" s="467"/>
    </row>
    <row r="25" spans="1:35" ht="15" customHeight="1">
      <c r="A25" s="25"/>
      <c r="B25" s="17"/>
      <c r="C25" s="17"/>
      <c r="D25" s="17"/>
      <c r="E25" s="17"/>
      <c r="F25" s="17"/>
      <c r="G25" s="27"/>
      <c r="H25" s="27"/>
      <c r="I25" s="27"/>
      <c r="J25" s="27"/>
      <c r="K25" s="27"/>
      <c r="L25" s="27"/>
      <c r="M25" s="18"/>
      <c r="P25" s="478"/>
      <c r="Q25" s="478"/>
      <c r="R25" s="478"/>
      <c r="S25" s="478"/>
      <c r="T25" s="478"/>
      <c r="U25" s="478"/>
      <c r="V25" s="478"/>
      <c r="W25" s="425"/>
      <c r="X25" s="425"/>
      <c r="Y25" s="425"/>
      <c r="Z25" s="425"/>
      <c r="AA25" s="425"/>
      <c r="AB25" s="425"/>
      <c r="AC25" s="467"/>
      <c r="AD25" s="467"/>
      <c r="AE25" s="467"/>
      <c r="AF25" s="467"/>
      <c r="AG25" s="467"/>
      <c r="AH25" s="467"/>
      <c r="AI25" s="467"/>
    </row>
    <row r="26" spans="1:35" ht="15" customHeight="1">
      <c r="A26" s="25"/>
      <c r="B26" s="17"/>
      <c r="C26" s="17"/>
      <c r="D26" s="17"/>
      <c r="E26" s="17"/>
      <c r="F26" s="17"/>
      <c r="G26" s="27"/>
      <c r="H26" s="27"/>
      <c r="I26" s="27"/>
      <c r="J26" s="27"/>
      <c r="K26" s="27"/>
      <c r="L26" s="27"/>
      <c r="M26" s="18"/>
      <c r="N26" s="30"/>
      <c r="P26" s="205" t="s">
        <v>485</v>
      </c>
      <c r="Q26" s="478" t="s">
        <v>486</v>
      </c>
      <c r="R26" s="478"/>
      <c r="S26" s="478"/>
      <c r="T26" s="478"/>
      <c r="U26" s="478"/>
      <c r="V26" s="478"/>
      <c r="W26" s="425"/>
      <c r="X26" s="425"/>
      <c r="Y26" s="425"/>
      <c r="Z26" s="425"/>
      <c r="AA26" s="425"/>
      <c r="AB26" s="425"/>
      <c r="AC26" s="467"/>
      <c r="AD26" s="467"/>
      <c r="AE26" s="467"/>
      <c r="AF26" s="467"/>
      <c r="AG26" s="467"/>
      <c r="AH26" s="467"/>
      <c r="AI26" s="467"/>
    </row>
    <row r="27" spans="1:35" ht="15" customHeight="1">
      <c r="A27" s="25"/>
      <c r="B27" s="17"/>
      <c r="C27" s="17"/>
      <c r="D27" s="17"/>
      <c r="E27" s="17"/>
      <c r="F27" s="17"/>
      <c r="G27" s="27"/>
      <c r="H27" s="27"/>
      <c r="I27" s="27"/>
      <c r="J27" s="27"/>
      <c r="K27" s="27"/>
      <c r="L27" s="27"/>
      <c r="M27" s="18"/>
      <c r="N27" s="30"/>
      <c r="O27"/>
      <c r="P27" s="425"/>
      <c r="Q27" s="478"/>
      <c r="R27" s="478"/>
      <c r="S27" s="425"/>
      <c r="T27" s="425"/>
      <c r="U27" s="478"/>
      <c r="V27" s="478"/>
      <c r="W27" s="425"/>
      <c r="X27" s="425"/>
      <c r="Y27" s="425"/>
      <c r="Z27" s="425"/>
      <c r="AA27" s="425"/>
      <c r="AB27" s="425"/>
      <c r="AC27" s="467"/>
      <c r="AD27" s="467"/>
      <c r="AE27" s="467"/>
      <c r="AF27" s="467"/>
      <c r="AG27" s="467"/>
      <c r="AH27" s="467"/>
      <c r="AI27" s="467"/>
    </row>
    <row r="28" spans="1:35" ht="15" customHeight="1">
      <c r="A28" s="25"/>
      <c r="B28" s="17"/>
      <c r="C28" s="17"/>
      <c r="D28" s="17"/>
      <c r="E28" s="17"/>
      <c r="F28" s="17"/>
      <c r="G28" s="27"/>
      <c r="H28" s="27"/>
      <c r="I28" s="27"/>
      <c r="J28" s="27"/>
      <c r="K28" s="27"/>
      <c r="L28" s="27"/>
      <c r="M28" s="18"/>
      <c r="N28" s="30"/>
      <c r="O28"/>
      <c r="P28" s="425"/>
      <c r="Q28" s="425" t="s">
        <v>487</v>
      </c>
      <c r="R28" s="425"/>
      <c r="S28" s="425"/>
      <c r="T28" s="425"/>
      <c r="U28" s="425"/>
      <c r="V28" s="529">
        <f>V21</f>
        <v>64.831516581599942</v>
      </c>
      <c r="W28" s="134" t="s">
        <v>405</v>
      </c>
      <c r="X28" s="425"/>
      <c r="Y28" s="425"/>
      <c r="Z28" s="425"/>
      <c r="AA28" s="425"/>
      <c r="AB28" s="425"/>
      <c r="AC28" s="467"/>
      <c r="AD28" s="467"/>
      <c r="AE28" s="467"/>
      <c r="AF28" s="467"/>
      <c r="AG28" s="467"/>
      <c r="AH28" s="467"/>
      <c r="AI28" s="467"/>
    </row>
    <row r="29" spans="1:35" ht="15" customHeight="1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30"/>
      <c r="O29"/>
      <c r="P29" s="425"/>
      <c r="Q29" s="425" t="s">
        <v>488</v>
      </c>
      <c r="R29" s="425"/>
      <c r="S29" s="425"/>
      <c r="T29" s="425"/>
      <c r="U29" s="425"/>
      <c r="V29" s="530">
        <f>Y21</f>
        <v>0.16771079488747948</v>
      </c>
      <c r="W29" s="134" t="s">
        <v>405</v>
      </c>
      <c r="X29" s="425"/>
      <c r="Y29" s="425"/>
      <c r="Z29" s="425"/>
      <c r="AA29" s="425"/>
      <c r="AB29" s="425"/>
      <c r="AC29" s="467"/>
      <c r="AD29" s="467"/>
      <c r="AE29" s="467"/>
      <c r="AF29" s="467"/>
      <c r="AG29" s="467"/>
      <c r="AH29" s="467"/>
      <c r="AI29" s="467"/>
    </row>
    <row r="30" spans="1:35" ht="15" customHeight="1" thickBot="1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30"/>
      <c r="O30"/>
      <c r="P30"/>
      <c r="Q30"/>
      <c r="R30"/>
      <c r="S30"/>
      <c r="T30"/>
      <c r="U30"/>
      <c r="V30"/>
      <c r="W30"/>
      <c r="X30"/>
      <c r="Y30"/>
    </row>
    <row r="31" spans="1:35" ht="15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/>
      <c r="P31"/>
      <c r="Q31"/>
      <c r="R31"/>
      <c r="S31"/>
      <c r="T31"/>
      <c r="U31"/>
      <c r="V31"/>
      <c r="W31"/>
      <c r="X31"/>
      <c r="Y31"/>
    </row>
    <row r="32" spans="1:35" ht="15" customHeight="1">
      <c r="N32" s="30"/>
      <c r="O32"/>
      <c r="P32"/>
      <c r="Q32"/>
      <c r="R32"/>
      <c r="S32"/>
      <c r="T32"/>
      <c r="U32"/>
      <c r="V32"/>
      <c r="W32"/>
      <c r="X32"/>
      <c r="Y32"/>
    </row>
    <row r="33" spans="2:25" ht="15" customHeight="1">
      <c r="N33" s="30"/>
      <c r="O33" s="42"/>
      <c r="P33" s="1"/>
      <c r="Q33"/>
      <c r="R33"/>
      <c r="S33"/>
      <c r="T33"/>
      <c r="U33"/>
      <c r="V33"/>
      <c r="W33"/>
      <c r="X33"/>
      <c r="Y33"/>
    </row>
    <row r="34" spans="2:25" ht="15" customHeight="1">
      <c r="N34" s="30"/>
      <c r="O34"/>
      <c r="P34"/>
      <c r="Q34"/>
      <c r="R34"/>
      <c r="S34"/>
      <c r="T34"/>
      <c r="U34"/>
      <c r="V34"/>
      <c r="W34"/>
      <c r="X34"/>
      <c r="Y34"/>
    </row>
    <row r="35" spans="2:25" ht="15" customHeight="1">
      <c r="N35" s="30"/>
      <c r="O35" s="42"/>
      <c r="P35"/>
      <c r="Q35"/>
      <c r="R35"/>
      <c r="S35"/>
      <c r="T35"/>
      <c r="U35"/>
      <c r="V35"/>
      <c r="W35"/>
      <c r="X35"/>
      <c r="Y35"/>
    </row>
    <row r="36" spans="2:25" ht="15" customHeight="1">
      <c r="N36" s="30"/>
      <c r="O36"/>
      <c r="P36"/>
      <c r="Q36"/>
      <c r="R36"/>
      <c r="S36"/>
      <c r="T36"/>
      <c r="U36"/>
      <c r="V36"/>
      <c r="W36"/>
      <c r="X36"/>
      <c r="Y36"/>
    </row>
    <row r="37" spans="2:25" ht="15" customHeight="1">
      <c r="N37" s="30"/>
      <c r="O37"/>
      <c r="P37"/>
      <c r="Q37"/>
      <c r="R37"/>
      <c r="S37"/>
      <c r="T37"/>
      <c r="U37"/>
      <c r="V37"/>
      <c r="W37"/>
      <c r="X37"/>
      <c r="Y37"/>
    </row>
    <row r="38" spans="2:25" ht="15" customHeight="1">
      <c r="N38" s="30"/>
      <c r="O38"/>
      <c r="P38"/>
      <c r="Q38"/>
      <c r="R38"/>
      <c r="S38"/>
      <c r="T38"/>
      <c r="U38"/>
      <c r="V38"/>
      <c r="W38"/>
      <c r="X38"/>
      <c r="Y38"/>
    </row>
    <row r="39" spans="2:25" ht="15" customHeight="1">
      <c r="N39" s="30"/>
      <c r="O39"/>
      <c r="P39"/>
      <c r="Q39"/>
      <c r="R39"/>
      <c r="S39"/>
      <c r="T39"/>
      <c r="U39"/>
      <c r="V39"/>
      <c r="W39"/>
      <c r="X39"/>
      <c r="Y39"/>
    </row>
    <row r="40" spans="2:25" ht="15" customHeight="1">
      <c r="N40" s="30"/>
      <c r="O40"/>
      <c r="P40"/>
      <c r="Q40"/>
      <c r="R40"/>
      <c r="S40"/>
      <c r="T40"/>
      <c r="U40"/>
      <c r="V40"/>
      <c r="W40"/>
      <c r="X40"/>
      <c r="Y40"/>
    </row>
    <row r="41" spans="2:25" ht="15" customHeight="1">
      <c r="N41" s="30"/>
      <c r="O41"/>
      <c r="P41"/>
      <c r="Q41"/>
      <c r="R41"/>
      <c r="S41"/>
      <c r="T41"/>
      <c r="U41"/>
      <c r="V41"/>
      <c r="W41"/>
      <c r="X41"/>
      <c r="Y41"/>
    </row>
    <row r="42" spans="2:25" ht="15" customHeight="1">
      <c r="N42" s="30"/>
      <c r="O42"/>
      <c r="P42"/>
      <c r="Q42"/>
      <c r="R42"/>
      <c r="S42"/>
      <c r="T42"/>
      <c r="U42"/>
      <c r="V42"/>
      <c r="W42"/>
      <c r="X42"/>
      <c r="Y42"/>
    </row>
    <row r="43" spans="2:25" ht="15" customHeight="1">
      <c r="N43" s="30"/>
      <c r="O43"/>
      <c r="P43"/>
      <c r="Q43"/>
      <c r="R43"/>
      <c r="S43"/>
      <c r="T43"/>
      <c r="U43"/>
      <c r="V43"/>
      <c r="W43"/>
      <c r="X43"/>
      <c r="Y43"/>
    </row>
    <row r="44" spans="2:25" ht="15" customHeight="1">
      <c r="N44" s="30"/>
      <c r="O44"/>
      <c r="P44"/>
      <c r="Q44"/>
      <c r="R44"/>
      <c r="S44"/>
      <c r="T44"/>
      <c r="U44"/>
      <c r="V44"/>
      <c r="W44"/>
      <c r="X44"/>
      <c r="Y44"/>
    </row>
    <row r="45" spans="2:25" ht="15" customHeight="1">
      <c r="N45" s="30"/>
      <c r="O45"/>
      <c r="P45"/>
      <c r="Q45"/>
      <c r="R45"/>
      <c r="S45"/>
      <c r="T45"/>
      <c r="U45"/>
      <c r="V45"/>
      <c r="W45"/>
      <c r="X45"/>
      <c r="Y45"/>
    </row>
    <row r="46" spans="2:25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/>
      <c r="P46"/>
      <c r="Q46" s="467"/>
      <c r="R46"/>
      <c r="S46"/>
      <c r="T46"/>
      <c r="U46"/>
      <c r="V46"/>
      <c r="W46"/>
      <c r="X46"/>
      <c r="Y46"/>
    </row>
    <row r="47" spans="2:25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/>
      <c r="P47" s="467"/>
      <c r="Q47" s="467"/>
      <c r="R47"/>
      <c r="S47"/>
      <c r="T47"/>
      <c r="U47"/>
      <c r="V47"/>
      <c r="W47"/>
      <c r="X47"/>
      <c r="Y47"/>
    </row>
    <row r="48" spans="2:25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/>
      <c r="P48" s="467"/>
      <c r="Q48" s="467"/>
      <c r="R48"/>
      <c r="S48"/>
      <c r="T48"/>
      <c r="U48"/>
      <c r="V48"/>
      <c r="W48"/>
      <c r="X48"/>
      <c r="Y48"/>
    </row>
    <row r="49" spans="2:25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/>
      <c r="P49" s="467"/>
      <c r="Q49" s="467"/>
      <c r="R49"/>
      <c r="S49"/>
      <c r="T49"/>
      <c r="U49"/>
      <c r="V49"/>
      <c r="W49"/>
      <c r="X49"/>
      <c r="Y49"/>
    </row>
    <row r="50" spans="2:25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/>
      <c r="P50" s="467"/>
      <c r="Q50" s="467"/>
      <c r="R50"/>
      <c r="S50"/>
      <c r="T50"/>
      <c r="U50"/>
      <c r="V50"/>
      <c r="W50"/>
      <c r="X50"/>
      <c r="Y50"/>
    </row>
    <row r="51" spans="2:25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P51" s="467"/>
      <c r="Q51" s="467"/>
    </row>
    <row r="52" spans="2:25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P52" s="467"/>
      <c r="Q52" s="467"/>
    </row>
    <row r="53" spans="2:25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P53" s="467"/>
      <c r="Q53" s="467"/>
    </row>
    <row r="54" spans="2:25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2:25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2:25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2:25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2:25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25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25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2:25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2:25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2:25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2:25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14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2:14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2:14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14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14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14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14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4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14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</sheetData>
  <mergeCells count="1">
    <mergeCell ref="L1:M1"/>
  </mergeCells>
  <conditionalFormatting sqref="B1:F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disablePrompts="1" count="1">
    <dataValidation type="list" allowBlank="1" showInputMessage="1" showErrorMessage="1" sqref="B1:F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N125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3" width="11.140625" style="21" customWidth="1"/>
    <col min="14" max="18" width="9.140625" style="21"/>
    <col min="19" max="19" width="10.28515625" style="21" customWidth="1"/>
    <col min="20" max="21" width="9.140625" style="21"/>
    <col min="22" max="22" width="9.7109375" style="21" customWidth="1"/>
    <col min="23" max="16384" width="9.140625" style="21"/>
  </cols>
  <sheetData>
    <row r="1" spans="1:40">
      <c r="A1" s="7">
        <v>11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1024" t="s">
        <v>24</v>
      </c>
      <c r="M1" s="1025"/>
      <c r="O1" s="476" t="s">
        <v>33</v>
      </c>
      <c r="P1" s="429" t="str">
        <f>VLOOKUP(A1,'[1]Point Grid'!$L$8:$T$54,9,FALSE)</f>
        <v>Pricing - Chap 8: Indication</v>
      </c>
      <c r="Q1" s="467"/>
      <c r="R1" s="467"/>
      <c r="S1" s="467"/>
      <c r="T1" s="467"/>
      <c r="U1" s="467"/>
      <c r="V1" s="467"/>
      <c r="W1" s="467"/>
      <c r="X1" s="467"/>
      <c r="Y1" s="467"/>
    </row>
    <row r="2" spans="1:40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</row>
    <row r="3" spans="1:40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 s="128" t="s">
        <v>1003</v>
      </c>
      <c r="P3" s="478" t="s">
        <v>1004</v>
      </c>
      <c r="Q3" s="478"/>
      <c r="R3" s="478"/>
      <c r="S3" s="478"/>
      <c r="T3" s="176"/>
      <c r="U3" s="957">
        <f>I6</f>
        <v>2023</v>
      </c>
      <c r="V3" s="134" t="s">
        <v>1005</v>
      </c>
      <c r="W3" s="478"/>
      <c r="X3" s="478"/>
      <c r="Y3" s="478"/>
      <c r="Z3" s="478"/>
      <c r="AA3" s="478"/>
      <c r="AB3" s="480" t="s">
        <v>112</v>
      </c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</row>
    <row r="4" spans="1:40">
      <c r="A4" s="9">
        <f>INDEX('Point Grid'!B:B,MATCH(A1,'Point Grid'!A:A,0))</f>
        <v>3.5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0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80" t="s">
        <v>112</v>
      </c>
      <c r="AC4" s="128" t="s">
        <v>113</v>
      </c>
      <c r="AD4" s="476" t="s">
        <v>114</v>
      </c>
      <c r="AE4" s="478"/>
      <c r="AF4" s="478"/>
      <c r="AG4" s="478"/>
      <c r="AH4" s="478"/>
      <c r="AI4" s="478"/>
      <c r="AJ4" s="478"/>
      <c r="AK4" s="478"/>
      <c r="AL4" s="177" t="s">
        <v>115</v>
      </c>
      <c r="AM4" s="177" t="s">
        <v>116</v>
      </c>
      <c r="AN4" s="177" t="s">
        <v>117</v>
      </c>
    </row>
    <row r="5" spans="1:40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0"/>
      <c r="O5" s="425"/>
      <c r="P5" s="425" t="s">
        <v>118</v>
      </c>
      <c r="Q5" s="480" t="s">
        <v>34</v>
      </c>
      <c r="R5" s="425" t="str">
        <f>"(mid-point of AY " &amp; T3 &amp; " historical period)"</f>
        <v>(mid-point of AY  historical period)</v>
      </c>
      <c r="S5" s="425"/>
      <c r="T5" s="425"/>
      <c r="U5" s="425"/>
      <c r="V5" s="425"/>
      <c r="W5" s="480" t="s">
        <v>34</v>
      </c>
      <c r="X5" s="957">
        <f>U3</f>
        <v>2023</v>
      </c>
      <c r="Y5" s="131" t="s">
        <v>119</v>
      </c>
      <c r="Z5" s="131" t="s">
        <v>120</v>
      </c>
      <c r="AA5" s="425"/>
      <c r="AB5" s="480" t="s">
        <v>112</v>
      </c>
      <c r="AC5" s="425"/>
      <c r="AD5" s="480" t="s">
        <v>121</v>
      </c>
      <c r="AE5" s="480" t="s">
        <v>34</v>
      </c>
      <c r="AF5" s="425" t="s">
        <v>122</v>
      </c>
      <c r="AG5" s="425"/>
      <c r="AH5" s="425"/>
      <c r="AI5" s="425"/>
      <c r="AJ5" s="425"/>
      <c r="AK5" s="480" t="s">
        <v>34</v>
      </c>
      <c r="AL5" s="178">
        <f>X5+INT((Y5-0.5*D36)/12)</f>
        <v>2023</v>
      </c>
      <c r="AM5" s="480" t="str">
        <f>RIGHT("0"&amp;MOD(Y5-0.5*D36,12),2)</f>
        <v>01</v>
      </c>
      <c r="AN5" s="480" t="str">
        <f>Z5</f>
        <v>01</v>
      </c>
    </row>
    <row r="6" spans="1:40">
      <c r="A6" s="25" t="s">
        <v>2</v>
      </c>
      <c r="B6" s="118" t="s">
        <v>1006</v>
      </c>
      <c r="C6" s="118"/>
      <c r="D6" s="118"/>
      <c r="E6" s="118"/>
      <c r="F6" s="118"/>
      <c r="G6" s="267">
        <v>2022</v>
      </c>
      <c r="H6" s="195" t="s">
        <v>1007</v>
      </c>
      <c r="I6" s="267">
        <f>G6+1</f>
        <v>2023</v>
      </c>
      <c r="J6" s="17"/>
      <c r="K6" s="17"/>
      <c r="L6" s="17"/>
      <c r="M6" s="18"/>
      <c r="N6" s="30"/>
      <c r="O6" s="425"/>
      <c r="P6" s="425" t="s">
        <v>123</v>
      </c>
      <c r="Q6" s="480" t="s">
        <v>34</v>
      </c>
      <c r="R6" s="425" t="s">
        <v>124</v>
      </c>
      <c r="S6" s="425"/>
      <c r="T6" s="425"/>
      <c r="U6" s="425"/>
      <c r="V6" s="425"/>
      <c r="W6" s="480" t="s">
        <v>34</v>
      </c>
      <c r="X6" s="178">
        <f>AL6+INT((AM6+0.5*D36)/12)</f>
        <v>2026</v>
      </c>
      <c r="Y6" s="131" t="str">
        <f>RIGHT("0"&amp;MOD(AM6+0.5*D36,12),2)</f>
        <v>01</v>
      </c>
      <c r="Z6" s="131" t="str">
        <f>AN6</f>
        <v>01</v>
      </c>
      <c r="AA6" s="425"/>
      <c r="AB6" s="480" t="s">
        <v>112</v>
      </c>
      <c r="AC6" s="425"/>
      <c r="AD6" s="480" t="s">
        <v>125</v>
      </c>
      <c r="AE6" s="480" t="s">
        <v>34</v>
      </c>
      <c r="AF6" s="425" t="s">
        <v>126</v>
      </c>
      <c r="AG6" s="425"/>
      <c r="AH6" s="425"/>
      <c r="AI6" s="425"/>
      <c r="AJ6" s="425"/>
      <c r="AK6" s="480" t="s">
        <v>34</v>
      </c>
      <c r="AL6" s="178">
        <f>D34+INT((E34+D35/2)/12)</f>
        <v>2025</v>
      </c>
      <c r="AM6" s="480" t="str">
        <f>RIGHT("0"&amp;MOD(E34+D35/2,12),2)</f>
        <v>07</v>
      </c>
      <c r="AN6" s="480" t="str">
        <f>RIGHT("0"&amp;F34,2)</f>
        <v>01</v>
      </c>
    </row>
    <row r="7" spans="1:40" ht="15.75" thickBot="1">
      <c r="A7" s="9">
        <f>INDEX('Point Grid'!$C$8:$I$54,MATCH($A$1,'Point Grid'!$A$8:$A$54,0),MATCH(A6,'Point Grid'!$C$7:$I$7,0))</f>
        <v>1.5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30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80" t="s">
        <v>112</v>
      </c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</row>
    <row r="8" spans="1:40" ht="15.75" thickBot="1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30"/>
      <c r="O8" s="425"/>
      <c r="P8" s="138" t="s">
        <v>127</v>
      </c>
      <c r="Q8" s="480" t="s">
        <v>34</v>
      </c>
      <c r="R8" s="480" t="s">
        <v>123</v>
      </c>
      <c r="S8" s="131" t="s">
        <v>104</v>
      </c>
      <c r="T8" s="480" t="s">
        <v>118</v>
      </c>
      <c r="U8" s="425"/>
      <c r="V8" s="101"/>
      <c r="W8" s="425"/>
      <c r="X8" s="425"/>
      <c r="Y8" s="425"/>
      <c r="Z8" s="425"/>
      <c r="AA8" s="425"/>
      <c r="AB8" s="480" t="s">
        <v>112</v>
      </c>
      <c r="AC8" s="477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</row>
    <row r="9" spans="1:40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30"/>
      <c r="O9" s="148"/>
      <c r="P9" s="148"/>
      <c r="Q9" s="480" t="s">
        <v>34</v>
      </c>
      <c r="R9" s="128">
        <f>ROUND(((X6*12)+Y6-(X5*12+Y5))/12+IF(Z5=Z6,0,1/24),3)</f>
        <v>2.5</v>
      </c>
      <c r="S9" s="958" t="s">
        <v>1008</v>
      </c>
      <c r="T9" s="420"/>
      <c r="U9" s="425"/>
      <c r="V9" s="425"/>
      <c r="W9" s="425"/>
      <c r="X9" s="425"/>
      <c r="Y9" s="425"/>
      <c r="Z9" s="425"/>
      <c r="AA9" s="425"/>
      <c r="AB9" s="480" t="s">
        <v>112</v>
      </c>
      <c r="AC9" s="477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78"/>
    </row>
    <row r="10" spans="1:40" ht="15" customHeight="1">
      <c r="A10" s="25" t="s">
        <v>3</v>
      </c>
      <c r="B10" s="118" t="s">
        <v>1009</v>
      </c>
      <c r="C10" s="118"/>
      <c r="D10" s="118"/>
      <c r="E10" s="118"/>
      <c r="F10" s="118"/>
      <c r="G10" s="267">
        <v>2022</v>
      </c>
      <c r="H10" s="195" t="s">
        <v>1007</v>
      </c>
      <c r="I10" s="267">
        <f>G10+1</f>
        <v>2023</v>
      </c>
      <c r="J10" s="17"/>
      <c r="K10" s="17"/>
      <c r="L10" s="17"/>
      <c r="M10" s="18"/>
      <c r="N10" s="30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80" t="s">
        <v>112</v>
      </c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</row>
    <row r="11" spans="1:40" ht="15" customHeight="1" thickBot="1">
      <c r="A11" s="9">
        <f>INDEX('Point Grid'!$C$8:$I$54,MATCH($A$1,'Point Grid'!$A$8:$A$54,0),MATCH(A10,'Point Grid'!$C$7:$I$7,0))</f>
        <v>1.5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30"/>
      <c r="O11" s="128" t="s">
        <v>1010</v>
      </c>
      <c r="P11" s="425" t="s">
        <v>1011</v>
      </c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80" t="s">
        <v>112</v>
      </c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478"/>
      <c r="AN11" s="478"/>
    </row>
    <row r="12" spans="1:40" ht="15" customHeight="1" thickBot="1">
      <c r="A12" s="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30"/>
      <c r="O12" s="425"/>
      <c r="P12" s="1001" t="str">
        <f>"CY " &amp; C10-1</f>
        <v>CY -1</v>
      </c>
      <c r="Q12" s="2"/>
      <c r="R12" s="2"/>
      <c r="S12" s="2"/>
      <c r="T12" s="1001" t="str">
        <f>"CY " &amp; C10</f>
        <v xml:space="preserve">CY </v>
      </c>
      <c r="U12" s="2"/>
      <c r="V12" s="2"/>
      <c r="W12" s="2"/>
      <c r="X12" s="1001" t="str">
        <f>"CY " &amp; C10+1</f>
        <v>CY 1</v>
      </c>
      <c r="Y12" s="2"/>
      <c r="Z12" s="2"/>
      <c r="AA12" s="2"/>
      <c r="AB12" s="480" t="s">
        <v>112</v>
      </c>
      <c r="AC12" s="477"/>
      <c r="AD12" s="478"/>
      <c r="AE12" s="478"/>
      <c r="AF12" s="478"/>
      <c r="AG12" s="478"/>
      <c r="AH12" s="478"/>
      <c r="AI12" s="478"/>
      <c r="AJ12" s="478"/>
      <c r="AK12" s="478"/>
      <c r="AL12" s="478"/>
      <c r="AM12" s="478"/>
      <c r="AN12" s="478"/>
    </row>
    <row r="13" spans="1:40" ht="15" customHeight="1">
      <c r="A13" s="2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30"/>
      <c r="O13" s="425"/>
      <c r="P13" s="377"/>
      <c r="Q13" s="106"/>
      <c r="R13" s="106"/>
      <c r="S13" s="107"/>
      <c r="T13" s="377"/>
      <c r="U13" s="106"/>
      <c r="V13" s="106"/>
      <c r="W13" s="107"/>
      <c r="X13" s="106"/>
      <c r="Y13" s="106"/>
      <c r="Z13" s="106"/>
      <c r="AA13" s="107"/>
      <c r="AB13" s="480" t="s">
        <v>112</v>
      </c>
      <c r="AC13" s="477"/>
      <c r="AD13" s="478"/>
      <c r="AE13" s="478"/>
      <c r="AF13" s="478"/>
      <c r="AG13" s="478"/>
      <c r="AH13" s="478"/>
      <c r="AI13" s="478"/>
      <c r="AJ13" s="478"/>
      <c r="AK13" s="478"/>
      <c r="AL13" s="478"/>
      <c r="AM13" s="478"/>
      <c r="AN13" s="478"/>
    </row>
    <row r="14" spans="1:40" ht="15" customHeight="1">
      <c r="A14" s="25" t="s">
        <v>4</v>
      </c>
      <c r="B14" s="118" t="s">
        <v>1012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30"/>
      <c r="O14" s="425"/>
      <c r="P14" s="108"/>
      <c r="Q14" s="109"/>
      <c r="R14" s="109"/>
      <c r="S14" s="437"/>
      <c r="T14" s="108"/>
      <c r="U14" s="109"/>
      <c r="V14" s="109"/>
      <c r="W14" s="437"/>
      <c r="X14" s="109"/>
      <c r="Y14" s="109"/>
      <c r="Z14" s="109"/>
      <c r="AA14" s="437"/>
      <c r="AB14" s="480" t="s">
        <v>112</v>
      </c>
      <c r="AC14" s="477"/>
      <c r="AD14" s="478"/>
      <c r="AE14" s="478"/>
      <c r="AF14" s="478"/>
      <c r="AG14" s="478"/>
      <c r="AH14" s="478"/>
      <c r="AI14" s="478"/>
      <c r="AJ14" s="478"/>
      <c r="AK14" s="478"/>
      <c r="AL14" s="478"/>
      <c r="AM14" s="478"/>
      <c r="AN14" s="478"/>
    </row>
    <row r="15" spans="1:40" ht="15" customHeight="1" thickBot="1">
      <c r="A15" s="9">
        <f>INDEX('Point Grid'!$C$8:$I$54,MATCH($A$1,'Point Grid'!$A$8:$A$54,0),MATCH(A14,'Point Grid'!$C$7:$I$7,0))</f>
        <v>0.5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30"/>
      <c r="O15" s="425"/>
      <c r="P15" s="108"/>
      <c r="Q15" s="109"/>
      <c r="R15" s="109"/>
      <c r="S15" s="437"/>
      <c r="T15" s="108"/>
      <c r="U15" s="109"/>
      <c r="V15" s="109"/>
      <c r="W15" s="437"/>
      <c r="X15" s="109"/>
      <c r="Y15" s="109"/>
      <c r="Z15" s="109"/>
      <c r="AA15" s="437"/>
      <c r="AB15" s="480" t="s">
        <v>112</v>
      </c>
      <c r="AC15" s="477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</row>
    <row r="16" spans="1:40" ht="15" customHeight="1" thickBot="1">
      <c r="A16" s="5"/>
      <c r="B16" s="1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18"/>
      <c r="N16" s="30"/>
      <c r="O16" s="425"/>
      <c r="P16" s="108"/>
      <c r="Q16" s="109"/>
      <c r="R16" s="109"/>
      <c r="S16" s="437"/>
      <c r="T16" s="108"/>
      <c r="U16" s="109"/>
      <c r="V16" s="109"/>
      <c r="W16" s="437"/>
      <c r="X16" s="109"/>
      <c r="Y16" s="109"/>
      <c r="Z16" s="109"/>
      <c r="AA16" s="437"/>
      <c r="AB16" s="480" t="s">
        <v>112</v>
      </c>
      <c r="AC16" s="477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8"/>
    </row>
    <row r="17" spans="1:40" ht="15" customHeight="1">
      <c r="A17" s="25"/>
      <c r="B17" s="1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18"/>
      <c r="N17" s="30"/>
      <c r="O17" s="425"/>
      <c r="P17" s="108"/>
      <c r="Q17" s="109"/>
      <c r="R17" s="109"/>
      <c r="S17" s="437"/>
      <c r="T17" s="108"/>
      <c r="U17" s="109"/>
      <c r="V17" s="109"/>
      <c r="W17" s="437"/>
      <c r="X17" s="109"/>
      <c r="Y17" s="109"/>
      <c r="Z17" s="109"/>
      <c r="AA17" s="437"/>
      <c r="AB17" s="480" t="s">
        <v>112</v>
      </c>
      <c r="AC17" s="477"/>
      <c r="AD17" s="478"/>
      <c r="AE17" s="478"/>
      <c r="AF17" s="478"/>
      <c r="AG17" s="478"/>
      <c r="AH17" s="478"/>
      <c r="AI17" s="478"/>
      <c r="AJ17" s="478"/>
      <c r="AK17" s="478"/>
      <c r="AL17" s="478"/>
      <c r="AM17" s="478"/>
      <c r="AN17" s="478"/>
    </row>
    <row r="18" spans="1:40" ht="15" customHeight="1">
      <c r="A18" s="25"/>
      <c r="B18" s="411" t="s">
        <v>1013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18"/>
      <c r="O18" s="425"/>
      <c r="P18" s="108"/>
      <c r="Q18" s="109"/>
      <c r="R18" s="109"/>
      <c r="S18" s="437"/>
      <c r="T18" s="108"/>
      <c r="U18" s="109"/>
      <c r="V18" s="109"/>
      <c r="W18" s="437"/>
      <c r="X18" s="109"/>
      <c r="Y18" s="109"/>
      <c r="Z18" s="109"/>
      <c r="AA18" s="437"/>
      <c r="AB18" s="480" t="s">
        <v>112</v>
      </c>
      <c r="AC18" s="477"/>
      <c r="AD18" s="478"/>
      <c r="AE18" s="478"/>
      <c r="AF18" s="478"/>
      <c r="AG18" s="478"/>
      <c r="AH18" s="478"/>
      <c r="AI18" s="478"/>
      <c r="AJ18" s="478"/>
      <c r="AK18" s="478"/>
      <c r="AL18" s="478"/>
      <c r="AM18" s="478"/>
      <c r="AN18" s="478"/>
    </row>
    <row r="19" spans="1:40" ht="15" customHeight="1">
      <c r="A19" s="25"/>
      <c r="B19" s="1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18"/>
      <c r="O19" s="425"/>
      <c r="P19" s="108"/>
      <c r="Q19" s="109"/>
      <c r="R19" s="109"/>
      <c r="S19" s="437"/>
      <c r="T19" s="108"/>
      <c r="U19" s="109"/>
      <c r="V19" s="109"/>
      <c r="W19" s="437"/>
      <c r="X19" s="109"/>
      <c r="Y19" s="109"/>
      <c r="Z19" s="109"/>
      <c r="AA19" s="437"/>
      <c r="AB19" s="480" t="s">
        <v>112</v>
      </c>
      <c r="AC19" s="477"/>
      <c r="AD19" s="478"/>
      <c r="AE19" s="478"/>
      <c r="AF19" s="478"/>
      <c r="AG19" s="478"/>
      <c r="AH19" s="478"/>
      <c r="AI19" s="478"/>
      <c r="AJ19" s="478"/>
      <c r="AK19" s="478"/>
      <c r="AL19" s="478"/>
      <c r="AM19" s="478"/>
      <c r="AN19" s="478"/>
    </row>
    <row r="20" spans="1:40" ht="15" customHeight="1">
      <c r="A20" s="25"/>
      <c r="B20" s="959" t="s">
        <v>469</v>
      </c>
      <c r="C20" s="150"/>
      <c r="D20" s="118"/>
      <c r="E20" s="149" t="s">
        <v>1014</v>
      </c>
      <c r="F20" s="150"/>
      <c r="G20" s="150"/>
      <c r="H20" s="118"/>
      <c r="I20" s="960" t="s">
        <v>1015</v>
      </c>
      <c r="J20" s="150"/>
      <c r="K20" s="150"/>
      <c r="L20" s="150"/>
      <c r="M20" s="18"/>
      <c r="O20" s="425"/>
      <c r="P20" s="108"/>
      <c r="Q20" s="109"/>
      <c r="R20" s="109"/>
      <c r="S20" s="437"/>
      <c r="T20" s="108"/>
      <c r="U20" s="109"/>
      <c r="V20" s="109"/>
      <c r="W20" s="437"/>
      <c r="X20" s="109"/>
      <c r="Y20" s="109"/>
      <c r="Z20" s="109"/>
      <c r="AA20" s="437"/>
      <c r="AB20" s="480" t="s">
        <v>112</v>
      </c>
      <c r="AC20" s="477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</row>
    <row r="21" spans="1:40" ht="15" customHeight="1">
      <c r="A21" s="25"/>
      <c r="B21" s="203" t="s">
        <v>166</v>
      </c>
      <c r="C21" s="499" t="s">
        <v>188</v>
      </c>
      <c r="D21" s="118"/>
      <c r="E21" s="114" t="s">
        <v>1016</v>
      </c>
      <c r="F21" s="116"/>
      <c r="G21" s="168">
        <v>8.9999999999999993E-3</v>
      </c>
      <c r="H21" s="118"/>
      <c r="I21" s="114" t="s">
        <v>1017</v>
      </c>
      <c r="J21" s="115"/>
      <c r="K21" s="116"/>
      <c r="L21" s="168">
        <v>4.1000000000000002E-2</v>
      </c>
      <c r="M21" s="18"/>
      <c r="O21" s="425"/>
      <c r="P21" s="108"/>
      <c r="Q21" s="109"/>
      <c r="R21" s="109"/>
      <c r="S21" s="437"/>
      <c r="T21" s="108"/>
      <c r="U21" s="109"/>
      <c r="V21" s="109"/>
      <c r="W21" s="437"/>
      <c r="X21" s="109"/>
      <c r="Y21" s="109"/>
      <c r="Z21" s="109"/>
      <c r="AA21" s="437"/>
      <c r="AB21" s="480" t="s">
        <v>112</v>
      </c>
      <c r="AC21" s="477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</row>
    <row r="22" spans="1:40" ht="15" customHeight="1">
      <c r="A22" s="25"/>
      <c r="B22" s="159">
        <v>2022</v>
      </c>
      <c r="C22" s="200">
        <v>128134</v>
      </c>
      <c r="D22" s="118"/>
      <c r="E22" s="936" t="s">
        <v>1018</v>
      </c>
      <c r="F22" s="135"/>
      <c r="G22" s="169">
        <v>3.4000000000000002E-2</v>
      </c>
      <c r="H22" s="118"/>
      <c r="I22" s="119" t="s">
        <v>1019</v>
      </c>
      <c r="J22" s="120"/>
      <c r="K22" s="121"/>
      <c r="L22" s="873">
        <v>0.219</v>
      </c>
      <c r="M22" s="18"/>
      <c r="O22" s="425"/>
      <c r="P22" s="108"/>
      <c r="Q22" s="109"/>
      <c r="R22" s="109"/>
      <c r="S22" s="437"/>
      <c r="T22" s="108"/>
      <c r="U22" s="109"/>
      <c r="V22" s="109"/>
      <c r="W22" s="437"/>
      <c r="X22" s="109"/>
      <c r="Y22" s="109"/>
      <c r="Z22" s="109"/>
      <c r="AA22" s="437"/>
      <c r="AB22" s="480" t="s">
        <v>112</v>
      </c>
      <c r="AC22" s="477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</row>
    <row r="23" spans="1:40" ht="15" customHeight="1">
      <c r="A23" s="25"/>
      <c r="B23" s="161">
        <v>2023</v>
      </c>
      <c r="C23" s="202">
        <v>139342</v>
      </c>
      <c r="D23" s="118"/>
      <c r="E23" s="118"/>
      <c r="F23" s="118"/>
      <c r="G23" s="118"/>
      <c r="H23" s="118"/>
      <c r="I23" s="124" t="s">
        <v>1020</v>
      </c>
      <c r="J23" s="125"/>
      <c r="K23" s="126"/>
      <c r="L23" s="169">
        <v>3.5999999999999997E-2</v>
      </c>
      <c r="M23" s="18"/>
      <c r="O23" s="425"/>
      <c r="P23" s="108"/>
      <c r="Q23" s="109"/>
      <c r="R23" s="109"/>
      <c r="S23" s="437"/>
      <c r="T23" s="108"/>
      <c r="U23" s="109"/>
      <c r="V23" s="109"/>
      <c r="W23" s="437"/>
      <c r="X23" s="109"/>
      <c r="Y23" s="109"/>
      <c r="Z23" s="109"/>
      <c r="AA23" s="437"/>
      <c r="AB23" s="480" t="s">
        <v>112</v>
      </c>
      <c r="AC23" s="477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</row>
    <row r="24" spans="1:40" ht="15" customHeight="1">
      <c r="A24" s="25"/>
      <c r="B24" s="118"/>
      <c r="C24" s="118"/>
      <c r="D24" s="118"/>
      <c r="E24" s="118"/>
      <c r="F24" s="118"/>
      <c r="G24" s="118"/>
      <c r="H24" s="118"/>
      <c r="I24" s="124" t="s">
        <v>926</v>
      </c>
      <c r="J24" s="125"/>
      <c r="K24" s="126"/>
      <c r="L24" s="169">
        <v>2.5000000000000001E-2</v>
      </c>
      <c r="M24" s="18"/>
      <c r="O24" s="425"/>
      <c r="P24" s="111"/>
      <c r="Q24" s="961"/>
      <c r="R24" s="1002"/>
      <c r="S24" s="113"/>
      <c r="T24" s="111"/>
      <c r="U24" s="438"/>
      <c r="V24" s="438"/>
      <c r="W24" s="961"/>
      <c r="X24" s="438"/>
      <c r="Y24" s="438"/>
      <c r="Z24" s="438"/>
      <c r="AA24" s="113"/>
      <c r="AB24" s="480" t="s">
        <v>112</v>
      </c>
      <c r="AC24" s="425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</row>
    <row r="25" spans="1:40" ht="15" customHeight="1">
      <c r="A25" s="25"/>
      <c r="B25" s="149" t="s">
        <v>1021</v>
      </c>
      <c r="C25" s="118"/>
      <c r="D25" s="118"/>
      <c r="E25" s="150"/>
      <c r="F25" s="150"/>
      <c r="G25" s="150"/>
      <c r="H25" s="150"/>
      <c r="I25" s="150"/>
      <c r="J25" s="150"/>
      <c r="K25" s="150"/>
      <c r="L25" s="150"/>
      <c r="M25" s="18"/>
      <c r="O25" s="962" t="str">
        <f>"Jan 1, " &amp; C10-1</f>
        <v>Jan 1, -1</v>
      </c>
      <c r="P25" s="1003"/>
      <c r="Q25" s="963"/>
      <c r="R25" s="1004"/>
      <c r="S25" s="962" t="str">
        <f>"Jan 1, " &amp; C10</f>
        <v xml:space="preserve">Jan 1, </v>
      </c>
      <c r="T25" s="1003"/>
      <c r="U25" s="425"/>
      <c r="V25" s="425"/>
      <c r="W25" s="1005" t="str">
        <f>"Jan 1, " &amp; C10+1</f>
        <v>Jan 1, 1</v>
      </c>
      <c r="X25" s="1003"/>
      <c r="Y25" s="425"/>
      <c r="Z25" s="425"/>
      <c r="AA25" s="425"/>
      <c r="AB25" s="480" t="s">
        <v>112</v>
      </c>
      <c r="AC25" s="425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</row>
    <row r="26" spans="1:40" ht="15" customHeight="1">
      <c r="A26" s="25"/>
      <c r="B26" s="203" t="s">
        <v>83</v>
      </c>
      <c r="C26" s="517">
        <v>12</v>
      </c>
      <c r="D26" s="517">
        <v>24</v>
      </c>
      <c r="E26" s="517">
        <v>36</v>
      </c>
      <c r="F26" s="517">
        <v>48</v>
      </c>
      <c r="G26" s="499">
        <v>60</v>
      </c>
      <c r="H26" s="118"/>
      <c r="I26" s="150"/>
      <c r="J26" s="150"/>
      <c r="K26" s="150"/>
      <c r="L26" s="150"/>
      <c r="M26" s="18"/>
      <c r="O26" s="425"/>
      <c r="P26" s="425"/>
      <c r="Q26" s="964"/>
      <c r="R26" s="1006"/>
      <c r="S26" s="478"/>
      <c r="T26" s="425"/>
      <c r="U26" s="425"/>
      <c r="V26" s="425"/>
      <c r="W26" s="965"/>
      <c r="X26" s="425"/>
      <c r="Y26" s="425"/>
      <c r="Z26" s="425"/>
      <c r="AA26" s="425"/>
      <c r="AB26" s="480" t="s">
        <v>112</v>
      </c>
      <c r="AC26" s="425"/>
      <c r="AD26" s="478"/>
      <c r="AE26" s="478"/>
      <c r="AF26" s="478"/>
      <c r="AG26" s="478"/>
      <c r="AH26" s="478"/>
      <c r="AI26" s="478"/>
      <c r="AJ26" s="478"/>
      <c r="AK26" s="478"/>
      <c r="AL26" s="478"/>
      <c r="AM26" s="478"/>
      <c r="AN26" s="478"/>
    </row>
    <row r="27" spans="1:40" ht="15" customHeight="1">
      <c r="A27" s="25"/>
      <c r="B27" s="159">
        <v>2019</v>
      </c>
      <c r="C27" s="120">
        <v>41850</v>
      </c>
      <c r="D27" s="120">
        <v>58757.399999999994</v>
      </c>
      <c r="E27" s="120">
        <v>68922.430200000003</v>
      </c>
      <c r="F27" s="120">
        <v>68026.438607400007</v>
      </c>
      <c r="G27" s="121">
        <v>68026.438607400007</v>
      </c>
      <c r="H27" s="118"/>
      <c r="I27" s="150"/>
      <c r="J27" s="150"/>
      <c r="K27" s="150"/>
      <c r="L27" s="150"/>
      <c r="M27" s="18"/>
      <c r="O27" s="192"/>
      <c r="P27" s="752" t="s">
        <v>1022</v>
      </c>
      <c r="Q27" s="1007" t="str">
        <f>"Jul1, " &amp; C10-1</f>
        <v>Jul1, -1</v>
      </c>
      <c r="R27" s="1007"/>
      <c r="S27" s="1008"/>
      <c r="T27" s="425"/>
      <c r="U27" s="425"/>
      <c r="V27" s="425"/>
      <c r="W27" s="1007" t="str">
        <f>"Jan 1, " &amp; C10+1</f>
        <v>Jan 1, 1</v>
      </c>
      <c r="X27" s="379"/>
      <c r="Y27" s="425"/>
      <c r="Z27" s="425"/>
      <c r="AA27" s="425"/>
      <c r="AB27" s="480" t="s">
        <v>112</v>
      </c>
      <c r="AC27" s="425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</row>
    <row r="28" spans="1:40" ht="15" customHeight="1">
      <c r="A28" s="25"/>
      <c r="B28" s="159">
        <v>2020</v>
      </c>
      <c r="C28" s="120">
        <v>43680</v>
      </c>
      <c r="D28" s="120">
        <v>51673.440000000002</v>
      </c>
      <c r="E28" s="120">
        <v>57667.559040000007</v>
      </c>
      <c r="F28" s="120">
        <v>54495.843292800004</v>
      </c>
      <c r="G28" s="121"/>
      <c r="H28" s="118"/>
      <c r="I28" s="150"/>
      <c r="J28" s="150"/>
      <c r="K28" s="150"/>
      <c r="L28" s="150"/>
      <c r="M28" s="18"/>
      <c r="O28" s="192"/>
      <c r="P28" s="752" t="s">
        <v>1023</v>
      </c>
      <c r="Q28" s="1009">
        <f>D38</f>
        <v>0.03</v>
      </c>
      <c r="R28" s="1009"/>
      <c r="S28" s="1010"/>
      <c r="T28" s="425"/>
      <c r="U28" s="425"/>
      <c r="V28" s="425"/>
      <c r="W28" s="1009">
        <f>D40</f>
        <v>0.05</v>
      </c>
      <c r="X28" s="1007"/>
      <c r="Y28" s="425"/>
      <c r="Z28" s="425"/>
      <c r="AA28" s="425"/>
      <c r="AB28" s="480" t="s">
        <v>112</v>
      </c>
      <c r="AC28" s="425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</row>
    <row r="29" spans="1:40" ht="15" customHeight="1">
      <c r="A29" s="25"/>
      <c r="B29" s="159">
        <v>2021</v>
      </c>
      <c r="C29" s="120">
        <v>50490</v>
      </c>
      <c r="D29" s="120">
        <v>64324.26</v>
      </c>
      <c r="E29" s="120">
        <v>78411.27294000001</v>
      </c>
      <c r="F29" s="120"/>
      <c r="G29" s="121"/>
      <c r="H29" s="118"/>
      <c r="I29" s="150"/>
      <c r="J29" s="150"/>
      <c r="K29" s="150"/>
      <c r="L29" s="150"/>
      <c r="M29" s="18"/>
      <c r="AB29" s="480" t="s">
        <v>112</v>
      </c>
      <c r="AC29" s="425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</row>
    <row r="30" spans="1:40" ht="15" customHeight="1">
      <c r="A30" s="25"/>
      <c r="B30" s="159">
        <v>2022</v>
      </c>
      <c r="C30" s="120">
        <v>56400</v>
      </c>
      <c r="D30" s="120">
        <v>79918.8</v>
      </c>
      <c r="E30" s="120"/>
      <c r="F30" s="120"/>
      <c r="G30" s="121"/>
      <c r="H30" s="118"/>
      <c r="I30" s="150"/>
      <c r="J30" s="150"/>
      <c r="K30" s="150"/>
      <c r="L30" s="150"/>
      <c r="M30" s="18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80" t="s">
        <v>112</v>
      </c>
      <c r="AC30" s="425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8"/>
    </row>
    <row r="31" spans="1:40" ht="15" customHeight="1">
      <c r="A31" s="25"/>
      <c r="B31" s="161">
        <v>2023</v>
      </c>
      <c r="C31" s="125">
        <v>75000</v>
      </c>
      <c r="D31" s="125"/>
      <c r="E31" s="125"/>
      <c r="F31" s="125"/>
      <c r="G31" s="126"/>
      <c r="H31" s="118"/>
      <c r="I31" s="118"/>
      <c r="J31" s="118"/>
      <c r="K31" s="118"/>
      <c r="L31" s="151"/>
      <c r="M31" s="18"/>
      <c r="O31" s="435" t="s">
        <v>68</v>
      </c>
      <c r="P31" s="478" t="s">
        <v>1024</v>
      </c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25"/>
      <c r="AB31" s="480" t="s">
        <v>112</v>
      </c>
      <c r="AC31" s="425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</row>
    <row r="32" spans="1:40" ht="15" customHeight="1">
      <c r="A32" s="25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51"/>
      <c r="M32" s="18"/>
      <c r="O32" s="425"/>
      <c r="P32" s="480"/>
      <c r="Q32" s="480" t="s">
        <v>34</v>
      </c>
      <c r="R32" s="480" t="s">
        <v>1025</v>
      </c>
      <c r="S32" s="431">
        <f>D38</f>
        <v>0.03</v>
      </c>
      <c r="T32" s="480" t="s">
        <v>153</v>
      </c>
      <c r="U32" s="480" t="s">
        <v>148</v>
      </c>
      <c r="V32" s="480" t="s">
        <v>1026</v>
      </c>
      <c r="W32" s="431">
        <f>D40</f>
        <v>0.05</v>
      </c>
      <c r="X32" s="480" t="s">
        <v>153</v>
      </c>
      <c r="Y32" s="425"/>
      <c r="Z32" s="425"/>
      <c r="AA32" s="425"/>
      <c r="AB32" s="480" t="s">
        <v>112</v>
      </c>
      <c r="AC32" s="425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</row>
    <row r="33" spans="1:40" ht="15" customHeight="1">
      <c r="A33" s="25"/>
      <c r="B33" s="966" t="s">
        <v>1027</v>
      </c>
      <c r="C33" s="150"/>
      <c r="D33" s="150"/>
      <c r="E33" s="150"/>
      <c r="F33" s="150"/>
      <c r="G33" s="150"/>
      <c r="H33" s="150"/>
      <c r="I33" s="118"/>
      <c r="J33" s="118"/>
      <c r="K33" s="118"/>
      <c r="L33" s="151"/>
      <c r="M33" s="18"/>
      <c r="O33" s="425"/>
      <c r="P33" s="425"/>
      <c r="Q33" s="480" t="s">
        <v>34</v>
      </c>
      <c r="R33" s="133">
        <f>1+D38</f>
        <v>1.03</v>
      </c>
      <c r="S33" s="480"/>
      <c r="T33" s="480"/>
      <c r="U33" s="480" t="s">
        <v>148</v>
      </c>
      <c r="V33" s="431">
        <f>1+D40</f>
        <v>1.05</v>
      </c>
      <c r="W33" s="425"/>
      <c r="X33" s="425"/>
      <c r="Y33" s="425"/>
      <c r="Z33" s="425"/>
      <c r="AA33" s="425"/>
      <c r="AB33" s="480" t="s">
        <v>112</v>
      </c>
      <c r="AC33" s="425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</row>
    <row r="34" spans="1:40" ht="15" customHeight="1">
      <c r="A34" s="25"/>
      <c r="B34" s="164" t="s">
        <v>109</v>
      </c>
      <c r="C34" s="165"/>
      <c r="D34" s="170">
        <v>2024</v>
      </c>
      <c r="E34" s="967">
        <v>10</v>
      </c>
      <c r="F34" s="968">
        <v>1</v>
      </c>
      <c r="G34" s="969" t="s">
        <v>291</v>
      </c>
      <c r="H34" s="165"/>
      <c r="I34" s="118"/>
      <c r="J34" s="118"/>
      <c r="K34" s="118"/>
      <c r="L34" s="151"/>
      <c r="M34" s="18"/>
      <c r="O34" s="425"/>
      <c r="P34" s="425"/>
      <c r="Q34" s="480" t="s">
        <v>34</v>
      </c>
      <c r="R34" s="970">
        <f>ROUND(R33*V33,4)</f>
        <v>1.0814999999999999</v>
      </c>
      <c r="S34" s="425"/>
      <c r="T34" s="425"/>
      <c r="U34" s="425"/>
      <c r="V34" s="425"/>
      <c r="W34" s="425"/>
      <c r="X34" s="425"/>
      <c r="Y34" s="425"/>
      <c r="Z34" s="425"/>
      <c r="AA34" s="425"/>
      <c r="AB34" s="480" t="s">
        <v>112</v>
      </c>
      <c r="AC34" s="425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</row>
    <row r="35" spans="1:40" ht="15" customHeight="1">
      <c r="A35" s="25"/>
      <c r="B35" s="119" t="s">
        <v>1028</v>
      </c>
      <c r="C35" s="121"/>
      <c r="D35" s="971">
        <v>18</v>
      </c>
      <c r="E35" s="120" t="s">
        <v>110</v>
      </c>
      <c r="F35" s="171"/>
      <c r="G35" s="503"/>
      <c r="H35" s="120"/>
      <c r="I35" s="118"/>
      <c r="J35" s="118"/>
      <c r="K35" s="118"/>
      <c r="L35" s="151"/>
      <c r="M35" s="18"/>
      <c r="O35" s="425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25"/>
      <c r="AA35" s="425"/>
      <c r="AB35" s="480" t="s">
        <v>112</v>
      </c>
      <c r="AC35" s="425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  <c r="AN35" s="478"/>
    </row>
    <row r="36" spans="1:40" ht="15" customHeight="1">
      <c r="A36" s="25"/>
      <c r="B36" s="124" t="s">
        <v>111</v>
      </c>
      <c r="C36" s="126"/>
      <c r="D36" s="172">
        <v>12</v>
      </c>
      <c r="E36" s="125" t="s">
        <v>110</v>
      </c>
      <c r="F36" s="173"/>
      <c r="G36" s="972"/>
      <c r="H36" s="120"/>
      <c r="I36" s="118"/>
      <c r="J36" s="118"/>
      <c r="K36" s="118"/>
      <c r="L36" s="151"/>
      <c r="M36" s="18"/>
      <c r="O36" s="435" t="s">
        <v>1029</v>
      </c>
      <c r="P36" s="425" t="str">
        <f>"Average Rate Level for CY " &amp; G6</f>
        <v>Average Rate Level for CY 2022</v>
      </c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80" t="s">
        <v>112</v>
      </c>
      <c r="AC36" s="425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</row>
    <row r="37" spans="1:40" ht="15" customHeight="1">
      <c r="A37" s="25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51"/>
      <c r="M37" s="18"/>
      <c r="O37" s="425"/>
      <c r="P37" s="425"/>
      <c r="Q37" s="480" t="s">
        <v>34</v>
      </c>
      <c r="R37" s="103" t="s">
        <v>1030</v>
      </c>
      <c r="S37" s="480" t="s">
        <v>148</v>
      </c>
      <c r="T37" s="425" t="s">
        <v>1031</v>
      </c>
      <c r="U37" s="425"/>
      <c r="V37" s="480" t="s">
        <v>35</v>
      </c>
      <c r="W37" s="103" t="s">
        <v>1032</v>
      </c>
      <c r="X37" s="480" t="s">
        <v>148</v>
      </c>
      <c r="Y37" s="425" t="s">
        <v>1033</v>
      </c>
      <c r="Z37" s="425"/>
      <c r="AA37" s="425"/>
      <c r="AB37" s="480" t="s">
        <v>112</v>
      </c>
      <c r="AC37" s="425"/>
      <c r="AD37" s="478"/>
      <c r="AE37" s="478"/>
      <c r="AF37" s="478"/>
      <c r="AG37" s="478"/>
      <c r="AH37" s="478"/>
      <c r="AI37" s="478"/>
      <c r="AJ37" s="478"/>
      <c r="AK37" s="478"/>
      <c r="AL37" s="478"/>
      <c r="AM37" s="478"/>
      <c r="AN37" s="478"/>
    </row>
    <row r="38" spans="1:40" ht="15" customHeight="1">
      <c r="A38" s="25"/>
      <c r="B38" s="114" t="s">
        <v>269</v>
      </c>
      <c r="C38" s="116"/>
      <c r="D38" s="973">
        <v>0.03</v>
      </c>
      <c r="E38" s="116"/>
      <c r="F38" s="118"/>
      <c r="G38" s="150"/>
      <c r="H38" s="150"/>
      <c r="I38" s="118"/>
      <c r="J38" s="118"/>
      <c r="K38" s="118"/>
      <c r="L38" s="151"/>
      <c r="M38" s="18"/>
      <c r="O38" s="425"/>
      <c r="P38" s="425"/>
      <c r="Q38" s="480" t="s">
        <v>34</v>
      </c>
      <c r="R38" s="633">
        <f>0.5*0.5*0.5</f>
        <v>0.125</v>
      </c>
      <c r="S38" s="480" t="s">
        <v>148</v>
      </c>
      <c r="T38" s="480">
        <f>1</f>
        <v>1</v>
      </c>
      <c r="U38" s="425"/>
      <c r="V38" s="480" t="s">
        <v>35</v>
      </c>
      <c r="W38" s="633">
        <f>(1-R38)</f>
        <v>0.875</v>
      </c>
      <c r="X38" s="480" t="s">
        <v>148</v>
      </c>
      <c r="Y38" s="133">
        <f>(1+D38)</f>
        <v>1.03</v>
      </c>
      <c r="Z38" s="425"/>
      <c r="AA38" s="425"/>
      <c r="AB38" s="480" t="s">
        <v>112</v>
      </c>
      <c r="AC38" s="425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8"/>
    </row>
    <row r="39" spans="1:40" ht="15" customHeight="1">
      <c r="A39" s="25"/>
      <c r="B39" s="124" t="s">
        <v>270</v>
      </c>
      <c r="C39" s="126"/>
      <c r="D39" s="125" t="s">
        <v>1067</v>
      </c>
      <c r="E39" s="126"/>
      <c r="F39" s="118"/>
      <c r="G39" s="150"/>
      <c r="H39" s="150"/>
      <c r="I39" s="150"/>
      <c r="J39" s="150"/>
      <c r="K39" s="118"/>
      <c r="L39" s="151"/>
      <c r="M39" s="18"/>
      <c r="O39" s="425"/>
      <c r="P39" s="425"/>
      <c r="Q39" s="480" t="s">
        <v>34</v>
      </c>
      <c r="R39" s="974">
        <f>ROUND((R38*T38) + (W38*Y38), 4)</f>
        <v>1.0263</v>
      </c>
      <c r="S39" s="425"/>
      <c r="T39" s="425"/>
      <c r="U39" s="425"/>
      <c r="V39" s="425"/>
      <c r="W39" s="425"/>
      <c r="X39" s="425"/>
      <c r="Y39" s="425"/>
      <c r="Z39" s="425"/>
      <c r="AA39" s="425"/>
      <c r="AB39" s="480" t="s">
        <v>112</v>
      </c>
      <c r="AC39" s="425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</row>
    <row r="40" spans="1:40" ht="15" customHeight="1">
      <c r="A40" s="25"/>
      <c r="B40" s="114" t="s">
        <v>271</v>
      </c>
      <c r="C40" s="116"/>
      <c r="D40" s="973">
        <v>0.05</v>
      </c>
      <c r="E40" s="116"/>
      <c r="F40" s="150"/>
      <c r="G40" s="150"/>
      <c r="H40" s="150"/>
      <c r="I40" s="118"/>
      <c r="J40" s="118"/>
      <c r="K40" s="118"/>
      <c r="L40" s="151"/>
      <c r="M40" s="18"/>
      <c r="O40" s="425"/>
      <c r="P40" s="425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25"/>
      <c r="AB40" s="480" t="s">
        <v>112</v>
      </c>
      <c r="AC40" s="425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8"/>
    </row>
    <row r="41" spans="1:40" ht="15" customHeight="1">
      <c r="A41" s="25"/>
      <c r="B41" s="124" t="s">
        <v>272</v>
      </c>
      <c r="C41" s="126"/>
      <c r="D41" s="125" t="s">
        <v>1068</v>
      </c>
      <c r="E41" s="126"/>
      <c r="F41" s="118"/>
      <c r="G41" s="118"/>
      <c r="H41" s="118"/>
      <c r="I41" s="118"/>
      <c r="J41" s="118"/>
      <c r="K41" s="118"/>
      <c r="L41" s="151"/>
      <c r="M41" s="18"/>
      <c r="O41" s="435" t="s">
        <v>1029</v>
      </c>
      <c r="P41" s="425" t="str">
        <f>"Average Rate Level for CY " &amp; I6</f>
        <v>Average Rate Level for CY 2023</v>
      </c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80" t="s">
        <v>112</v>
      </c>
      <c r="AC41" s="425"/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  <c r="AN41" s="478"/>
    </row>
    <row r="42" spans="1:40" ht="15" customHeight="1">
      <c r="A42" s="25"/>
      <c r="B42" s="1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18"/>
      <c r="O42" s="425"/>
      <c r="P42" s="425"/>
      <c r="Q42" s="480" t="s">
        <v>34</v>
      </c>
      <c r="R42" s="103" t="s">
        <v>1034</v>
      </c>
      <c r="S42" s="480" t="s">
        <v>148</v>
      </c>
      <c r="T42" s="425" t="s">
        <v>1035</v>
      </c>
      <c r="U42" s="425"/>
      <c r="V42" s="480" t="s">
        <v>35</v>
      </c>
      <c r="W42" s="103" t="s">
        <v>1036</v>
      </c>
      <c r="X42" s="480" t="s">
        <v>148</v>
      </c>
      <c r="Y42" s="425" t="s">
        <v>1037</v>
      </c>
      <c r="Z42" s="425"/>
      <c r="AA42" s="425"/>
      <c r="AB42" s="480" t="s">
        <v>112</v>
      </c>
      <c r="AC42" s="425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</row>
    <row r="43" spans="1:40" ht="15" customHeight="1">
      <c r="A43" s="25"/>
      <c r="B43" s="1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18"/>
      <c r="O43" s="425"/>
      <c r="P43" s="425"/>
      <c r="Q43" s="480" t="s">
        <v>34</v>
      </c>
      <c r="R43" s="633">
        <f>1*1*0.5</f>
        <v>0.5</v>
      </c>
      <c r="S43" s="480" t="s">
        <v>148</v>
      </c>
      <c r="T43" s="133">
        <f>(1+D38)</f>
        <v>1.03</v>
      </c>
      <c r="U43" s="425"/>
      <c r="V43" s="480" t="s">
        <v>35</v>
      </c>
      <c r="W43" s="633">
        <f>(1-R43)</f>
        <v>0.5</v>
      </c>
      <c r="X43" s="480" t="s">
        <v>148</v>
      </c>
      <c r="Y43" s="633">
        <f>ROUND((1+D38)*(1+D40), 4)</f>
        <v>1.0814999999999999</v>
      </c>
      <c r="Z43" s="425"/>
      <c r="AA43" s="425"/>
      <c r="AB43" s="480" t="s">
        <v>112</v>
      </c>
      <c r="AC43" s="425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</row>
    <row r="44" spans="1:40" ht="15" customHeight="1">
      <c r="A44" s="25"/>
      <c r="B44" s="1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18"/>
      <c r="O44" s="425"/>
      <c r="P44" s="425"/>
      <c r="Q44" s="480" t="s">
        <v>34</v>
      </c>
      <c r="R44" s="974">
        <f>ROUND((R43*T43) + (W43*Y43), 4)</f>
        <v>1.0558000000000001</v>
      </c>
      <c r="S44" s="425"/>
      <c r="T44" s="425"/>
      <c r="U44" s="425"/>
      <c r="V44" s="425"/>
      <c r="W44" s="425"/>
      <c r="X44" s="425"/>
      <c r="Y44" s="425"/>
      <c r="Z44" s="425"/>
      <c r="AA44" s="425"/>
      <c r="AB44" s="480" t="s">
        <v>112</v>
      </c>
      <c r="AC44" s="425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</row>
    <row r="45" spans="1:40" ht="15" customHeight="1">
      <c r="A45" s="25"/>
      <c r="B45" s="1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18"/>
      <c r="O45" s="425"/>
      <c r="P45" s="425"/>
      <c r="Q45" s="478"/>
      <c r="R45" s="478"/>
      <c r="S45" s="478"/>
      <c r="T45" s="478"/>
      <c r="U45" s="478"/>
      <c r="V45" s="478"/>
      <c r="W45" s="478"/>
      <c r="X45" s="478"/>
      <c r="Y45" s="478"/>
      <c r="Z45" s="478"/>
      <c r="AA45" s="425"/>
      <c r="AB45" s="480" t="s">
        <v>112</v>
      </c>
      <c r="AC45" s="425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</row>
    <row r="46" spans="1:40" ht="15" customHeight="1">
      <c r="A46" s="25"/>
      <c r="B46" s="1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18"/>
      <c r="O46" s="435" t="s">
        <v>1038</v>
      </c>
      <c r="P46" s="478" t="str">
        <f>"Current Rate Level Factor for CY " &amp; G6</f>
        <v>Current Rate Level Factor for CY 2022</v>
      </c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425"/>
      <c r="AB46" s="480" t="s">
        <v>112</v>
      </c>
      <c r="AC46" s="425"/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  <c r="AN46" s="478"/>
    </row>
    <row r="47" spans="1:40" ht="15" customHeight="1">
      <c r="A47" s="25"/>
      <c r="B47" s="1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18"/>
      <c r="O47" s="425"/>
      <c r="P47" s="478"/>
      <c r="Q47" s="480" t="s">
        <v>34</v>
      </c>
      <c r="R47" s="424" t="s">
        <v>68</v>
      </c>
      <c r="S47" s="427" t="s">
        <v>36</v>
      </c>
      <c r="T47" s="424" t="s">
        <v>1039</v>
      </c>
      <c r="U47" s="480" t="s">
        <v>34</v>
      </c>
      <c r="V47" s="970">
        <f>R34</f>
        <v>1.0814999999999999</v>
      </c>
      <c r="W47" s="427" t="s">
        <v>36</v>
      </c>
      <c r="X47" s="974">
        <f>R39</f>
        <v>1.0263</v>
      </c>
      <c r="Y47" s="424" t="s">
        <v>34</v>
      </c>
      <c r="Z47" s="132">
        <f>ROUND(V47/X47,4)</f>
        <v>1.0538000000000001</v>
      </c>
      <c r="AA47" s="425"/>
      <c r="AB47" s="480" t="s">
        <v>112</v>
      </c>
      <c r="AC47" s="425"/>
      <c r="AD47" s="478"/>
      <c r="AE47" s="478"/>
      <c r="AF47" s="478"/>
      <c r="AG47" s="478"/>
      <c r="AH47" s="478"/>
      <c r="AI47" s="478"/>
      <c r="AJ47" s="478"/>
      <c r="AK47" s="478"/>
      <c r="AL47" s="478"/>
      <c r="AM47" s="478"/>
      <c r="AN47" s="478"/>
    </row>
    <row r="48" spans="1:40" ht="15" customHeight="1">
      <c r="A48" s="25"/>
      <c r="B48" s="1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18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425"/>
      <c r="AA48" s="425"/>
      <c r="AB48" s="480" t="s">
        <v>112</v>
      </c>
      <c r="AC48" s="425"/>
      <c r="AD48" s="478"/>
      <c r="AE48" s="478"/>
      <c r="AF48" s="478"/>
      <c r="AG48" s="478"/>
      <c r="AH48" s="478"/>
      <c r="AI48" s="478"/>
      <c r="AJ48" s="478"/>
      <c r="AK48" s="478"/>
      <c r="AL48" s="478"/>
      <c r="AM48" s="478"/>
      <c r="AN48" s="478"/>
    </row>
    <row r="49" spans="1:40" ht="15" customHeight="1">
      <c r="A49" s="25"/>
      <c r="B49" s="1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18"/>
      <c r="O49" s="435" t="s">
        <v>1038</v>
      </c>
      <c r="P49" s="478" t="str">
        <f>"Current Rate Level Factor for CY " &amp; H6</f>
        <v>Current Rate Level Factor for CY and</v>
      </c>
      <c r="Q49" s="478"/>
      <c r="R49" s="478"/>
      <c r="S49" s="478"/>
      <c r="T49" s="478"/>
      <c r="U49" s="478"/>
      <c r="V49" s="478"/>
      <c r="W49" s="478"/>
      <c r="X49" s="478"/>
      <c r="Y49" s="478"/>
      <c r="Z49" s="478"/>
      <c r="AA49" s="425"/>
      <c r="AB49" s="480" t="s">
        <v>112</v>
      </c>
      <c r="AC49" s="478"/>
      <c r="AD49" s="478"/>
      <c r="AE49" s="478"/>
      <c r="AF49" s="478"/>
      <c r="AG49" s="478"/>
      <c r="AH49" s="478"/>
      <c r="AI49" s="478"/>
      <c r="AJ49" s="478"/>
      <c r="AK49" s="478"/>
      <c r="AL49" s="478"/>
      <c r="AM49" s="478"/>
      <c r="AN49" s="478"/>
    </row>
    <row r="50" spans="1:40" ht="15" customHeight="1">
      <c r="A50" s="25"/>
      <c r="B50" s="1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18"/>
      <c r="O50" s="425"/>
      <c r="P50" s="478"/>
      <c r="Q50" s="480" t="s">
        <v>34</v>
      </c>
      <c r="R50" s="424" t="s">
        <v>68</v>
      </c>
      <c r="S50" s="427" t="s">
        <v>36</v>
      </c>
      <c r="T50" s="424" t="s">
        <v>1040</v>
      </c>
      <c r="U50" s="480" t="s">
        <v>34</v>
      </c>
      <c r="V50" s="970">
        <f>R34</f>
        <v>1.0814999999999999</v>
      </c>
      <c r="W50" s="427" t="s">
        <v>36</v>
      </c>
      <c r="X50" s="974">
        <f>R44</f>
        <v>1.0558000000000001</v>
      </c>
      <c r="Y50" s="424" t="s">
        <v>34</v>
      </c>
      <c r="Z50" s="132">
        <f>ROUND(V50/X50,4)</f>
        <v>1.0243</v>
      </c>
      <c r="AA50" s="425"/>
      <c r="AB50" s="480" t="s">
        <v>112</v>
      </c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8"/>
      <c r="AN50" s="478"/>
    </row>
    <row r="51" spans="1:40" ht="15" customHeight="1">
      <c r="A51" s="25"/>
      <c r="B51" s="1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1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  <c r="AA51" s="478"/>
      <c r="AB51" s="480" t="s">
        <v>112</v>
      </c>
      <c r="AC51" s="478"/>
      <c r="AD51" s="478"/>
      <c r="AE51" s="478"/>
      <c r="AF51" s="478"/>
      <c r="AG51" s="478"/>
      <c r="AH51" s="478"/>
      <c r="AI51" s="478"/>
      <c r="AJ51" s="478"/>
      <c r="AK51" s="478"/>
      <c r="AL51" s="478"/>
      <c r="AM51" s="478"/>
      <c r="AN51" s="478"/>
    </row>
    <row r="52" spans="1:40" ht="15" customHeight="1">
      <c r="A52" s="25"/>
      <c r="B52" s="1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18"/>
      <c r="O52" s="128" t="s">
        <v>1041</v>
      </c>
      <c r="P52" s="478" t="s">
        <v>1042</v>
      </c>
      <c r="Q52" s="478"/>
      <c r="R52" s="478"/>
      <c r="S52" s="478"/>
      <c r="T52" s="478"/>
      <c r="U52" s="478"/>
      <c r="V52" s="478"/>
      <c r="W52" s="478"/>
      <c r="X52" s="478"/>
      <c r="Y52" s="478"/>
      <c r="Z52" s="478"/>
      <c r="AA52" s="478"/>
      <c r="AB52" s="480" t="s">
        <v>112</v>
      </c>
      <c r="AC52" s="478"/>
      <c r="AD52" s="478"/>
      <c r="AE52" s="478"/>
      <c r="AF52" s="478"/>
      <c r="AG52" s="478"/>
      <c r="AH52" s="478"/>
      <c r="AI52" s="478"/>
      <c r="AJ52" s="478"/>
      <c r="AK52" s="478"/>
      <c r="AL52" s="478"/>
      <c r="AM52" s="478"/>
      <c r="AN52" s="478"/>
    </row>
    <row r="53" spans="1:40" ht="15" customHeight="1">
      <c r="A53" s="22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78"/>
      <c r="AA53" s="478"/>
      <c r="AB53" s="480" t="s">
        <v>112</v>
      </c>
      <c r="AC53" s="478"/>
      <c r="AD53" s="478"/>
      <c r="AE53" s="478"/>
      <c r="AF53" s="478"/>
      <c r="AG53" s="478"/>
      <c r="AH53" s="478"/>
      <c r="AI53" s="478"/>
      <c r="AJ53" s="478"/>
      <c r="AK53" s="478"/>
      <c r="AL53" s="478"/>
      <c r="AM53" s="478"/>
      <c r="AN53" s="478"/>
    </row>
    <row r="54" spans="1:40" ht="15" customHeight="1" thickBot="1">
      <c r="A54" s="24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2"/>
      <c r="O54" s="478"/>
      <c r="P54" s="427" t="s">
        <v>90</v>
      </c>
      <c r="Q54" s="427" t="s">
        <v>91</v>
      </c>
      <c r="R54" s="427" t="s">
        <v>92</v>
      </c>
      <c r="S54" s="427" t="s">
        <v>93</v>
      </c>
      <c r="T54" s="427" t="s">
        <v>1043</v>
      </c>
      <c r="U54" s="479"/>
      <c r="V54" s="427"/>
      <c r="W54" s="427"/>
      <c r="X54" s="478"/>
      <c r="Y54" s="478"/>
      <c r="Z54" s="478"/>
      <c r="AA54" s="478"/>
      <c r="AB54" s="480" t="s">
        <v>112</v>
      </c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8"/>
      <c r="AN54" s="478"/>
    </row>
    <row r="55" spans="1:40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O55" s="425"/>
      <c r="P55" s="103" t="s">
        <v>166</v>
      </c>
      <c r="Q55" s="104" t="s">
        <v>188</v>
      </c>
      <c r="R55" s="104" t="s">
        <v>1044</v>
      </c>
      <c r="S55" s="105" t="s">
        <v>1045</v>
      </c>
      <c r="T55" s="1026" t="s">
        <v>1046</v>
      </c>
      <c r="U55" s="1027"/>
      <c r="V55" s="425"/>
      <c r="W55" s="425"/>
      <c r="X55" s="425"/>
      <c r="Y55" s="425"/>
      <c r="Z55" s="425"/>
      <c r="AA55" s="425"/>
      <c r="AB55" s="480" t="s">
        <v>112</v>
      </c>
      <c r="AC55" s="478"/>
      <c r="AD55" s="478"/>
      <c r="AE55" s="478"/>
      <c r="AF55" s="478"/>
      <c r="AG55" s="478"/>
      <c r="AH55" s="478"/>
      <c r="AI55" s="478"/>
      <c r="AJ55" s="478"/>
      <c r="AK55" s="478"/>
      <c r="AL55" s="478"/>
      <c r="AM55" s="478"/>
      <c r="AN55" s="478"/>
    </row>
    <row r="56" spans="1:40" ht="15" customHeight="1">
      <c r="O56" s="425"/>
      <c r="P56" s="145">
        <f>G6</f>
        <v>2022</v>
      </c>
      <c r="Q56" s="95">
        <f>C22</f>
        <v>128134</v>
      </c>
      <c r="R56" s="975">
        <f>Z47</f>
        <v>1.0538000000000001</v>
      </c>
      <c r="S56" s="976" t="str">
        <f>1+G21 &amp; " ^ " &amp; (R9+P57-P56)</f>
        <v>1.009 ^ 3.5</v>
      </c>
      <c r="T56" s="1028">
        <f>Q56*R56*(1+G21)^(R9+P57-P56)</f>
        <v>139329.04486767593</v>
      </c>
      <c r="U56" s="1029"/>
      <c r="V56" s="192" t="s">
        <v>1047</v>
      </c>
      <c r="W56" s="425"/>
      <c r="X56" s="425"/>
      <c r="Y56" s="425"/>
      <c r="Z56" s="425"/>
      <c r="AA56" s="425"/>
      <c r="AB56" s="480" t="s">
        <v>112</v>
      </c>
      <c r="AC56" s="478"/>
      <c r="AD56" s="478"/>
      <c r="AE56" s="478"/>
      <c r="AF56" s="478"/>
      <c r="AG56" s="478"/>
      <c r="AH56" s="478"/>
      <c r="AI56" s="478"/>
      <c r="AJ56" s="478"/>
      <c r="AK56" s="478"/>
      <c r="AL56" s="478"/>
      <c r="AM56" s="478"/>
      <c r="AN56" s="478"/>
    </row>
    <row r="57" spans="1:40" ht="15" customHeight="1">
      <c r="O57" s="425"/>
      <c r="P57" s="146">
        <f>P56+1</f>
        <v>2023</v>
      </c>
      <c r="Q57" s="98">
        <f>C23</f>
        <v>139342</v>
      </c>
      <c r="R57" s="977">
        <f>Z50</f>
        <v>1.0243</v>
      </c>
      <c r="S57" s="445" t="str">
        <f>1+G21 &amp; " ^ " &amp; (R9+P57-P57)</f>
        <v>1.009 ^ 2.5</v>
      </c>
      <c r="T57" s="1030">
        <f>Q57*R57*(1+G21)^(R9+P57-P57)</f>
        <v>145961.10013385353</v>
      </c>
      <c r="U57" s="1031"/>
      <c r="V57" s="192" t="s">
        <v>1047</v>
      </c>
      <c r="W57" s="425"/>
      <c r="X57" s="425"/>
      <c r="Y57" s="425"/>
      <c r="Z57" s="425"/>
      <c r="AA57" s="425"/>
      <c r="AB57" s="480" t="s">
        <v>112</v>
      </c>
      <c r="AC57" s="478"/>
      <c r="AD57" s="478"/>
      <c r="AE57" s="478"/>
      <c r="AF57" s="478"/>
      <c r="AG57" s="478"/>
      <c r="AH57" s="478"/>
      <c r="AI57" s="478"/>
      <c r="AJ57" s="478"/>
      <c r="AK57" s="478"/>
      <c r="AL57" s="478"/>
      <c r="AM57" s="478"/>
      <c r="AN57" s="478"/>
    </row>
    <row r="58" spans="1:40" ht="15" customHeight="1"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80" t="s">
        <v>112</v>
      </c>
      <c r="AC58" s="478"/>
      <c r="AD58" s="478"/>
      <c r="AE58" s="478"/>
      <c r="AF58" s="478"/>
      <c r="AG58" s="478"/>
      <c r="AH58" s="478"/>
      <c r="AI58" s="478"/>
      <c r="AJ58" s="478"/>
      <c r="AK58" s="478"/>
      <c r="AL58" s="478"/>
      <c r="AM58" s="478"/>
      <c r="AN58" s="478"/>
    </row>
    <row r="59" spans="1:40" ht="15" customHeight="1">
      <c r="O59" s="544" t="s">
        <v>1048</v>
      </c>
      <c r="P59" s="425" t="s">
        <v>1049</v>
      </c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80" t="s">
        <v>112</v>
      </c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</row>
    <row r="60" spans="1:40" ht="15" customHeight="1"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80" t="s">
        <v>112</v>
      </c>
      <c r="AC60" s="478"/>
      <c r="AD60" s="478"/>
      <c r="AE60" s="478"/>
      <c r="AF60" s="478"/>
      <c r="AG60" s="478"/>
      <c r="AH60" s="478"/>
      <c r="AI60" s="478"/>
      <c r="AJ60" s="478"/>
      <c r="AK60" s="478"/>
      <c r="AL60" s="478"/>
      <c r="AM60" s="478"/>
      <c r="AN60" s="478"/>
    </row>
    <row r="61" spans="1:40" ht="15" customHeight="1">
      <c r="O61" s="425"/>
      <c r="P61" s="426" t="s">
        <v>1021</v>
      </c>
      <c r="Q61" s="425"/>
      <c r="R61" s="425"/>
      <c r="S61" s="478"/>
      <c r="T61" s="478"/>
      <c r="U61" s="478"/>
      <c r="V61" s="425"/>
      <c r="W61" s="425"/>
      <c r="X61" s="425"/>
      <c r="Y61" s="425"/>
      <c r="Z61" s="425"/>
      <c r="AA61" s="425"/>
      <c r="AB61" s="480" t="s">
        <v>112</v>
      </c>
      <c r="AC61" s="478"/>
      <c r="AD61" s="478"/>
      <c r="AE61" s="478"/>
      <c r="AF61" s="478"/>
      <c r="AG61" s="478"/>
      <c r="AH61" s="478"/>
      <c r="AI61" s="478"/>
      <c r="AJ61" s="478"/>
      <c r="AK61" s="478"/>
      <c r="AL61" s="478"/>
      <c r="AM61" s="478"/>
      <c r="AN61" s="478"/>
    </row>
    <row r="62" spans="1:40" ht="15" customHeight="1">
      <c r="O62" s="425"/>
      <c r="P62" s="103" t="s">
        <v>83</v>
      </c>
      <c r="Q62" s="104">
        <v>12</v>
      </c>
      <c r="R62" s="104">
        <f>Q62+12</f>
        <v>24</v>
      </c>
      <c r="S62" s="104">
        <f>R62+12</f>
        <v>36</v>
      </c>
      <c r="T62" s="104">
        <f>S62+12</f>
        <v>48</v>
      </c>
      <c r="U62" s="105">
        <f>T62+12</f>
        <v>60</v>
      </c>
      <c r="V62" s="425"/>
      <c r="W62" s="425"/>
      <c r="X62" s="425"/>
      <c r="Y62" s="425"/>
      <c r="Z62" s="425"/>
      <c r="AA62" s="425"/>
      <c r="AB62" s="480" t="s">
        <v>112</v>
      </c>
      <c r="AC62" s="478"/>
      <c r="AD62" s="478"/>
      <c r="AE62" s="478"/>
      <c r="AF62" s="478"/>
      <c r="AG62" s="478"/>
      <c r="AH62" s="478"/>
      <c r="AI62" s="478"/>
      <c r="AJ62" s="478"/>
      <c r="AK62" s="478"/>
      <c r="AL62" s="478"/>
      <c r="AM62" s="478"/>
      <c r="AN62" s="478"/>
    </row>
    <row r="63" spans="1:40" ht="15" customHeight="1">
      <c r="O63" s="425"/>
      <c r="P63" s="145">
        <f t="shared" ref="P63:U63" si="0">B27</f>
        <v>2019</v>
      </c>
      <c r="Q63" s="978">
        <f t="shared" si="0"/>
        <v>41850</v>
      </c>
      <c r="R63" s="978">
        <f t="shared" si="0"/>
        <v>58757.399999999994</v>
      </c>
      <c r="S63" s="978">
        <f t="shared" si="0"/>
        <v>68922.430200000003</v>
      </c>
      <c r="T63" s="978">
        <f t="shared" si="0"/>
        <v>68026.438607400007</v>
      </c>
      <c r="U63" s="979">
        <f t="shared" si="0"/>
        <v>68026.438607400007</v>
      </c>
      <c r="V63" s="425"/>
      <c r="W63" s="425"/>
      <c r="X63" s="425"/>
      <c r="Y63" s="425"/>
      <c r="Z63" s="425"/>
      <c r="AA63" s="425"/>
      <c r="AB63" s="480" t="s">
        <v>112</v>
      </c>
      <c r="AC63" s="478"/>
      <c r="AD63" s="478"/>
      <c r="AE63" s="478"/>
      <c r="AF63" s="478"/>
      <c r="AG63" s="478"/>
      <c r="AH63" s="478"/>
      <c r="AI63" s="478"/>
      <c r="AJ63" s="478"/>
      <c r="AK63" s="478"/>
      <c r="AL63" s="478"/>
      <c r="AM63" s="478"/>
      <c r="AN63" s="478"/>
    </row>
    <row r="64" spans="1:40" ht="15" customHeight="1">
      <c r="O64" s="425"/>
      <c r="P64" s="145">
        <f>B28</f>
        <v>2020</v>
      </c>
      <c r="Q64" s="978">
        <f>C28</f>
        <v>43680</v>
      </c>
      <c r="R64" s="978">
        <f>D28</f>
        <v>51673.440000000002</v>
      </c>
      <c r="S64" s="978">
        <f>E28</f>
        <v>57667.559040000007</v>
      </c>
      <c r="T64" s="978">
        <f>F28</f>
        <v>54495.843292800004</v>
      </c>
      <c r="U64" s="979"/>
      <c r="V64" s="425"/>
      <c r="W64" s="425"/>
      <c r="X64" s="425"/>
      <c r="Y64" s="425"/>
      <c r="Z64" s="425"/>
      <c r="AA64" s="425"/>
      <c r="AB64" s="480" t="s">
        <v>112</v>
      </c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</row>
    <row r="65" spans="2:40" ht="15" customHeight="1">
      <c r="O65" s="425"/>
      <c r="P65" s="145">
        <f>B29</f>
        <v>2021</v>
      </c>
      <c r="Q65" s="978">
        <f>C29</f>
        <v>50490</v>
      </c>
      <c r="R65" s="978">
        <f>D29</f>
        <v>64324.26</v>
      </c>
      <c r="S65" s="978">
        <f>E29</f>
        <v>78411.27294000001</v>
      </c>
      <c r="T65" s="978"/>
      <c r="U65" s="979"/>
      <c r="V65" s="425"/>
      <c r="W65" s="425"/>
      <c r="X65" s="425"/>
      <c r="Y65" s="425"/>
      <c r="Z65" s="425"/>
      <c r="AA65" s="425"/>
      <c r="AB65" s="480" t="s">
        <v>112</v>
      </c>
      <c r="AC65" s="478"/>
      <c r="AD65" s="478"/>
      <c r="AE65" s="478"/>
      <c r="AF65" s="478"/>
      <c r="AG65" s="478"/>
      <c r="AH65" s="478"/>
      <c r="AI65" s="478"/>
      <c r="AJ65" s="478"/>
      <c r="AK65" s="478"/>
      <c r="AL65" s="478"/>
      <c r="AM65" s="478"/>
      <c r="AN65" s="478"/>
    </row>
    <row r="66" spans="2:40" ht="15" customHeight="1">
      <c r="O66" s="425"/>
      <c r="P66" s="145">
        <f>B30</f>
        <v>2022</v>
      </c>
      <c r="Q66" s="978">
        <f>C30</f>
        <v>56400</v>
      </c>
      <c r="R66" s="978">
        <f>D30</f>
        <v>79918.8</v>
      </c>
      <c r="S66" s="978"/>
      <c r="T66" s="978"/>
      <c r="U66" s="979"/>
      <c r="V66" s="425"/>
      <c r="W66" s="425"/>
      <c r="X66" s="425"/>
      <c r="Y66" s="425"/>
      <c r="Z66" s="425"/>
      <c r="AA66" s="425"/>
      <c r="AB66" s="480" t="s">
        <v>112</v>
      </c>
      <c r="AC66" s="478"/>
      <c r="AD66" s="478"/>
      <c r="AE66" s="478"/>
      <c r="AF66" s="478"/>
      <c r="AG66" s="478"/>
      <c r="AH66" s="478"/>
      <c r="AI66" s="478"/>
      <c r="AJ66" s="478"/>
      <c r="AK66" s="478"/>
      <c r="AL66" s="478"/>
      <c r="AM66" s="478"/>
      <c r="AN66" s="478"/>
    </row>
    <row r="67" spans="2:40" ht="15" customHeight="1">
      <c r="O67" s="425"/>
      <c r="P67" s="146">
        <f>B31</f>
        <v>2023</v>
      </c>
      <c r="Q67" s="980">
        <f>C31</f>
        <v>75000</v>
      </c>
      <c r="R67" s="980"/>
      <c r="S67" s="980"/>
      <c r="T67" s="980"/>
      <c r="U67" s="981"/>
      <c r="V67" s="425"/>
      <c r="W67" s="425"/>
      <c r="X67" s="425"/>
      <c r="Y67" s="425"/>
      <c r="Z67" s="425"/>
      <c r="AA67" s="425"/>
      <c r="AB67" s="480" t="s">
        <v>112</v>
      </c>
      <c r="AC67" s="478"/>
      <c r="AD67" s="478"/>
      <c r="AE67" s="478"/>
      <c r="AF67" s="478"/>
      <c r="AG67" s="478"/>
      <c r="AH67" s="478"/>
      <c r="AI67" s="478"/>
      <c r="AJ67" s="478"/>
      <c r="AK67" s="478"/>
      <c r="AL67" s="478"/>
      <c r="AM67" s="478"/>
      <c r="AN67" s="478"/>
    </row>
    <row r="68" spans="2:40" ht="15" customHeight="1"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80" t="s">
        <v>112</v>
      </c>
      <c r="AC68" s="478"/>
      <c r="AD68" s="478"/>
      <c r="AE68" s="478"/>
      <c r="AF68" s="478"/>
      <c r="AG68" s="478"/>
      <c r="AH68" s="478"/>
      <c r="AI68" s="478"/>
      <c r="AJ68" s="478"/>
      <c r="AK68" s="478"/>
      <c r="AL68" s="478"/>
      <c r="AM68" s="478"/>
      <c r="AN68" s="478"/>
    </row>
    <row r="69" spans="2:40" ht="15" customHeight="1">
      <c r="O69" s="425"/>
      <c r="P69" s="426" t="s">
        <v>1021</v>
      </c>
      <c r="Q69" s="425"/>
      <c r="R69" s="425"/>
      <c r="S69" s="478"/>
      <c r="T69" s="478"/>
      <c r="U69" s="478"/>
      <c r="V69" s="425"/>
      <c r="W69" s="425"/>
      <c r="X69" s="425"/>
      <c r="Y69" s="425"/>
      <c r="Z69" s="425"/>
      <c r="AA69" s="425"/>
      <c r="AB69" s="480" t="s">
        <v>112</v>
      </c>
      <c r="AC69" s="478"/>
      <c r="AD69" s="478"/>
      <c r="AE69" s="478"/>
      <c r="AF69" s="478"/>
      <c r="AG69" s="478"/>
      <c r="AH69" s="478"/>
      <c r="AI69" s="478"/>
      <c r="AJ69" s="478"/>
      <c r="AK69" s="478"/>
      <c r="AL69" s="478"/>
      <c r="AM69" s="478"/>
      <c r="AN69" s="478"/>
    </row>
    <row r="70" spans="2:40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O70" s="425"/>
      <c r="P70" s="103" t="s">
        <v>83</v>
      </c>
      <c r="Q70" s="982" t="s">
        <v>186</v>
      </c>
      <c r="R70" s="982" t="s">
        <v>184</v>
      </c>
      <c r="S70" s="982" t="s">
        <v>185</v>
      </c>
      <c r="T70" s="982" t="s">
        <v>1050</v>
      </c>
      <c r="U70" s="105"/>
      <c r="V70" s="425"/>
      <c r="W70" s="425"/>
      <c r="X70" s="425"/>
      <c r="Y70" s="425"/>
      <c r="Z70" s="425"/>
      <c r="AA70" s="425"/>
      <c r="AB70" s="480" t="s">
        <v>112</v>
      </c>
      <c r="AC70" s="478"/>
      <c r="AD70" s="478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</row>
    <row r="71" spans="2:40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O71" s="425"/>
      <c r="P71" s="145">
        <f>B27</f>
        <v>2019</v>
      </c>
      <c r="Q71" s="983">
        <f>R63/Q63</f>
        <v>1.4039999999999999</v>
      </c>
      <c r="R71" s="983">
        <f t="shared" ref="R71:S73" si="1">S63/R63</f>
        <v>1.1730000000000003</v>
      </c>
      <c r="S71" s="983">
        <f t="shared" si="1"/>
        <v>0.9870000000000001</v>
      </c>
      <c r="T71" s="983">
        <f>U63/T63</f>
        <v>1</v>
      </c>
      <c r="U71" s="984"/>
      <c r="V71" s="425"/>
      <c r="W71" s="425"/>
      <c r="X71" s="425"/>
      <c r="Y71" s="425"/>
      <c r="Z71" s="425"/>
      <c r="AA71" s="425"/>
      <c r="AB71" s="480" t="s">
        <v>112</v>
      </c>
      <c r="AC71" s="478"/>
      <c r="AD71" s="478"/>
      <c r="AE71" s="478"/>
      <c r="AF71" s="478"/>
      <c r="AG71" s="478"/>
      <c r="AH71" s="478"/>
      <c r="AI71" s="478"/>
      <c r="AJ71" s="478"/>
      <c r="AK71" s="478"/>
      <c r="AL71" s="478"/>
      <c r="AM71" s="478"/>
      <c r="AN71" s="478"/>
    </row>
    <row r="72" spans="2:40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O72" s="425"/>
      <c r="P72" s="145">
        <f>B28</f>
        <v>2020</v>
      </c>
      <c r="Q72" s="983">
        <f t="shared" ref="Q72:Q74" si="2">R64/Q64</f>
        <v>1.1830000000000001</v>
      </c>
      <c r="R72" s="983">
        <f t="shared" si="1"/>
        <v>1.1160000000000001</v>
      </c>
      <c r="S72" s="983">
        <f t="shared" si="1"/>
        <v>0.94499999999999995</v>
      </c>
      <c r="T72" s="983"/>
      <c r="U72" s="984"/>
      <c r="V72" s="425"/>
      <c r="W72" s="425"/>
      <c r="X72" s="425"/>
      <c r="Y72" s="425"/>
      <c r="Z72" s="425"/>
      <c r="AA72" s="425"/>
      <c r="AB72" s="480" t="s">
        <v>112</v>
      </c>
      <c r="AC72" s="478"/>
      <c r="AD72" s="478"/>
      <c r="AE72" s="478"/>
      <c r="AF72" s="478"/>
      <c r="AG72" s="478"/>
      <c r="AH72" s="478"/>
      <c r="AI72" s="478"/>
      <c r="AJ72" s="478"/>
      <c r="AK72" s="478"/>
      <c r="AL72" s="478"/>
      <c r="AM72" s="478"/>
      <c r="AN72" s="478"/>
    </row>
    <row r="73" spans="2:40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O73" s="425"/>
      <c r="P73" s="145">
        <f>B29</f>
        <v>2021</v>
      </c>
      <c r="Q73" s="983">
        <f t="shared" si="2"/>
        <v>1.274</v>
      </c>
      <c r="R73" s="983">
        <f t="shared" si="1"/>
        <v>1.2190000000000001</v>
      </c>
      <c r="S73" s="983"/>
      <c r="T73" s="983"/>
      <c r="U73" s="984"/>
      <c r="V73" s="425"/>
      <c r="W73" s="425"/>
      <c r="X73" s="425"/>
      <c r="Y73" s="425"/>
      <c r="Z73" s="425"/>
      <c r="AA73" s="425"/>
      <c r="AB73" s="480" t="s">
        <v>112</v>
      </c>
      <c r="AC73" s="478"/>
      <c r="AD73" s="478"/>
      <c r="AE73" s="478"/>
      <c r="AF73" s="478"/>
      <c r="AG73" s="478"/>
      <c r="AH73" s="478"/>
      <c r="AI73" s="478"/>
      <c r="AJ73" s="478"/>
      <c r="AK73" s="478"/>
      <c r="AL73" s="478"/>
      <c r="AM73" s="478"/>
      <c r="AN73" s="478"/>
    </row>
    <row r="74" spans="2:40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O74" s="425"/>
      <c r="P74" s="145">
        <f>B30</f>
        <v>2022</v>
      </c>
      <c r="Q74" s="983">
        <f t="shared" si="2"/>
        <v>1.417</v>
      </c>
      <c r="R74" s="983"/>
      <c r="S74" s="983"/>
      <c r="T74" s="983"/>
      <c r="U74" s="984"/>
      <c r="V74" s="425"/>
      <c r="W74" s="425"/>
      <c r="X74" s="425"/>
      <c r="Y74" s="425"/>
      <c r="Z74" s="425"/>
      <c r="AA74" s="425"/>
      <c r="AB74" s="480" t="s">
        <v>112</v>
      </c>
      <c r="AC74" s="478"/>
      <c r="AD74" s="478"/>
      <c r="AE74" s="478"/>
      <c r="AF74" s="478"/>
      <c r="AG74" s="478"/>
      <c r="AH74" s="478"/>
      <c r="AI74" s="478"/>
      <c r="AJ74" s="478"/>
      <c r="AK74" s="478"/>
      <c r="AL74" s="478"/>
      <c r="AM74" s="478"/>
      <c r="AN74" s="478"/>
    </row>
    <row r="75" spans="2:40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O75" s="478"/>
      <c r="P75" s="146">
        <f>B31</f>
        <v>2023</v>
      </c>
      <c r="Q75" s="985"/>
      <c r="R75" s="985"/>
      <c r="S75" s="985"/>
      <c r="T75" s="985"/>
      <c r="U75" s="986"/>
      <c r="V75" s="478"/>
      <c r="W75" s="478"/>
      <c r="X75" s="478"/>
      <c r="Y75" s="478"/>
      <c r="Z75" s="478"/>
      <c r="AA75" s="478"/>
      <c r="AB75" s="480" t="s">
        <v>112</v>
      </c>
      <c r="AC75" s="478"/>
      <c r="AD75" s="478"/>
      <c r="AE75" s="478"/>
      <c r="AF75" s="478"/>
      <c r="AG75" s="478"/>
      <c r="AH75" s="478"/>
      <c r="AI75" s="478"/>
      <c r="AJ75" s="478"/>
      <c r="AK75" s="478"/>
      <c r="AL75" s="478"/>
      <c r="AM75" s="478"/>
      <c r="AN75" s="478"/>
    </row>
    <row r="76" spans="2:40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O76" s="478"/>
      <c r="P76" s="424" t="s">
        <v>180</v>
      </c>
      <c r="Q76" s="556">
        <f>ROUND(AVERAGE(Q71:Q74),3)</f>
        <v>1.32</v>
      </c>
      <c r="R76" s="556">
        <f t="shared" ref="R76:T76" si="3">ROUND(AVERAGE(R71:R74),3)</f>
        <v>1.169</v>
      </c>
      <c r="S76" s="556">
        <f t="shared" si="3"/>
        <v>0.96599999999999997</v>
      </c>
      <c r="T76" s="556">
        <f t="shared" si="3"/>
        <v>1</v>
      </c>
      <c r="U76" s="987">
        <f>1</f>
        <v>1</v>
      </c>
      <c r="V76" s="429" t="s">
        <v>1051</v>
      </c>
      <c r="W76" s="478"/>
      <c r="X76" s="478"/>
      <c r="Y76" s="478"/>
      <c r="Z76" s="478"/>
      <c r="AA76" s="478"/>
      <c r="AB76" s="480" t="s">
        <v>112</v>
      </c>
      <c r="AC76" s="478"/>
      <c r="AD76" s="478"/>
      <c r="AE76" s="478"/>
      <c r="AF76" s="478"/>
      <c r="AG76" s="478"/>
      <c r="AH76" s="478"/>
      <c r="AI76" s="478"/>
      <c r="AJ76" s="478"/>
      <c r="AK76" s="478"/>
      <c r="AL76" s="478"/>
      <c r="AM76" s="478"/>
      <c r="AN76" s="478"/>
    </row>
    <row r="77" spans="2:40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O77" s="478"/>
      <c r="P77" s="988" t="s">
        <v>232</v>
      </c>
      <c r="Q77" s="989">
        <f>ROUND(R77*Q76,3)</f>
        <v>1.49</v>
      </c>
      <c r="R77" s="989">
        <f t="shared" ref="R77:T77" si="4">ROUND(S77*R76,3)</f>
        <v>1.129</v>
      </c>
      <c r="S77" s="989">
        <f t="shared" si="4"/>
        <v>0.96599999999999997</v>
      </c>
      <c r="T77" s="989">
        <f t="shared" si="4"/>
        <v>1</v>
      </c>
      <c r="U77" s="990">
        <f>U76</f>
        <v>1</v>
      </c>
      <c r="V77" s="478"/>
      <c r="W77" s="478"/>
      <c r="X77" s="478"/>
      <c r="Y77" s="478"/>
      <c r="Z77" s="478"/>
      <c r="AA77" s="478"/>
      <c r="AB77" s="480" t="s">
        <v>112</v>
      </c>
      <c r="AC77" s="478"/>
      <c r="AD77" s="478"/>
      <c r="AE77" s="478"/>
      <c r="AF77" s="478"/>
      <c r="AG77" s="478"/>
      <c r="AH77" s="478"/>
      <c r="AI77" s="478"/>
      <c r="AJ77" s="478"/>
      <c r="AK77" s="478"/>
      <c r="AL77" s="478"/>
      <c r="AM77" s="478"/>
      <c r="AN77" s="478"/>
    </row>
    <row r="78" spans="2:40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O78" s="478"/>
      <c r="P78" s="478"/>
      <c r="Q78" s="478"/>
      <c r="R78" s="478"/>
      <c r="S78" s="478"/>
      <c r="T78" s="478"/>
      <c r="U78" s="478"/>
      <c r="V78" s="478"/>
      <c r="W78" s="478"/>
      <c r="X78" s="478"/>
      <c r="Y78" s="478"/>
      <c r="Z78" s="478"/>
      <c r="AA78" s="478"/>
      <c r="AB78" s="480" t="s">
        <v>112</v>
      </c>
      <c r="AC78" s="478"/>
      <c r="AD78" s="478"/>
      <c r="AE78" s="478"/>
      <c r="AF78" s="478"/>
      <c r="AG78" s="478"/>
      <c r="AH78" s="478"/>
      <c r="AI78" s="478"/>
      <c r="AJ78" s="478"/>
      <c r="AK78" s="478"/>
      <c r="AL78" s="478"/>
      <c r="AM78" s="478"/>
      <c r="AN78" s="478"/>
    </row>
    <row r="79" spans="2:40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O79" s="515" t="s">
        <v>1052</v>
      </c>
      <c r="P79" s="478" t="s">
        <v>1053</v>
      </c>
      <c r="Q79" s="478"/>
      <c r="R79" s="478"/>
      <c r="S79" s="478"/>
      <c r="T79" s="478"/>
      <c r="U79" s="478"/>
      <c r="V79" s="478"/>
      <c r="W79" s="478"/>
      <c r="X79" s="478"/>
      <c r="Y79" s="478"/>
      <c r="Z79" s="478"/>
      <c r="AA79" s="478"/>
      <c r="AB79" s="480" t="s">
        <v>112</v>
      </c>
      <c r="AC79" s="478"/>
      <c r="AD79" s="478"/>
      <c r="AE79" s="478"/>
      <c r="AF79" s="478"/>
      <c r="AG79" s="478"/>
      <c r="AH79" s="478"/>
      <c r="AI79" s="478"/>
      <c r="AJ79" s="478"/>
      <c r="AK79" s="478"/>
      <c r="AL79" s="478"/>
      <c r="AM79" s="478"/>
      <c r="AN79" s="478"/>
    </row>
    <row r="80" spans="2:40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O80" s="478"/>
      <c r="P80" s="478"/>
      <c r="Q80" s="478"/>
      <c r="R80" s="478"/>
      <c r="S80" s="478"/>
      <c r="T80" s="478"/>
      <c r="U80" s="478"/>
      <c r="V80" s="478"/>
      <c r="W80" s="478"/>
      <c r="X80" s="478"/>
      <c r="Y80" s="478"/>
      <c r="Z80" s="478"/>
      <c r="AA80" s="478"/>
      <c r="AB80" s="480" t="s">
        <v>112</v>
      </c>
      <c r="AC80" s="478"/>
      <c r="AD80" s="478"/>
      <c r="AE80" s="478"/>
      <c r="AF80" s="478"/>
      <c r="AG80" s="478"/>
      <c r="AH80" s="478"/>
      <c r="AI80" s="478"/>
      <c r="AJ80" s="478"/>
      <c r="AK80" s="478"/>
      <c r="AL80" s="478"/>
      <c r="AM80" s="478"/>
      <c r="AN80" s="478"/>
    </row>
    <row r="81" spans="2:40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O81" s="478"/>
      <c r="P81" s="427" t="s">
        <v>90</v>
      </c>
      <c r="Q81" s="427" t="s">
        <v>91</v>
      </c>
      <c r="R81" s="427" t="s">
        <v>92</v>
      </c>
      <c r="S81" s="427" t="s">
        <v>93</v>
      </c>
      <c r="T81" s="427" t="s">
        <v>1043</v>
      </c>
      <c r="U81" s="479"/>
      <c r="V81" s="478"/>
      <c r="W81" s="478"/>
      <c r="X81" s="478"/>
      <c r="Y81" s="478"/>
      <c r="Z81" s="478"/>
      <c r="AA81" s="478"/>
      <c r="AB81" s="480" t="s">
        <v>112</v>
      </c>
      <c r="AC81" s="478"/>
      <c r="AD81" s="478"/>
      <c r="AE81" s="478"/>
      <c r="AF81" s="478"/>
      <c r="AG81" s="478"/>
      <c r="AH81" s="478"/>
      <c r="AI81" s="478"/>
      <c r="AJ81" s="478"/>
      <c r="AK81" s="478"/>
      <c r="AL81" s="478"/>
      <c r="AM81" s="478"/>
      <c r="AN81" s="478"/>
    </row>
    <row r="82" spans="2:40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O82" s="478"/>
      <c r="P82" s="103" t="s">
        <v>83</v>
      </c>
      <c r="Q82" s="104" t="s">
        <v>1054</v>
      </c>
      <c r="R82" s="104" t="s">
        <v>203</v>
      </c>
      <c r="S82" s="105" t="s">
        <v>1045</v>
      </c>
      <c r="T82" s="991" t="s">
        <v>1055</v>
      </c>
      <c r="U82" s="992"/>
      <c r="V82" s="478"/>
      <c r="W82" s="478"/>
      <c r="X82" s="478"/>
      <c r="Y82" s="478"/>
      <c r="Z82" s="478"/>
      <c r="AA82" s="478"/>
      <c r="AB82" s="480" t="s">
        <v>112</v>
      </c>
      <c r="AC82" s="478"/>
      <c r="AD82" s="478"/>
      <c r="AE82" s="478"/>
      <c r="AF82" s="478"/>
      <c r="AG82" s="478"/>
      <c r="AH82" s="478"/>
      <c r="AI82" s="478"/>
      <c r="AJ82" s="478"/>
      <c r="AK82" s="478"/>
      <c r="AL82" s="478"/>
      <c r="AM82" s="478"/>
      <c r="AN82" s="478"/>
    </row>
    <row r="83" spans="2:40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O83" s="478"/>
      <c r="P83" s="145">
        <f>B22</f>
        <v>2022</v>
      </c>
      <c r="Q83" s="95">
        <f>R66</f>
        <v>79918.8</v>
      </c>
      <c r="R83" s="786">
        <f>R77</f>
        <v>1.129</v>
      </c>
      <c r="S83" s="976" t="str">
        <f>1+G22 &amp; " ^ " &amp; (R9+P84-P83)</f>
        <v>1.034 ^ 3.5</v>
      </c>
      <c r="T83" s="1028">
        <f>Q83*R83*(1+G22)^(R9+P84-P83)</f>
        <v>101429.61611799771</v>
      </c>
      <c r="U83" s="1029"/>
      <c r="V83" s="192" t="s">
        <v>1056</v>
      </c>
      <c r="W83" s="478"/>
      <c r="X83" s="478"/>
      <c r="Y83" s="478"/>
      <c r="Z83" s="478"/>
      <c r="AA83" s="478"/>
      <c r="AB83" s="480" t="s">
        <v>112</v>
      </c>
      <c r="AC83" s="478"/>
      <c r="AD83" s="478"/>
      <c r="AE83" s="478"/>
      <c r="AF83" s="478"/>
      <c r="AG83" s="478"/>
      <c r="AH83" s="478"/>
      <c r="AI83" s="478"/>
      <c r="AJ83" s="478"/>
      <c r="AK83" s="478"/>
      <c r="AL83" s="478"/>
      <c r="AM83" s="478"/>
      <c r="AN83" s="478"/>
    </row>
    <row r="84" spans="2:40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O84" s="478"/>
      <c r="P84" s="146">
        <f>B23</f>
        <v>2023</v>
      </c>
      <c r="Q84" s="98">
        <f>Q67</f>
        <v>75000</v>
      </c>
      <c r="R84" s="993">
        <f>Q77</f>
        <v>1.49</v>
      </c>
      <c r="S84" s="445" t="str">
        <f>1+G22 &amp; " ^ " &amp; (R9+P84-P84)</f>
        <v>1.034 ^ 2.5</v>
      </c>
      <c r="T84" s="1030">
        <f>Q84*R84*(1+G22)^(R9+P84-P84)</f>
        <v>121492.33491962717</v>
      </c>
      <c r="U84" s="1031"/>
      <c r="V84" s="192" t="s">
        <v>1056</v>
      </c>
      <c r="W84" s="478"/>
      <c r="X84" s="478"/>
      <c r="Y84" s="478"/>
      <c r="Z84" s="478"/>
      <c r="AA84" s="478"/>
      <c r="AB84" s="480" t="s">
        <v>112</v>
      </c>
      <c r="AC84" s="478"/>
      <c r="AD84" s="478"/>
      <c r="AE84" s="478"/>
      <c r="AF84" s="478"/>
      <c r="AG84" s="478"/>
      <c r="AH84" s="478"/>
      <c r="AI84" s="478"/>
      <c r="AJ84" s="478"/>
      <c r="AK84" s="478"/>
      <c r="AL84" s="478"/>
      <c r="AM84" s="478"/>
      <c r="AN84" s="478"/>
    </row>
    <row r="85" spans="2:40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O85" s="478"/>
      <c r="P85" s="478"/>
      <c r="Q85" s="478"/>
      <c r="R85" s="478"/>
      <c r="S85" s="478"/>
      <c r="T85" s="478"/>
      <c r="U85" s="478"/>
      <c r="V85" s="478"/>
      <c r="W85" s="478"/>
      <c r="X85" s="478"/>
      <c r="Y85" s="478"/>
      <c r="Z85" s="478"/>
      <c r="AA85" s="478"/>
      <c r="AB85" s="480" t="s">
        <v>112</v>
      </c>
      <c r="AC85" s="478"/>
      <c r="AD85" s="478"/>
      <c r="AE85" s="478"/>
      <c r="AF85" s="478"/>
      <c r="AG85" s="478"/>
      <c r="AH85" s="478"/>
      <c r="AI85" s="478"/>
      <c r="AJ85" s="478"/>
      <c r="AK85" s="478"/>
      <c r="AL85" s="478"/>
      <c r="AM85" s="478"/>
      <c r="AN85" s="478"/>
    </row>
    <row r="86" spans="2:40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O86" s="132" t="s">
        <v>1057</v>
      </c>
      <c r="P86" s="478" t="s">
        <v>1058</v>
      </c>
      <c r="Q86" s="478"/>
      <c r="R86" s="478"/>
      <c r="S86" s="478"/>
      <c r="T86" s="478"/>
      <c r="U86" s="478"/>
      <c r="V86" s="478"/>
      <c r="W86" s="478"/>
      <c r="X86" s="478"/>
      <c r="Y86" s="478"/>
      <c r="Z86" s="478"/>
      <c r="AA86" s="478"/>
      <c r="AB86" s="480" t="s">
        <v>112</v>
      </c>
      <c r="AC86" s="478"/>
      <c r="AD86" s="478"/>
      <c r="AE86" s="478"/>
      <c r="AF86" s="478"/>
      <c r="AG86" s="478"/>
      <c r="AH86" s="478"/>
      <c r="AI86" s="478"/>
      <c r="AJ86" s="478"/>
      <c r="AK86" s="478"/>
      <c r="AL86" s="478"/>
      <c r="AM86" s="478"/>
      <c r="AN86" s="478"/>
    </row>
    <row r="87" spans="2:40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O87" s="478"/>
      <c r="P87" s="478"/>
      <c r="Q87" s="478"/>
      <c r="R87" s="478"/>
      <c r="S87" s="478"/>
      <c r="T87" s="478"/>
      <c r="U87" s="478"/>
      <c r="V87" s="478"/>
      <c r="W87" s="478"/>
      <c r="X87" s="478"/>
      <c r="Y87" s="478"/>
      <c r="Z87" s="478"/>
      <c r="AA87" s="478"/>
      <c r="AB87" s="480" t="s">
        <v>112</v>
      </c>
      <c r="AC87" s="478"/>
      <c r="AD87" s="478"/>
      <c r="AE87" s="478"/>
      <c r="AF87" s="478"/>
      <c r="AG87" s="478"/>
      <c r="AH87" s="478"/>
      <c r="AI87" s="478"/>
      <c r="AJ87" s="478"/>
      <c r="AK87" s="478"/>
      <c r="AL87" s="478"/>
      <c r="AM87" s="478"/>
      <c r="AN87" s="478"/>
    </row>
    <row r="88" spans="2:40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O88" s="478"/>
      <c r="P88" s="478" t="s">
        <v>1059</v>
      </c>
      <c r="Q88" s="478"/>
      <c r="R88" s="478"/>
      <c r="S88" s="478"/>
      <c r="T88" s="478"/>
      <c r="U88" s="478"/>
      <c r="V88" s="478"/>
      <c r="W88" s="478"/>
      <c r="X88" s="478"/>
      <c r="Y88" s="478"/>
      <c r="Z88" s="478"/>
      <c r="AA88" s="478"/>
      <c r="AB88" s="480" t="s">
        <v>112</v>
      </c>
      <c r="AC88" s="478"/>
      <c r="AD88" s="478"/>
      <c r="AE88" s="478"/>
      <c r="AF88" s="478"/>
      <c r="AG88" s="478"/>
      <c r="AH88" s="478"/>
      <c r="AI88" s="478"/>
      <c r="AJ88" s="478"/>
      <c r="AK88" s="478"/>
      <c r="AL88" s="478"/>
      <c r="AM88" s="478"/>
      <c r="AN88" s="478"/>
    </row>
    <row r="89" spans="2:40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O89" s="478"/>
      <c r="P89" s="478"/>
      <c r="Q89" s="480" t="s">
        <v>34</v>
      </c>
      <c r="R89" s="994" t="s">
        <v>1060</v>
      </c>
      <c r="S89" s="478"/>
      <c r="T89" s="427" t="s">
        <v>36</v>
      </c>
      <c r="U89" s="478" t="s">
        <v>1061</v>
      </c>
      <c r="V89" s="478"/>
      <c r="W89" s="478"/>
      <c r="X89" s="478"/>
      <c r="Y89" s="478"/>
      <c r="Z89" s="478"/>
      <c r="AA89" s="478"/>
      <c r="AB89" s="480" t="s">
        <v>112</v>
      </c>
      <c r="AC89" s="478"/>
      <c r="AD89" s="478"/>
      <c r="AE89" s="478"/>
      <c r="AF89" s="478"/>
      <c r="AG89" s="478"/>
      <c r="AH89" s="478"/>
      <c r="AI89" s="478"/>
      <c r="AJ89" s="478"/>
      <c r="AK89" s="478"/>
      <c r="AL89" s="478"/>
      <c r="AM89" s="478"/>
      <c r="AN89" s="478"/>
    </row>
    <row r="90" spans="2:40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O90" s="478"/>
      <c r="P90" s="478"/>
      <c r="Q90" s="478"/>
      <c r="R90" s="478"/>
      <c r="S90" s="478"/>
      <c r="T90" s="478"/>
      <c r="U90" s="478"/>
      <c r="V90" s="478"/>
      <c r="W90" s="478"/>
      <c r="X90" s="478"/>
      <c r="Y90" s="478"/>
      <c r="Z90" s="478"/>
      <c r="AA90" s="478"/>
      <c r="AB90" s="480" t="s">
        <v>112</v>
      </c>
      <c r="AC90" s="478"/>
      <c r="AD90" s="478"/>
      <c r="AE90" s="478"/>
      <c r="AF90" s="478"/>
      <c r="AG90" s="478"/>
      <c r="AH90" s="478"/>
      <c r="AI90" s="478"/>
      <c r="AJ90" s="478"/>
      <c r="AK90" s="478"/>
      <c r="AL90" s="478"/>
      <c r="AM90" s="478"/>
      <c r="AN90" s="478"/>
    </row>
    <row r="91" spans="2:40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O91" s="478"/>
      <c r="P91" s="478"/>
      <c r="Q91" s="480" t="s">
        <v>34</v>
      </c>
      <c r="R91" s="1032">
        <f>T83</f>
        <v>101429.61611799771</v>
      </c>
      <c r="S91" s="1033"/>
      <c r="T91" s="995" t="s">
        <v>35</v>
      </c>
      <c r="U91" s="1032">
        <f>T84</f>
        <v>121492.33491962717</v>
      </c>
      <c r="V91" s="1033"/>
      <c r="W91" s="478"/>
      <c r="X91" s="478"/>
      <c r="Y91" s="478"/>
      <c r="Z91" s="478"/>
      <c r="AA91" s="478"/>
      <c r="AB91" s="480" t="s">
        <v>112</v>
      </c>
      <c r="AC91" s="478"/>
      <c r="AD91" s="478"/>
      <c r="AE91" s="478"/>
      <c r="AF91" s="478"/>
      <c r="AG91" s="478"/>
      <c r="AH91" s="478"/>
      <c r="AI91" s="478"/>
      <c r="AJ91" s="478"/>
      <c r="AK91" s="478"/>
      <c r="AL91" s="478"/>
      <c r="AM91" s="478"/>
      <c r="AN91" s="478"/>
    </row>
    <row r="92" spans="2:40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O92" s="478"/>
      <c r="P92" s="478"/>
      <c r="Q92" s="478"/>
      <c r="R92" s="1034">
        <f>T56</f>
        <v>139329.04486767593</v>
      </c>
      <c r="S92" s="1035"/>
      <c r="T92" s="996" t="s">
        <v>35</v>
      </c>
      <c r="U92" s="1034">
        <f>T57</f>
        <v>145961.10013385353</v>
      </c>
      <c r="V92" s="1035"/>
      <c r="W92" s="478"/>
      <c r="X92" s="478"/>
      <c r="Y92" s="478"/>
      <c r="Z92" s="478"/>
      <c r="AA92" s="478"/>
      <c r="AB92" s="480" t="s">
        <v>112</v>
      </c>
      <c r="AC92" s="478"/>
      <c r="AD92" s="478"/>
      <c r="AE92" s="478"/>
      <c r="AF92" s="478"/>
      <c r="AG92" s="478"/>
      <c r="AH92" s="478"/>
      <c r="AI92" s="478"/>
      <c r="AJ92" s="478"/>
      <c r="AK92" s="478"/>
      <c r="AL92" s="478"/>
      <c r="AM92" s="478"/>
      <c r="AN92" s="478"/>
    </row>
    <row r="93" spans="2:40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O93" s="478"/>
      <c r="P93" s="478"/>
      <c r="Q93" s="478"/>
      <c r="R93" s="478"/>
      <c r="S93" s="478"/>
      <c r="T93" s="478"/>
      <c r="U93" s="478"/>
      <c r="V93" s="478"/>
      <c r="W93" s="478"/>
      <c r="X93" s="478"/>
      <c r="Y93" s="478"/>
      <c r="Z93" s="478"/>
      <c r="AA93" s="478"/>
      <c r="AB93" s="480" t="s">
        <v>112</v>
      </c>
      <c r="AC93" s="478"/>
      <c r="AD93" s="478"/>
      <c r="AE93" s="478"/>
      <c r="AF93" s="478"/>
      <c r="AG93" s="478"/>
      <c r="AH93" s="478"/>
      <c r="AI93" s="478"/>
      <c r="AJ93" s="478"/>
      <c r="AK93" s="478"/>
      <c r="AL93" s="478"/>
      <c r="AM93" s="478"/>
      <c r="AN93" s="478"/>
    </row>
    <row r="94" spans="2:40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O94" s="478"/>
      <c r="P94" s="478"/>
      <c r="Q94" s="480" t="s">
        <v>34</v>
      </c>
      <c r="R94" s="997">
        <f>ROUND((R91+U91) / (R92+U92), 3)</f>
        <v>0.78100000000000003</v>
      </c>
      <c r="S94" s="478"/>
      <c r="T94" s="478"/>
      <c r="U94" s="478"/>
      <c r="V94" s="478"/>
      <c r="W94" s="478"/>
      <c r="X94" s="478"/>
      <c r="Y94" s="478"/>
      <c r="Z94" s="478"/>
      <c r="AA94" s="478"/>
      <c r="AB94" s="480" t="s">
        <v>112</v>
      </c>
      <c r="AC94" s="478"/>
      <c r="AD94" s="478"/>
      <c r="AE94" s="478"/>
      <c r="AF94" s="478"/>
      <c r="AG94" s="478"/>
      <c r="AH94" s="478"/>
      <c r="AI94" s="478"/>
      <c r="AJ94" s="478"/>
      <c r="AK94" s="478"/>
      <c r="AL94" s="478"/>
      <c r="AM94" s="478"/>
      <c r="AN94" s="478"/>
    </row>
    <row r="95" spans="2:40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O95" s="478"/>
      <c r="P95" s="478"/>
      <c r="Q95" s="478"/>
      <c r="R95" s="478"/>
      <c r="S95" s="478"/>
      <c r="T95" s="478"/>
      <c r="U95" s="478"/>
      <c r="V95" s="478"/>
      <c r="W95" s="478"/>
      <c r="X95" s="478"/>
      <c r="Y95" s="478"/>
      <c r="Z95" s="478"/>
      <c r="AA95" s="478"/>
      <c r="AB95" s="480" t="s">
        <v>112</v>
      </c>
      <c r="AC95" s="478"/>
      <c r="AD95" s="478"/>
      <c r="AE95" s="478"/>
      <c r="AF95" s="478"/>
      <c r="AG95" s="478"/>
      <c r="AH95" s="478"/>
      <c r="AI95" s="478"/>
      <c r="AJ95" s="478"/>
      <c r="AK95" s="478"/>
      <c r="AL95" s="478"/>
      <c r="AM95" s="478"/>
      <c r="AN95" s="478"/>
    </row>
    <row r="96" spans="2:40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O96" s="132" t="s">
        <v>1062</v>
      </c>
      <c r="P96" s="478" t="s">
        <v>1063</v>
      </c>
      <c r="Q96" s="478"/>
      <c r="R96" s="478"/>
      <c r="S96" s="478"/>
      <c r="T96" s="478"/>
      <c r="U96" s="478"/>
      <c r="V96" s="478"/>
      <c r="W96" s="478"/>
      <c r="X96" s="478"/>
      <c r="Y96" s="478"/>
      <c r="Z96" s="478"/>
      <c r="AA96" s="478"/>
      <c r="AB96" s="480" t="s">
        <v>112</v>
      </c>
      <c r="AC96" s="478"/>
      <c r="AD96" s="478"/>
      <c r="AE96" s="478"/>
      <c r="AF96" s="478"/>
      <c r="AG96" s="478"/>
      <c r="AH96" s="478"/>
      <c r="AI96" s="478"/>
      <c r="AJ96" s="478"/>
      <c r="AK96" s="478"/>
      <c r="AL96" s="478"/>
      <c r="AM96" s="478"/>
      <c r="AN96" s="478"/>
    </row>
    <row r="97" spans="2:40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  <c r="Z97" s="478"/>
      <c r="AA97" s="478"/>
      <c r="AB97" s="480" t="s">
        <v>112</v>
      </c>
      <c r="AC97" s="478"/>
      <c r="AD97" s="478"/>
      <c r="AE97" s="478"/>
      <c r="AF97" s="478"/>
      <c r="AG97" s="478"/>
      <c r="AH97" s="478"/>
      <c r="AI97" s="478"/>
      <c r="AJ97" s="478"/>
      <c r="AK97" s="478"/>
      <c r="AL97" s="478"/>
      <c r="AM97" s="478"/>
      <c r="AN97" s="478"/>
    </row>
    <row r="98" spans="2:40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O98" s="478"/>
      <c r="P98" s="478" t="s">
        <v>1064</v>
      </c>
      <c r="Q98" s="478"/>
      <c r="R98" s="478"/>
      <c r="S98" s="478"/>
      <c r="T98" s="478"/>
      <c r="U98" s="478"/>
      <c r="V98" s="478"/>
      <c r="W98" s="478"/>
      <c r="X98" s="478"/>
      <c r="Y98" s="478"/>
      <c r="Z98" s="478"/>
      <c r="AA98" s="478"/>
      <c r="AB98" s="480" t="s">
        <v>112</v>
      </c>
      <c r="AC98" s="478"/>
      <c r="AD98" s="478"/>
      <c r="AE98" s="478"/>
      <c r="AF98" s="478"/>
      <c r="AG98" s="478"/>
      <c r="AH98" s="478"/>
      <c r="AI98" s="478"/>
      <c r="AJ98" s="478"/>
      <c r="AK98" s="478"/>
      <c r="AL98" s="478"/>
      <c r="AM98" s="478"/>
      <c r="AN98" s="478"/>
    </row>
    <row r="99" spans="2:40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O99" s="478"/>
      <c r="P99" s="478"/>
      <c r="Q99" s="480" t="s">
        <v>34</v>
      </c>
      <c r="R99" s="425" t="s">
        <v>103</v>
      </c>
      <c r="S99" s="425"/>
      <c r="T99" s="424" t="s">
        <v>148</v>
      </c>
      <c r="U99" s="424" t="s">
        <v>1065</v>
      </c>
      <c r="V99" s="131" t="s">
        <v>36</v>
      </c>
      <c r="W99" s="425" t="s">
        <v>101</v>
      </c>
      <c r="X99" s="139" t="s">
        <v>104</v>
      </c>
      <c r="Y99" s="140">
        <v>1</v>
      </c>
      <c r="Z99" s="478"/>
      <c r="AA99" s="478"/>
      <c r="AB99" s="480" t="s">
        <v>112</v>
      </c>
      <c r="AC99" s="478"/>
      <c r="AD99" s="478"/>
      <c r="AE99" s="478"/>
      <c r="AF99" s="478"/>
      <c r="AG99" s="478"/>
      <c r="AH99" s="478"/>
      <c r="AI99" s="478"/>
      <c r="AJ99" s="478"/>
      <c r="AK99" s="478"/>
      <c r="AL99" s="478"/>
      <c r="AM99" s="478"/>
      <c r="AN99" s="478"/>
    </row>
    <row r="100" spans="2:40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O100" s="478"/>
      <c r="P100" s="478"/>
      <c r="Q100" s="478"/>
      <c r="R100" s="478"/>
      <c r="S100" s="478"/>
      <c r="T100" s="478"/>
      <c r="U100" s="478"/>
      <c r="V100" s="478"/>
      <c r="W100" s="478"/>
      <c r="X100" s="478"/>
      <c r="Y100" s="478"/>
      <c r="Z100" s="478"/>
      <c r="AA100" s="478"/>
      <c r="AB100" s="480" t="s">
        <v>112</v>
      </c>
      <c r="AC100" s="478"/>
      <c r="AD100" s="478"/>
      <c r="AE100" s="478"/>
      <c r="AF100" s="478"/>
      <c r="AG100" s="478"/>
      <c r="AH100" s="478"/>
      <c r="AI100" s="478"/>
      <c r="AJ100" s="478"/>
      <c r="AK100" s="478"/>
      <c r="AL100" s="478"/>
      <c r="AM100" s="478"/>
      <c r="AN100" s="478"/>
    </row>
    <row r="101" spans="2:40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O101" s="478"/>
      <c r="P101" s="478"/>
      <c r="Q101" s="480" t="s">
        <v>34</v>
      </c>
      <c r="R101" s="995" t="s">
        <v>993</v>
      </c>
      <c r="S101" s="998">
        <f>R94</f>
        <v>0.78100000000000003</v>
      </c>
      <c r="T101" s="44" t="s">
        <v>35</v>
      </c>
      <c r="U101" s="998">
        <f>L21</f>
        <v>4.1000000000000002E-2</v>
      </c>
      <c r="V101" s="995" t="s">
        <v>153</v>
      </c>
      <c r="W101" s="44" t="s">
        <v>148</v>
      </c>
      <c r="X101" s="999">
        <f>1+L24</f>
        <v>1.0249999999999999</v>
      </c>
      <c r="Y101" s="139" t="s">
        <v>104</v>
      </c>
      <c r="Z101" s="140">
        <v>1</v>
      </c>
      <c r="AA101" s="478"/>
      <c r="AB101" s="480" t="s">
        <v>112</v>
      </c>
      <c r="AC101" s="478"/>
      <c r="AD101" s="478"/>
      <c r="AE101" s="478"/>
      <c r="AF101" s="478"/>
      <c r="AG101" s="478"/>
      <c r="AH101" s="478"/>
      <c r="AI101" s="478"/>
      <c r="AJ101" s="478"/>
      <c r="AK101" s="478"/>
      <c r="AL101" s="478"/>
      <c r="AM101" s="478"/>
      <c r="AN101" s="478"/>
    </row>
    <row r="102" spans="2:40" ht="1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O102" s="478"/>
      <c r="P102" s="478"/>
      <c r="Q102" s="478"/>
      <c r="R102" s="427" t="s">
        <v>993</v>
      </c>
      <c r="S102" s="424">
        <v>1</v>
      </c>
      <c r="T102" s="427" t="s">
        <v>104</v>
      </c>
      <c r="U102" s="1000">
        <f>L22</f>
        <v>0.219</v>
      </c>
      <c r="V102" s="427" t="s">
        <v>104</v>
      </c>
      <c r="W102" s="1000">
        <f>L23</f>
        <v>3.5999999999999997E-2</v>
      </c>
      <c r="X102" s="427" t="s">
        <v>153</v>
      </c>
      <c r="Y102" s="478"/>
      <c r="Z102" s="478"/>
      <c r="AA102" s="478"/>
      <c r="AB102" s="480" t="s">
        <v>112</v>
      </c>
      <c r="AC102" s="478"/>
      <c r="AD102" s="478"/>
      <c r="AE102" s="478"/>
      <c r="AF102" s="478"/>
      <c r="AG102" s="478"/>
      <c r="AH102" s="478"/>
      <c r="AI102" s="478"/>
      <c r="AJ102" s="478"/>
      <c r="AK102" s="478"/>
      <c r="AL102" s="478"/>
      <c r="AM102" s="478"/>
      <c r="AN102" s="478"/>
    </row>
    <row r="103" spans="2:40" ht="1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O103" s="478"/>
      <c r="P103" s="478"/>
      <c r="Q103" s="478"/>
      <c r="R103" s="478"/>
      <c r="S103" s="478"/>
      <c r="T103" s="478"/>
      <c r="U103" s="478"/>
      <c r="V103" s="478"/>
      <c r="W103" s="478"/>
      <c r="X103" s="478"/>
      <c r="Y103" s="478"/>
      <c r="Z103" s="478"/>
      <c r="AA103" s="478"/>
      <c r="AB103" s="480" t="s">
        <v>112</v>
      </c>
      <c r="AC103" s="478"/>
      <c r="AD103" s="478"/>
      <c r="AE103" s="478"/>
      <c r="AF103" s="478"/>
      <c r="AG103" s="478"/>
      <c r="AH103" s="478"/>
      <c r="AI103" s="478"/>
      <c r="AJ103" s="478"/>
      <c r="AK103" s="478"/>
      <c r="AL103" s="478"/>
      <c r="AM103" s="478"/>
      <c r="AN103" s="478"/>
    </row>
    <row r="104" spans="2:40" ht="1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O104" s="478"/>
      <c r="P104" s="478"/>
      <c r="Q104" s="480" t="s">
        <v>34</v>
      </c>
      <c r="R104" s="997">
        <f>ROUND((S101+U101)* X101 / (1-U102-W102) - 1, 3)</f>
        <v>0.13100000000000001</v>
      </c>
      <c r="S104" s="192" t="s">
        <v>1066</v>
      </c>
      <c r="T104" s="478"/>
      <c r="U104" s="478"/>
      <c r="V104" s="478"/>
      <c r="W104" s="478"/>
      <c r="X104" s="478"/>
      <c r="Y104" s="478"/>
      <c r="Z104" s="478"/>
      <c r="AA104" s="478"/>
      <c r="AB104" s="480" t="s">
        <v>112</v>
      </c>
      <c r="AC104" s="478"/>
      <c r="AD104" s="478"/>
      <c r="AE104" s="478"/>
      <c r="AF104" s="478"/>
      <c r="AG104" s="478"/>
      <c r="AH104" s="478"/>
      <c r="AI104" s="478"/>
      <c r="AJ104" s="478"/>
      <c r="AK104" s="478"/>
      <c r="AL104" s="478"/>
      <c r="AM104" s="478"/>
      <c r="AN104" s="478"/>
    </row>
    <row r="105" spans="2:40" ht="1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O105" s="478"/>
      <c r="P105" s="478"/>
      <c r="Q105" s="478"/>
      <c r="R105" s="478"/>
      <c r="S105" s="478"/>
      <c r="T105" s="478"/>
      <c r="U105" s="478"/>
      <c r="V105" s="478"/>
      <c r="W105" s="478"/>
      <c r="X105" s="478"/>
      <c r="Y105" s="478"/>
      <c r="Z105" s="478"/>
      <c r="AA105" s="478"/>
      <c r="AB105" s="480" t="s">
        <v>112</v>
      </c>
      <c r="AC105" s="478"/>
      <c r="AD105" s="478"/>
      <c r="AE105" s="478"/>
      <c r="AF105" s="478"/>
      <c r="AG105" s="478"/>
      <c r="AH105" s="478"/>
      <c r="AI105" s="478"/>
      <c r="AJ105" s="478"/>
      <c r="AK105" s="478"/>
      <c r="AL105" s="478"/>
      <c r="AM105" s="478"/>
      <c r="AN105" s="478"/>
    </row>
    <row r="106" spans="2:40" ht="1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O106" s="478"/>
      <c r="P106" s="478"/>
      <c r="Q106" s="478"/>
      <c r="R106" s="478"/>
      <c r="S106" s="478"/>
      <c r="T106" s="478"/>
      <c r="U106" s="478"/>
      <c r="V106" s="478"/>
      <c r="W106" s="478"/>
      <c r="X106" s="478"/>
      <c r="Y106" s="478"/>
      <c r="Z106" s="478"/>
      <c r="AA106" s="478"/>
      <c r="AB106" s="480" t="s">
        <v>112</v>
      </c>
      <c r="AC106" s="478"/>
      <c r="AD106" s="478"/>
      <c r="AE106" s="478"/>
      <c r="AF106" s="478"/>
      <c r="AG106" s="478"/>
      <c r="AH106" s="478"/>
      <c r="AI106" s="478"/>
      <c r="AJ106" s="478"/>
      <c r="AK106" s="478"/>
      <c r="AL106" s="478"/>
      <c r="AM106" s="478"/>
      <c r="AN106" s="478"/>
    </row>
    <row r="107" spans="2:40" ht="1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O107" s="478"/>
      <c r="P107" s="478"/>
      <c r="Q107" s="478"/>
      <c r="R107" s="478"/>
      <c r="S107" s="478"/>
      <c r="T107" s="478"/>
      <c r="U107" s="478"/>
      <c r="V107" s="478"/>
      <c r="W107" s="478"/>
      <c r="X107" s="478"/>
      <c r="Y107" s="478"/>
      <c r="Z107" s="478"/>
      <c r="AA107" s="478"/>
      <c r="AB107" s="480" t="s">
        <v>112</v>
      </c>
      <c r="AC107" s="478"/>
      <c r="AD107" s="478"/>
      <c r="AE107" s="478"/>
      <c r="AF107" s="478"/>
      <c r="AG107" s="478"/>
      <c r="AH107" s="478"/>
      <c r="AI107" s="478"/>
      <c r="AJ107" s="478"/>
      <c r="AK107" s="478"/>
      <c r="AL107" s="478"/>
      <c r="AM107" s="478"/>
      <c r="AN107" s="478"/>
    </row>
    <row r="108" spans="2:40" ht="1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O108" s="478"/>
      <c r="P108" s="478"/>
      <c r="Q108" s="478"/>
      <c r="R108" s="478"/>
      <c r="S108" s="478"/>
      <c r="T108" s="478"/>
      <c r="U108" s="478"/>
      <c r="V108" s="478"/>
      <c r="W108" s="478"/>
      <c r="X108" s="478"/>
      <c r="Y108" s="478"/>
      <c r="Z108" s="478"/>
      <c r="AA108" s="478"/>
      <c r="AB108" s="480" t="s">
        <v>112</v>
      </c>
      <c r="AC108" s="478"/>
      <c r="AD108" s="478"/>
      <c r="AE108" s="478"/>
      <c r="AF108" s="478"/>
      <c r="AG108" s="478"/>
      <c r="AH108" s="478"/>
      <c r="AI108" s="478"/>
      <c r="AJ108" s="478"/>
      <c r="AK108" s="478"/>
      <c r="AL108" s="478"/>
      <c r="AM108" s="478"/>
      <c r="AN108" s="478"/>
    </row>
    <row r="109" spans="2:40" ht="1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O109" s="478"/>
      <c r="P109" s="478"/>
      <c r="Q109" s="478"/>
      <c r="R109" s="478"/>
      <c r="S109" s="478"/>
      <c r="T109" s="478"/>
      <c r="U109" s="478"/>
      <c r="V109" s="478"/>
      <c r="W109" s="478"/>
      <c r="X109" s="478"/>
      <c r="Y109" s="478"/>
      <c r="Z109" s="478"/>
      <c r="AA109" s="478"/>
      <c r="AB109" s="480" t="s">
        <v>112</v>
      </c>
      <c r="AC109" s="478"/>
      <c r="AD109" s="478"/>
      <c r="AE109" s="478"/>
      <c r="AF109" s="478"/>
      <c r="AG109" s="478"/>
      <c r="AH109" s="478"/>
      <c r="AI109" s="478"/>
      <c r="AJ109" s="478"/>
      <c r="AK109" s="478"/>
      <c r="AL109" s="478"/>
      <c r="AM109" s="478"/>
      <c r="AN109" s="478"/>
    </row>
    <row r="110" spans="2:40" ht="1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O110" s="478"/>
      <c r="P110" s="478"/>
      <c r="Q110" s="478"/>
      <c r="R110" s="478"/>
      <c r="S110" s="478"/>
      <c r="T110" s="478"/>
      <c r="U110" s="478"/>
      <c r="V110" s="478"/>
      <c r="W110" s="478"/>
      <c r="X110" s="478"/>
      <c r="Y110" s="478"/>
      <c r="Z110" s="478"/>
      <c r="AA110" s="478"/>
      <c r="AB110" s="480" t="s">
        <v>112</v>
      </c>
      <c r="AC110" s="478"/>
      <c r="AD110" s="478"/>
      <c r="AE110" s="478"/>
      <c r="AF110" s="478"/>
      <c r="AG110" s="478"/>
      <c r="AH110" s="478"/>
      <c r="AI110" s="478"/>
      <c r="AJ110" s="478"/>
      <c r="AK110" s="478"/>
      <c r="AL110" s="478"/>
      <c r="AM110" s="478"/>
      <c r="AN110" s="478"/>
    </row>
    <row r="111" spans="2:40" ht="1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O111" s="478"/>
      <c r="P111" s="478"/>
      <c r="Q111" s="478"/>
      <c r="R111" s="478"/>
      <c r="S111" s="478"/>
      <c r="T111" s="478"/>
      <c r="U111" s="478"/>
      <c r="V111" s="478"/>
      <c r="W111" s="478"/>
      <c r="X111" s="478"/>
      <c r="Y111" s="478"/>
      <c r="Z111" s="478"/>
      <c r="AA111" s="478"/>
      <c r="AB111" s="480" t="s">
        <v>112</v>
      </c>
      <c r="AC111" s="478"/>
      <c r="AD111" s="478"/>
      <c r="AE111" s="478"/>
      <c r="AF111" s="478"/>
      <c r="AG111" s="478"/>
      <c r="AH111" s="478"/>
      <c r="AI111" s="478"/>
      <c r="AJ111" s="478"/>
      <c r="AK111" s="478"/>
      <c r="AL111" s="478"/>
      <c r="AM111" s="478"/>
      <c r="AN111" s="478"/>
    </row>
    <row r="112" spans="2:40" ht="1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O112" s="478"/>
      <c r="P112" s="478"/>
      <c r="Q112" s="478"/>
      <c r="R112" s="478"/>
      <c r="S112" s="478"/>
      <c r="T112" s="478"/>
      <c r="U112" s="478"/>
      <c r="V112" s="478"/>
      <c r="W112" s="478"/>
      <c r="X112" s="478"/>
      <c r="Y112" s="478"/>
      <c r="Z112" s="478"/>
      <c r="AA112" s="478"/>
      <c r="AB112" s="480" t="s">
        <v>112</v>
      </c>
      <c r="AC112" s="478"/>
      <c r="AD112" s="478"/>
      <c r="AE112" s="478"/>
      <c r="AF112" s="478"/>
      <c r="AG112" s="478"/>
      <c r="AH112" s="478"/>
      <c r="AI112" s="478"/>
      <c r="AJ112" s="478"/>
      <c r="AK112" s="478"/>
      <c r="AL112" s="478"/>
      <c r="AM112" s="478"/>
      <c r="AN112" s="478"/>
    </row>
    <row r="113" spans="2:40" ht="1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O113" s="478"/>
      <c r="P113" s="478"/>
      <c r="Q113" s="478"/>
      <c r="R113" s="478"/>
      <c r="S113" s="478"/>
      <c r="T113" s="478"/>
      <c r="U113" s="478"/>
      <c r="V113" s="478"/>
      <c r="W113" s="478"/>
      <c r="X113" s="478"/>
      <c r="Y113" s="478"/>
      <c r="Z113" s="478"/>
      <c r="AA113" s="478"/>
      <c r="AB113" s="480" t="s">
        <v>112</v>
      </c>
      <c r="AC113" s="478"/>
      <c r="AD113" s="478"/>
      <c r="AE113" s="478"/>
      <c r="AF113" s="478"/>
      <c r="AG113" s="478"/>
      <c r="AH113" s="478"/>
      <c r="AI113" s="478"/>
      <c r="AJ113" s="478"/>
      <c r="AK113" s="478"/>
      <c r="AL113" s="478"/>
      <c r="AM113" s="478"/>
      <c r="AN113" s="478"/>
    </row>
    <row r="114" spans="2:40" ht="1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O114" s="478"/>
      <c r="P114" s="478"/>
      <c r="Q114" s="478"/>
      <c r="R114" s="478"/>
      <c r="S114" s="478"/>
      <c r="T114" s="478"/>
      <c r="U114" s="478"/>
      <c r="V114" s="478"/>
      <c r="W114" s="478"/>
      <c r="X114" s="478"/>
      <c r="Y114" s="478"/>
      <c r="Z114" s="478"/>
      <c r="AA114" s="478"/>
      <c r="AB114" s="480" t="s">
        <v>112</v>
      </c>
      <c r="AC114" s="478"/>
      <c r="AD114" s="478"/>
      <c r="AE114" s="478"/>
      <c r="AF114" s="478"/>
      <c r="AG114" s="478"/>
      <c r="AH114" s="478"/>
      <c r="AI114" s="478"/>
      <c r="AJ114" s="478"/>
      <c r="AK114" s="478"/>
      <c r="AL114" s="478"/>
      <c r="AM114" s="478"/>
      <c r="AN114" s="478"/>
    </row>
    <row r="115" spans="2:40" ht="1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O115" s="478"/>
      <c r="P115" s="478"/>
      <c r="Q115" s="478"/>
      <c r="R115" s="478"/>
      <c r="S115" s="478"/>
      <c r="T115" s="478"/>
      <c r="U115" s="478"/>
      <c r="V115" s="478"/>
      <c r="W115" s="478"/>
      <c r="X115" s="478"/>
      <c r="Y115" s="478"/>
      <c r="Z115" s="478"/>
      <c r="AA115" s="478"/>
      <c r="AB115" s="480" t="s">
        <v>112</v>
      </c>
      <c r="AC115" s="478"/>
      <c r="AD115" s="478"/>
      <c r="AE115" s="478"/>
      <c r="AF115" s="478"/>
      <c r="AG115" s="478"/>
      <c r="AH115" s="478"/>
      <c r="AI115" s="478"/>
      <c r="AJ115" s="478"/>
      <c r="AK115" s="478"/>
      <c r="AL115" s="478"/>
      <c r="AM115" s="478"/>
      <c r="AN115" s="478"/>
    </row>
    <row r="116" spans="2:40" ht="1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O116" s="478"/>
      <c r="P116" s="478"/>
      <c r="Q116" s="478"/>
      <c r="R116" s="478"/>
      <c r="S116" s="478"/>
      <c r="T116" s="478"/>
      <c r="U116" s="478"/>
      <c r="V116" s="478"/>
      <c r="W116" s="478"/>
      <c r="X116" s="478"/>
      <c r="Y116" s="478"/>
      <c r="Z116" s="478"/>
      <c r="AA116" s="478"/>
      <c r="AB116" s="480" t="s">
        <v>112</v>
      </c>
      <c r="AC116" s="478"/>
      <c r="AD116" s="478"/>
      <c r="AE116" s="478"/>
      <c r="AF116" s="478"/>
      <c r="AG116" s="478"/>
      <c r="AH116" s="478"/>
      <c r="AI116" s="478"/>
      <c r="AJ116" s="478"/>
      <c r="AK116" s="478"/>
      <c r="AL116" s="478"/>
      <c r="AM116" s="478"/>
      <c r="AN116" s="478"/>
    </row>
    <row r="117" spans="2:40" ht="1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O117" s="478"/>
      <c r="P117" s="478"/>
      <c r="Q117" s="478"/>
      <c r="R117" s="478"/>
      <c r="S117" s="478"/>
      <c r="T117" s="478"/>
      <c r="U117" s="478"/>
      <c r="V117" s="478"/>
      <c r="W117" s="478"/>
      <c r="X117" s="478"/>
      <c r="Y117" s="478"/>
      <c r="Z117" s="478"/>
      <c r="AA117" s="478"/>
      <c r="AB117" s="480" t="s">
        <v>112</v>
      </c>
      <c r="AC117" s="478"/>
      <c r="AD117" s="478"/>
      <c r="AE117" s="478"/>
      <c r="AF117" s="478"/>
      <c r="AG117" s="478"/>
      <c r="AH117" s="478"/>
      <c r="AI117" s="478"/>
      <c r="AJ117" s="478"/>
      <c r="AK117" s="478"/>
      <c r="AL117" s="478"/>
      <c r="AM117" s="478"/>
      <c r="AN117" s="478"/>
    </row>
    <row r="118" spans="2:40" ht="1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O118" s="478"/>
      <c r="P118" s="478"/>
      <c r="Q118" s="478"/>
      <c r="R118" s="478"/>
      <c r="S118" s="478"/>
      <c r="T118" s="478"/>
      <c r="U118" s="478"/>
      <c r="V118" s="478"/>
      <c r="W118" s="478"/>
      <c r="X118" s="478"/>
      <c r="Y118" s="478"/>
      <c r="Z118" s="478"/>
      <c r="AA118" s="478"/>
      <c r="AB118" s="480" t="s">
        <v>112</v>
      </c>
      <c r="AC118" s="478"/>
      <c r="AD118" s="478"/>
      <c r="AE118" s="478"/>
      <c r="AF118" s="478"/>
      <c r="AG118" s="478"/>
      <c r="AH118" s="478"/>
      <c r="AI118" s="478"/>
      <c r="AJ118" s="478"/>
      <c r="AK118" s="478"/>
      <c r="AL118" s="478"/>
      <c r="AM118" s="478"/>
      <c r="AN118" s="478"/>
    </row>
    <row r="119" spans="2:40" ht="1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O119" s="478"/>
      <c r="P119" s="478"/>
      <c r="Q119" s="478"/>
      <c r="R119" s="478"/>
      <c r="S119" s="478"/>
      <c r="T119" s="478"/>
      <c r="U119" s="478"/>
      <c r="V119" s="478"/>
      <c r="W119" s="478"/>
      <c r="X119" s="478"/>
      <c r="Y119" s="478"/>
      <c r="Z119" s="478"/>
      <c r="AA119" s="478"/>
      <c r="AB119" s="480" t="s">
        <v>112</v>
      </c>
      <c r="AC119" s="478"/>
      <c r="AD119" s="478"/>
      <c r="AE119" s="478"/>
      <c r="AF119" s="478"/>
      <c r="AG119" s="478"/>
      <c r="AH119" s="478"/>
      <c r="AI119" s="478"/>
      <c r="AJ119" s="478"/>
      <c r="AK119" s="478"/>
      <c r="AL119" s="478"/>
      <c r="AM119" s="478"/>
      <c r="AN119" s="478"/>
    </row>
    <row r="120" spans="2:40" ht="1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</row>
    <row r="121" spans="2:40" ht="1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</row>
    <row r="122" spans="2:40" ht="1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</row>
    <row r="123" spans="2:40" ht="15" customHeight="1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</row>
    <row r="124" spans="2:40" ht="15" customHeight="1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2:40" ht="15" customHeight="1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</row>
  </sheetData>
  <sortState ref="K46:Q179">
    <sortCondition ref="K46:K179"/>
  </sortState>
  <mergeCells count="10">
    <mergeCell ref="T84:U84"/>
    <mergeCell ref="R91:S91"/>
    <mergeCell ref="U91:V91"/>
    <mergeCell ref="R92:S92"/>
    <mergeCell ref="U92:V92"/>
    <mergeCell ref="L1:M1"/>
    <mergeCell ref="T55:U55"/>
    <mergeCell ref="T56:U56"/>
    <mergeCell ref="T57:U57"/>
    <mergeCell ref="T83:U83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A101"/>
  <sheetViews>
    <sheetView zoomScaleNormal="100" workbookViewId="0"/>
  </sheetViews>
  <sheetFormatPr defaultColWidth="9.140625" defaultRowHeight="15"/>
  <cols>
    <col min="1" max="1" width="9.140625" style="21"/>
    <col min="2" max="2" width="13.7109375" style="21" customWidth="1"/>
    <col min="3" max="4" width="11.140625" style="21" customWidth="1"/>
    <col min="5" max="5" width="4.7109375" style="21" customWidth="1"/>
    <col min="6" max="6" width="11.140625" style="21" customWidth="1"/>
    <col min="7" max="7" width="8.7109375" style="21" customWidth="1"/>
    <col min="8" max="8" width="5.7109375" style="21" customWidth="1"/>
    <col min="9" max="9" width="9.7109375" style="21" customWidth="1"/>
    <col min="10" max="13" width="11.140625" style="21" customWidth="1"/>
    <col min="14" max="16" width="9.140625" style="21"/>
    <col min="17" max="17" width="10.7109375" style="21" customWidth="1"/>
    <col min="18" max="21" width="9.140625" style="21"/>
    <col min="22" max="22" width="10.7109375" style="21" customWidth="1"/>
    <col min="23" max="16384" width="9.140625" style="21"/>
  </cols>
  <sheetData>
    <row r="1" spans="1:27">
      <c r="A1" s="7">
        <v>12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1024" t="s">
        <v>24</v>
      </c>
      <c r="M1" s="1025"/>
      <c r="O1" s="1" t="s">
        <v>33</v>
      </c>
      <c r="P1" s="47" t="str">
        <f>VLOOKUP(A1,'Point Grid'!$L$8:$T$54,9,FALSE)</f>
        <v>Pricing - Werner Appendix B: Homeowners</v>
      </c>
      <c r="Q1"/>
      <c r="R1"/>
      <c r="S1"/>
      <c r="T1"/>
      <c r="U1"/>
      <c r="V1"/>
      <c r="W1"/>
      <c r="X1"/>
      <c r="Y1"/>
    </row>
    <row r="2" spans="1:27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467"/>
      <c r="P2"/>
      <c r="Q2" s="467"/>
      <c r="R2" s="467"/>
      <c r="S2" s="467"/>
      <c r="T2" s="467"/>
      <c r="U2" s="467"/>
      <c r="V2" s="467"/>
      <c r="W2" s="467"/>
      <c r="X2" s="467"/>
      <c r="Y2" s="467"/>
      <c r="Z2" s="467"/>
    </row>
    <row r="3" spans="1:27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 s="878" t="s">
        <v>99</v>
      </c>
      <c r="P3" s="62" t="s">
        <v>957</v>
      </c>
      <c r="Q3" s="879"/>
      <c r="R3" s="880" t="s">
        <v>958</v>
      </c>
      <c r="S3" s="62"/>
      <c r="T3" s="62" t="s">
        <v>959</v>
      </c>
      <c r="U3" s="62"/>
      <c r="V3" s="62" t="s">
        <v>960</v>
      </c>
      <c r="W3" s="62"/>
      <c r="X3" s="44" t="s">
        <v>34</v>
      </c>
      <c r="Y3" s="881">
        <f>S21</f>
        <v>463.75510136906007</v>
      </c>
      <c r="Z3" s="478"/>
      <c r="AA3" s="478"/>
    </row>
    <row r="4" spans="1:27">
      <c r="A4" s="9">
        <f>INDEX('Point Grid'!B:B,MATCH(A1,'Point Grid'!A:A,0))</f>
        <v>3.25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O4" s="515" t="s">
        <v>158</v>
      </c>
      <c r="P4" s="478" t="s">
        <v>957</v>
      </c>
      <c r="Q4" s="433"/>
      <c r="R4" s="882" t="s">
        <v>961</v>
      </c>
      <c r="S4" s="478"/>
      <c r="T4" s="478" t="s">
        <v>962</v>
      </c>
      <c r="U4" s="478"/>
      <c r="V4" s="478" t="s">
        <v>960</v>
      </c>
      <c r="W4" s="478"/>
      <c r="X4" s="424" t="s">
        <v>34</v>
      </c>
      <c r="Y4" s="883">
        <f>Q27</f>
        <v>156.97970000000001</v>
      </c>
      <c r="Z4" s="478"/>
      <c r="AA4" s="478"/>
    </row>
    <row r="5" spans="1:27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O5" s="884" t="s">
        <v>191</v>
      </c>
      <c r="P5" s="62" t="s">
        <v>957</v>
      </c>
      <c r="Q5" s="885"/>
      <c r="R5" s="886" t="s">
        <v>963</v>
      </c>
      <c r="S5" s="438"/>
      <c r="T5" s="62" t="s">
        <v>962</v>
      </c>
      <c r="U5" s="438"/>
      <c r="V5" s="62" t="s">
        <v>960</v>
      </c>
      <c r="W5" s="438"/>
      <c r="X5" s="44" t="s">
        <v>34</v>
      </c>
      <c r="Y5" s="887">
        <f>K17</f>
        <v>38.57</v>
      </c>
      <c r="Z5" s="148" t="s">
        <v>964</v>
      </c>
      <c r="AA5" s="425"/>
    </row>
    <row r="6" spans="1:27">
      <c r="A6" s="25" t="s">
        <v>2</v>
      </c>
      <c r="B6" s="118" t="s">
        <v>931</v>
      </c>
      <c r="C6" s="118"/>
      <c r="D6" s="118"/>
      <c r="E6" s="118"/>
      <c r="F6" s="118"/>
      <c r="G6" s="118"/>
      <c r="H6" s="118"/>
      <c r="I6" s="118"/>
      <c r="J6" s="118"/>
      <c r="K6" s="118"/>
      <c r="L6" s="151"/>
      <c r="M6" s="18"/>
      <c r="O6" s="888" t="s">
        <v>150</v>
      </c>
      <c r="P6" s="478" t="s">
        <v>957</v>
      </c>
      <c r="Q6" s="379"/>
      <c r="R6" s="129" t="s">
        <v>965</v>
      </c>
      <c r="S6" s="425"/>
      <c r="T6" s="425" t="s">
        <v>966</v>
      </c>
      <c r="U6" s="425"/>
      <c r="V6" s="478" t="s">
        <v>960</v>
      </c>
      <c r="W6" s="425"/>
      <c r="X6" s="424" t="s">
        <v>34</v>
      </c>
      <c r="Y6" s="889">
        <f>R41</f>
        <v>34.25925925925926</v>
      </c>
      <c r="Z6" s="425"/>
      <c r="AA6" s="425"/>
    </row>
    <row r="7" spans="1:27" ht="15.75" thickBot="1">
      <c r="A7" s="9">
        <f>INDEX('Point Grid'!$C$8:$I$54,MATCH($A$1,'Point Grid'!$A$8:$A$54,0),MATCH(A6,'Point Grid'!$C$7:$I$7,0))</f>
        <v>3.25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51"/>
      <c r="M7" s="18"/>
      <c r="O7" s="890" t="s">
        <v>209</v>
      </c>
      <c r="P7" s="62" t="s">
        <v>957</v>
      </c>
      <c r="Q7" s="885"/>
      <c r="R7" s="886" t="s">
        <v>967</v>
      </c>
      <c r="S7" s="438"/>
      <c r="T7" s="438" t="s">
        <v>968</v>
      </c>
      <c r="U7" s="438"/>
      <c r="V7" s="62" t="s">
        <v>960</v>
      </c>
      <c r="W7" s="438"/>
      <c r="X7" s="44" t="s">
        <v>34</v>
      </c>
      <c r="Y7" s="891">
        <f>R53</f>
        <v>78.03</v>
      </c>
      <c r="Z7" s="425"/>
      <c r="AA7" s="425"/>
    </row>
    <row r="8" spans="1:27" ht="15.75" thickBot="1">
      <c r="A8" s="5"/>
      <c r="B8" s="923" t="s">
        <v>932</v>
      </c>
      <c r="C8" s="486"/>
      <c r="D8" s="356">
        <v>2031</v>
      </c>
      <c r="E8" s="356">
        <v>1</v>
      </c>
      <c r="F8" s="357">
        <v>1</v>
      </c>
      <c r="G8" s="150"/>
      <c r="H8" s="924" t="s">
        <v>933</v>
      </c>
      <c r="I8" s="357">
        <v>12</v>
      </c>
      <c r="J8" s="150"/>
      <c r="K8" s="367">
        <v>1</v>
      </c>
      <c r="L8" s="151"/>
      <c r="M8" s="18"/>
      <c r="O8" s="425"/>
      <c r="P8" s="425"/>
      <c r="Q8" s="425"/>
      <c r="R8" s="425"/>
      <c r="S8" s="425"/>
      <c r="T8" s="425"/>
      <c r="U8" s="425"/>
      <c r="V8" s="425"/>
      <c r="W8" s="425"/>
      <c r="X8" s="877" t="s">
        <v>969</v>
      </c>
      <c r="Y8" s="892">
        <f>SUM(Y3:Y7)</f>
        <v>771.59406062831931</v>
      </c>
      <c r="Z8" s="893" t="s">
        <v>970</v>
      </c>
      <c r="AA8" s="894">
        <f>1-D11-D12</f>
        <v>0.73000000000000009</v>
      </c>
    </row>
    <row r="9" spans="1:27">
      <c r="A9" s="25"/>
      <c r="B9" s="60"/>
      <c r="C9" s="60"/>
      <c r="D9" s="925" t="s">
        <v>115</v>
      </c>
      <c r="E9" s="925" t="s">
        <v>116</v>
      </c>
      <c r="F9" s="925" t="s">
        <v>117</v>
      </c>
      <c r="G9" s="150"/>
      <c r="H9" s="150"/>
      <c r="I9" s="925" t="s">
        <v>110</v>
      </c>
      <c r="J9" s="150"/>
      <c r="K9" s="925" t="s">
        <v>934</v>
      </c>
      <c r="L9" s="151"/>
      <c r="M9" s="18"/>
      <c r="O9" s="425"/>
      <c r="P9" s="425"/>
      <c r="Q9" s="425"/>
      <c r="R9" s="425"/>
      <c r="S9" s="425"/>
      <c r="T9" s="425"/>
      <c r="U9" s="425"/>
      <c r="V9" s="425"/>
      <c r="W9" s="425"/>
      <c r="X9" s="877" t="s">
        <v>971</v>
      </c>
      <c r="Y9" s="895">
        <f>Y8/(1-D11-D12)</f>
        <v>1056.978165244273</v>
      </c>
      <c r="Z9" s="192" t="s">
        <v>972</v>
      </c>
      <c r="AA9" s="478"/>
    </row>
    <row r="10" spans="1:27">
      <c r="A10" s="25"/>
      <c r="B10" s="60"/>
      <c r="C10" s="60"/>
      <c r="D10" s="60"/>
      <c r="E10" s="60"/>
      <c r="F10" s="925"/>
      <c r="G10" s="60"/>
      <c r="H10" s="60"/>
      <c r="I10" s="60"/>
      <c r="J10" s="151"/>
      <c r="K10" s="151"/>
      <c r="L10" s="151"/>
      <c r="M10" s="18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</row>
    <row r="11" spans="1:27">
      <c r="A11" s="25"/>
      <c r="B11" s="926" t="s">
        <v>935</v>
      </c>
      <c r="C11" s="66"/>
      <c r="D11" s="168">
        <v>0.18</v>
      </c>
      <c r="E11" s="150"/>
      <c r="F11" s="150"/>
      <c r="G11" s="60"/>
      <c r="H11" s="926" t="s">
        <v>936</v>
      </c>
      <c r="I11" s="464"/>
      <c r="J11" s="66"/>
      <c r="K11" s="927">
        <v>0.34</v>
      </c>
      <c r="L11" s="151"/>
      <c r="M11" s="18"/>
      <c r="O11" s="221" t="s">
        <v>99</v>
      </c>
      <c r="P11" s="425" t="s">
        <v>973</v>
      </c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</row>
    <row r="12" spans="1:27">
      <c r="A12" s="25"/>
      <c r="B12" s="928" t="s">
        <v>937</v>
      </c>
      <c r="C12" s="383"/>
      <c r="D12" s="873">
        <v>0.09</v>
      </c>
      <c r="E12" s="60"/>
      <c r="F12" s="60"/>
      <c r="G12" s="60"/>
      <c r="H12" s="928" t="s">
        <v>938</v>
      </c>
      <c r="I12" s="929"/>
      <c r="J12" s="123"/>
      <c r="K12" s="275">
        <v>67000</v>
      </c>
      <c r="L12" s="151"/>
      <c r="M12" s="18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</row>
    <row r="13" spans="1:27">
      <c r="A13" s="25"/>
      <c r="B13" s="930" t="s">
        <v>939</v>
      </c>
      <c r="C13" s="71"/>
      <c r="D13" s="931">
        <v>75</v>
      </c>
      <c r="E13" s="932" t="s">
        <v>940</v>
      </c>
      <c r="F13" s="60"/>
      <c r="G13" s="60"/>
      <c r="H13" s="930" t="s">
        <v>941</v>
      </c>
      <c r="I13" s="933"/>
      <c r="J13" s="135"/>
      <c r="K13" s="308">
        <v>30000</v>
      </c>
      <c r="L13" s="151"/>
      <c r="M13" s="18"/>
      <c r="O13" s="864"/>
      <c r="P13" s="896" t="s">
        <v>974</v>
      </c>
      <c r="Q13" s="897"/>
      <c r="R13" s="898" t="s">
        <v>950</v>
      </c>
      <c r="S13" s="185" t="s">
        <v>950</v>
      </c>
      <c r="T13" s="425"/>
      <c r="U13" s="425"/>
      <c r="V13" s="425"/>
      <c r="W13" s="425"/>
      <c r="X13" s="425"/>
      <c r="Y13" s="425"/>
      <c r="Z13" s="425"/>
      <c r="AA13" s="425"/>
    </row>
    <row r="14" spans="1:27">
      <c r="A14" s="25"/>
      <c r="B14" s="150"/>
      <c r="C14" s="150"/>
      <c r="D14" s="150"/>
      <c r="E14" s="150"/>
      <c r="F14" s="150"/>
      <c r="G14" s="150"/>
      <c r="H14" s="932" t="s">
        <v>942</v>
      </c>
      <c r="I14" s="150"/>
      <c r="J14" s="150"/>
      <c r="K14" s="151"/>
      <c r="L14" s="151"/>
      <c r="M14" s="18"/>
      <c r="O14" s="899"/>
      <c r="P14" s="900" t="s">
        <v>975</v>
      </c>
      <c r="Q14" s="901" t="str">
        <f>"from "&amp;O20</f>
        <v>from 2029</v>
      </c>
      <c r="R14" s="902" t="s">
        <v>183</v>
      </c>
      <c r="S14" s="446" t="s">
        <v>183</v>
      </c>
      <c r="T14" s="425"/>
      <c r="U14" s="428" t="s">
        <v>976</v>
      </c>
      <c r="V14" s="101"/>
      <c r="W14" s="425"/>
      <c r="X14" s="425"/>
      <c r="Y14" s="425"/>
      <c r="Z14" s="425"/>
      <c r="AA14" s="425"/>
    </row>
    <row r="15" spans="1:27">
      <c r="A15" s="25"/>
      <c r="B15" s="934" t="s">
        <v>943</v>
      </c>
      <c r="C15" s="66"/>
      <c r="D15" s="935">
        <v>0.06</v>
      </c>
      <c r="E15" s="150"/>
      <c r="F15" s="150"/>
      <c r="G15" s="150"/>
      <c r="H15" s="932" t="s">
        <v>944</v>
      </c>
      <c r="I15" s="150"/>
      <c r="J15" s="150"/>
      <c r="K15" s="118"/>
      <c r="L15" s="151"/>
      <c r="M15" s="18"/>
      <c r="O15" s="903"/>
      <c r="P15" s="904" t="str">
        <f>"to "&amp;O20</f>
        <v>to 2029</v>
      </c>
      <c r="Q15" s="625" t="s">
        <v>977</v>
      </c>
      <c r="R15" s="554" t="s">
        <v>978</v>
      </c>
      <c r="S15" s="447" t="s">
        <v>979</v>
      </c>
      <c r="T15" s="425"/>
      <c r="U15" s="905" t="s">
        <v>980</v>
      </c>
      <c r="V15" s="438"/>
      <c r="W15" s="438"/>
      <c r="X15" s="438"/>
      <c r="Y15" s="438"/>
      <c r="Z15" s="425"/>
      <c r="AA15" s="425"/>
    </row>
    <row r="16" spans="1:27">
      <c r="A16" s="25"/>
      <c r="B16" s="936" t="s">
        <v>945</v>
      </c>
      <c r="C16" s="71"/>
      <c r="D16" s="937">
        <v>0.02</v>
      </c>
      <c r="E16" s="150"/>
      <c r="F16" s="150"/>
      <c r="G16" s="932"/>
      <c r="H16" s="150"/>
      <c r="I16" s="150"/>
      <c r="J16" s="150"/>
      <c r="K16" s="118"/>
      <c r="L16" s="151"/>
      <c r="M16" s="18"/>
      <c r="O16" s="495">
        <f>B23</f>
        <v>2025</v>
      </c>
      <c r="P16" s="95">
        <f>O20-O16</f>
        <v>4</v>
      </c>
      <c r="Q16" s="906">
        <f>D8+1-(O20+0.5)+(E8-1)/12</f>
        <v>2.5</v>
      </c>
      <c r="R16" s="95">
        <f>PRODUCT(D23:F23)*(1+D15)^P16*(1+D16)^Q16</f>
        <v>293817.73980811436</v>
      </c>
      <c r="S16" s="180">
        <f>R16/C23</f>
        <v>413.82780254663993</v>
      </c>
      <c r="T16" s="425"/>
      <c r="U16" s="425" t="str">
        <f>"= " &amp; D23 &amp; " x " &amp; E23 &amp;" x "&amp; F23 &amp; " x (" &amp; 1+D15 &amp; ")^" &amp; P16 &amp; " x (" &amp; 1+D16 &amp; ")^" &amp; Q16</f>
        <v>= 207000 x 1 x 1.07 x (1.06)^4 x (1.02)^2.5</v>
      </c>
      <c r="V16" s="425"/>
      <c r="W16" s="425"/>
      <c r="X16" s="425"/>
      <c r="Y16" s="425"/>
      <c r="Z16" s="425"/>
      <c r="AA16" s="425"/>
    </row>
    <row r="17" spans="1:27">
      <c r="A17" s="25"/>
      <c r="B17" s="938" t="s">
        <v>946</v>
      </c>
      <c r="C17" s="939"/>
      <c r="D17" s="940">
        <v>0.02</v>
      </c>
      <c r="E17" s="150"/>
      <c r="F17" s="150"/>
      <c r="G17" s="932"/>
      <c r="H17" s="941" t="s">
        <v>947</v>
      </c>
      <c r="I17" s="942"/>
      <c r="J17" s="165"/>
      <c r="K17" s="943">
        <v>38.57</v>
      </c>
      <c r="L17" s="151"/>
      <c r="M17" s="18"/>
      <c r="O17" s="495">
        <f>B24</f>
        <v>2026</v>
      </c>
      <c r="P17" s="95">
        <f>O20-O17</f>
        <v>3</v>
      </c>
      <c r="Q17" s="906">
        <f>Q16</f>
        <v>2.5</v>
      </c>
      <c r="R17" s="95">
        <f>PRODUCT(D24:F24)*(1+D15)^P17*(1+D16)^Q17</f>
        <v>394595.80515292659</v>
      </c>
      <c r="S17" s="180">
        <f>R17/C24</f>
        <v>469.7569108963412</v>
      </c>
      <c r="T17" s="425"/>
      <c r="U17" s="425" t="str">
        <f>"= " &amp; D24 &amp; " x " &amp; E24 &amp;" x "&amp; F24 &amp; " x (" &amp; 1+D15 &amp; ")^" &amp; P17 &amp; " x (" &amp; 1+D16 &amp; ")^" &amp; Q17</f>
        <v>= 278000 x 1.06 x 1.07 x (1.06)^3 x (1.02)^2.5</v>
      </c>
      <c r="V17" s="425"/>
      <c r="W17" s="425"/>
      <c r="X17" s="425"/>
      <c r="Y17" s="425"/>
      <c r="Z17" s="425"/>
      <c r="AA17" s="425"/>
    </row>
    <row r="18" spans="1:27" ht="15" customHeight="1">
      <c r="A18" s="25"/>
      <c r="B18" s="936" t="s">
        <v>948</v>
      </c>
      <c r="C18" s="135"/>
      <c r="D18" s="937">
        <v>0</v>
      </c>
      <c r="E18" s="150"/>
      <c r="F18" s="150"/>
      <c r="G18" s="150"/>
      <c r="H18" s="150"/>
      <c r="I18" s="150"/>
      <c r="J18" s="118"/>
      <c r="K18" s="944" t="s">
        <v>949</v>
      </c>
      <c r="L18" s="151"/>
      <c r="M18" s="18"/>
      <c r="O18" s="495">
        <f>B25</f>
        <v>2027</v>
      </c>
      <c r="P18" s="95">
        <f>O20-O18</f>
        <v>2</v>
      </c>
      <c r="Q18" s="906">
        <f>Q16</f>
        <v>2.5</v>
      </c>
      <c r="R18" s="95">
        <f>PRODUCT(D25:F25)*(1+D15)^P18*(1+D16)^Q18</f>
        <v>425481.72860857437</v>
      </c>
      <c r="S18" s="180">
        <f>R18/C25</f>
        <v>443.21013396726499</v>
      </c>
      <c r="T18" s="425"/>
      <c r="U18" s="425" t="str">
        <f>"= " &amp; D25 &amp; " x " &amp; E25 &amp;" x "&amp; F25 &amp; " x (" &amp; 1+D15 &amp; ")^" &amp; P18 &amp; " x (" &amp; 1+D16 &amp; ")^" &amp; Q18</f>
        <v>= 309000 x 1.09 x 1.07 x (1.06)^2 x (1.02)^2.5</v>
      </c>
      <c r="V18" s="425"/>
      <c r="W18" s="425"/>
      <c r="X18" s="425"/>
      <c r="Y18" s="425"/>
      <c r="Z18" s="425"/>
      <c r="AA18" s="425"/>
    </row>
    <row r="19" spans="1:27" ht="15" customHeight="1">
      <c r="A19" s="25"/>
      <c r="B19" s="150"/>
      <c r="C19" s="150"/>
      <c r="D19" s="150"/>
      <c r="E19" s="150"/>
      <c r="F19" s="150"/>
      <c r="G19" s="150"/>
      <c r="H19" s="150"/>
      <c r="I19" s="150"/>
      <c r="J19" s="150"/>
      <c r="K19" s="151"/>
      <c r="L19" s="151"/>
      <c r="M19" s="18"/>
      <c r="O19" s="495">
        <f>B26</f>
        <v>2028</v>
      </c>
      <c r="P19" s="95">
        <f>O20-O19</f>
        <v>1</v>
      </c>
      <c r="Q19" s="906">
        <f>Q16</f>
        <v>2.5</v>
      </c>
      <c r="R19" s="95">
        <f>PRODUCT(D26:F26)*(1+D15)^P19*(1+D16)^Q19</f>
        <v>483385.22567810409</v>
      </c>
      <c r="S19" s="180">
        <f>R19/C26</f>
        <v>473.90708399814127</v>
      </c>
      <c r="T19" s="425"/>
      <c r="U19" s="425" t="str">
        <f>"= " &amp; D26 &amp; " x " &amp; E26 &amp;" x "&amp; F26 &amp; " x (" &amp; 1+D15 &amp; ")^" &amp; P19 &amp; " x (" &amp; 1+D16 &amp; ")^" &amp; Q19</f>
        <v>= 352700 x 1.15 x 1.07 x (1.06)^1 x (1.02)^2.5</v>
      </c>
      <c r="V19" s="425"/>
      <c r="W19" s="425"/>
      <c r="X19" s="425"/>
      <c r="Y19" s="425"/>
      <c r="Z19" s="425"/>
      <c r="AA19" s="425"/>
    </row>
    <row r="20" spans="1:27" ht="15" customHeight="1">
      <c r="A20" s="25"/>
      <c r="B20" s="945"/>
      <c r="C20" s="946"/>
      <c r="D20" s="946" t="s">
        <v>950</v>
      </c>
      <c r="E20" s="947"/>
      <c r="F20" s="948"/>
      <c r="G20" s="948"/>
      <c r="H20" s="60"/>
      <c r="I20" s="150"/>
      <c r="J20" s="150"/>
      <c r="K20" s="118"/>
      <c r="L20" s="151"/>
      <c r="M20" s="18"/>
      <c r="O20" s="496">
        <f>B27</f>
        <v>2029</v>
      </c>
      <c r="P20" s="98">
        <f>O20-O20</f>
        <v>0</v>
      </c>
      <c r="Q20" s="907">
        <f>Q16</f>
        <v>2.5</v>
      </c>
      <c r="R20" s="98">
        <f>PRODUCT(D27:F27)*(1+D15)^P20*(1+D16)^Q20</f>
        <v>559519.461471866</v>
      </c>
      <c r="S20" s="181">
        <f>R20/C27</f>
        <v>518.07357543691296</v>
      </c>
      <c r="T20" s="425"/>
      <c r="U20" s="425" t="str">
        <f>"= " &amp; D27 &amp; " x " &amp; E27 &amp;" x "&amp; F27 &amp; " x (" &amp; 1+D15 &amp; ")^" &amp; P20 &amp; " x (" &amp; 1+D16 &amp; ")^" &amp; Q20</f>
        <v>= 418200 x 1.19 x 1.07 x (1.06)^0 x (1.02)^2.5</v>
      </c>
      <c r="V20" s="425"/>
      <c r="W20" s="425"/>
      <c r="X20" s="425"/>
      <c r="Y20" s="425"/>
      <c r="Z20" s="425"/>
      <c r="AA20" s="425"/>
    </row>
    <row r="21" spans="1:27" ht="15" customHeight="1">
      <c r="A21" s="22"/>
      <c r="B21" s="342"/>
      <c r="C21" s="949"/>
      <c r="D21" s="949" t="s">
        <v>951</v>
      </c>
      <c r="E21" s="841"/>
      <c r="F21" s="842" t="s">
        <v>250</v>
      </c>
      <c r="G21" s="842" t="s">
        <v>952</v>
      </c>
      <c r="H21" s="60"/>
      <c r="I21" s="150"/>
      <c r="J21" s="151"/>
      <c r="K21" s="118"/>
      <c r="L21" s="151"/>
      <c r="M21" s="18"/>
      <c r="O21" s="425"/>
      <c r="P21" s="425"/>
      <c r="Q21" s="425"/>
      <c r="R21" s="632" t="s">
        <v>981</v>
      </c>
      <c r="S21" s="908">
        <f>AVERAGE(S16:S20)</f>
        <v>463.75510136906007</v>
      </c>
      <c r="T21" s="425"/>
      <c r="U21" s="425"/>
      <c r="V21" s="425"/>
      <c r="W21" s="425"/>
      <c r="X21" s="425"/>
      <c r="Y21" s="425"/>
      <c r="Z21" s="425"/>
      <c r="AA21" s="425"/>
    </row>
    <row r="22" spans="1:27" ht="15" customHeight="1">
      <c r="A22" s="22"/>
      <c r="B22" s="343" t="s">
        <v>166</v>
      </c>
      <c r="C22" s="950" t="s">
        <v>953</v>
      </c>
      <c r="D22" s="950" t="s">
        <v>954</v>
      </c>
      <c r="E22" s="231" t="s">
        <v>129</v>
      </c>
      <c r="F22" s="368" t="s">
        <v>955</v>
      </c>
      <c r="G22" s="368" t="s">
        <v>956</v>
      </c>
      <c r="H22" s="60"/>
      <c r="I22" s="150"/>
      <c r="J22" s="151"/>
      <c r="K22" s="118"/>
      <c r="L22" s="151"/>
      <c r="M22" s="18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</row>
    <row r="23" spans="1:27" ht="15" customHeight="1">
      <c r="A23" s="22"/>
      <c r="B23" s="342">
        <v>2025</v>
      </c>
      <c r="C23" s="951">
        <v>710</v>
      </c>
      <c r="D23" s="951">
        <v>207000</v>
      </c>
      <c r="E23" s="952">
        <v>1</v>
      </c>
      <c r="F23" s="953">
        <v>1.07</v>
      </c>
      <c r="G23" s="954">
        <v>295</v>
      </c>
      <c r="H23" s="60"/>
      <c r="I23" s="150"/>
      <c r="J23" s="118"/>
      <c r="K23" s="118"/>
      <c r="L23" s="151"/>
      <c r="M23" s="18"/>
      <c r="O23" s="210" t="s">
        <v>158</v>
      </c>
      <c r="P23" s="425" t="s">
        <v>982</v>
      </c>
      <c r="Q23" s="425"/>
      <c r="R23" s="425"/>
      <c r="S23" s="425"/>
      <c r="T23" s="425"/>
      <c r="U23" s="425"/>
      <c r="V23" s="478"/>
      <c r="W23" s="478"/>
      <c r="X23" s="478"/>
      <c r="Y23" s="478"/>
      <c r="Z23" s="478"/>
      <c r="AA23" s="478"/>
    </row>
    <row r="24" spans="1:27" ht="15" customHeight="1">
      <c r="A24" s="22"/>
      <c r="B24" s="342">
        <v>2026</v>
      </c>
      <c r="C24" s="951">
        <v>840</v>
      </c>
      <c r="D24" s="951">
        <v>278000</v>
      </c>
      <c r="E24" s="952">
        <v>1.06</v>
      </c>
      <c r="F24" s="953">
        <v>1.07</v>
      </c>
      <c r="G24" s="954">
        <v>313</v>
      </c>
      <c r="H24" s="60"/>
      <c r="I24" s="60"/>
      <c r="J24" s="118"/>
      <c r="K24" s="118"/>
      <c r="L24" s="151"/>
      <c r="M24" s="18"/>
      <c r="O24" s="425"/>
      <c r="P24" s="425"/>
      <c r="Q24" s="425"/>
      <c r="R24" s="425"/>
      <c r="S24" s="425"/>
      <c r="T24" s="425"/>
      <c r="U24" s="425"/>
      <c r="V24" s="478"/>
      <c r="W24" s="478"/>
      <c r="X24" s="478"/>
      <c r="Y24" s="478"/>
      <c r="Z24" s="478"/>
      <c r="AA24" s="478"/>
    </row>
    <row r="25" spans="1:27" ht="15" customHeight="1">
      <c r="A25" s="22"/>
      <c r="B25" s="342">
        <v>2027</v>
      </c>
      <c r="C25" s="951">
        <v>960</v>
      </c>
      <c r="D25" s="951">
        <v>309000</v>
      </c>
      <c r="E25" s="952">
        <v>1.0900000000000001</v>
      </c>
      <c r="F25" s="953">
        <v>1.07</v>
      </c>
      <c r="G25" s="954">
        <v>332</v>
      </c>
      <c r="H25" s="60"/>
      <c r="I25" s="150"/>
      <c r="J25" s="150"/>
      <c r="K25" s="150"/>
      <c r="L25" s="151"/>
      <c r="M25" s="18"/>
      <c r="O25" s="425"/>
      <c r="P25" s="480" t="s">
        <v>34</v>
      </c>
      <c r="Q25" s="425" t="s">
        <v>983</v>
      </c>
      <c r="R25" s="425"/>
      <c r="S25" s="480" t="s">
        <v>148</v>
      </c>
      <c r="T25" s="425" t="s">
        <v>984</v>
      </c>
      <c r="U25" s="480" t="s">
        <v>148</v>
      </c>
      <c r="V25" s="425" t="s">
        <v>985</v>
      </c>
      <c r="W25" s="478"/>
      <c r="X25" s="478"/>
      <c r="Y25" s="478"/>
      <c r="Z25" s="478"/>
      <c r="AA25" s="478"/>
    </row>
    <row r="26" spans="1:27" ht="15" customHeight="1">
      <c r="A26" s="22"/>
      <c r="B26" s="342">
        <v>2028</v>
      </c>
      <c r="C26" s="951">
        <v>1020</v>
      </c>
      <c r="D26" s="951">
        <v>352700</v>
      </c>
      <c r="E26" s="952">
        <v>1.1499999999999999</v>
      </c>
      <c r="F26" s="953">
        <v>1.07</v>
      </c>
      <c r="G26" s="954">
        <v>352</v>
      </c>
      <c r="H26" s="60"/>
      <c r="I26" s="150"/>
      <c r="J26" s="150"/>
      <c r="K26" s="150"/>
      <c r="L26" s="151"/>
      <c r="M26" s="18"/>
      <c r="O26" s="425"/>
      <c r="P26" s="480" t="s">
        <v>34</v>
      </c>
      <c r="Q26" s="909">
        <f>K11</f>
        <v>0.34</v>
      </c>
      <c r="R26" s="425"/>
      <c r="S26" s="480" t="s">
        <v>148</v>
      </c>
      <c r="T26" s="910">
        <f>Z35</f>
        <v>431.5</v>
      </c>
      <c r="U26" s="480" t="s">
        <v>148</v>
      </c>
      <c r="V26" s="911">
        <f>F23</f>
        <v>1.07</v>
      </c>
      <c r="W26" s="478"/>
      <c r="X26" s="478"/>
      <c r="Y26" s="478"/>
      <c r="Z26" s="478"/>
      <c r="AA26" s="478"/>
    </row>
    <row r="27" spans="1:27" ht="15" customHeight="1">
      <c r="A27" s="22"/>
      <c r="B27" s="342">
        <v>2029</v>
      </c>
      <c r="C27" s="951">
        <v>1080</v>
      </c>
      <c r="D27" s="951">
        <v>418200</v>
      </c>
      <c r="E27" s="952">
        <v>1.19</v>
      </c>
      <c r="F27" s="953">
        <v>1.07</v>
      </c>
      <c r="G27" s="954">
        <v>373</v>
      </c>
      <c r="H27" s="60"/>
      <c r="I27" s="150"/>
      <c r="J27" s="150"/>
      <c r="K27" s="150"/>
      <c r="L27" s="151"/>
      <c r="M27" s="18"/>
      <c r="O27" s="425"/>
      <c r="P27" s="480" t="s">
        <v>34</v>
      </c>
      <c r="Q27" s="912">
        <f>Q26*T26*V26</f>
        <v>156.97970000000001</v>
      </c>
      <c r="R27" s="192" t="s">
        <v>986</v>
      </c>
      <c r="S27" s="425"/>
      <c r="T27" s="425"/>
      <c r="U27" s="425"/>
      <c r="V27" s="478"/>
      <c r="W27" s="478"/>
      <c r="X27" s="478"/>
      <c r="Y27" s="478"/>
      <c r="Z27" s="478"/>
      <c r="AA27" s="478"/>
    </row>
    <row r="28" spans="1:27" ht="15" customHeight="1">
      <c r="A28" s="22"/>
      <c r="B28" s="342">
        <v>2030</v>
      </c>
      <c r="C28" s="951"/>
      <c r="D28" s="949"/>
      <c r="E28" s="929"/>
      <c r="F28" s="383"/>
      <c r="G28" s="954">
        <v>395</v>
      </c>
      <c r="H28" s="60"/>
      <c r="I28" s="60"/>
      <c r="J28" s="118"/>
      <c r="K28" s="118"/>
      <c r="L28" s="151"/>
      <c r="M28" s="18"/>
      <c r="O28" s="425"/>
      <c r="P28" s="425"/>
      <c r="Q28" s="425"/>
      <c r="R28" s="425"/>
      <c r="S28" s="425"/>
      <c r="T28" s="425"/>
      <c r="U28" s="425"/>
      <c r="V28" s="478"/>
      <c r="W28" s="478"/>
      <c r="X28" s="478"/>
      <c r="Y28" s="478"/>
      <c r="Z28" s="478"/>
      <c r="AA28" s="478"/>
    </row>
    <row r="29" spans="1:27" ht="15" customHeight="1">
      <c r="A29" s="22"/>
      <c r="B29" s="342">
        <v>2031</v>
      </c>
      <c r="C29" s="951"/>
      <c r="D29" s="949"/>
      <c r="E29" s="929"/>
      <c r="F29" s="383"/>
      <c r="G29" s="955">
        <v>419</v>
      </c>
      <c r="H29" s="60"/>
      <c r="I29" s="60"/>
      <c r="J29" s="118"/>
      <c r="K29" s="118"/>
      <c r="L29" s="151"/>
      <c r="M29" s="18"/>
      <c r="O29" s="425"/>
      <c r="P29" s="426" t="s">
        <v>987</v>
      </c>
      <c r="Q29" s="425"/>
      <c r="R29" s="425"/>
      <c r="S29" s="425"/>
      <c r="T29" s="425"/>
      <c r="U29" s="425"/>
      <c r="V29" s="62"/>
      <c r="W29" s="913" t="s">
        <v>988</v>
      </c>
      <c r="X29" s="98" t="s">
        <v>34</v>
      </c>
      <c r="Y29" s="438" t="str">
        <f>D8+1&amp;" - " &amp; RIGHT("0"&amp;E8,2) &amp; " - " &amp; RIGHT("0"&amp;F8,2)</f>
        <v>2032 - 01 - 01</v>
      </c>
      <c r="Z29" s="438"/>
      <c r="AA29" s="425"/>
    </row>
    <row r="30" spans="1:27" ht="15" customHeight="1">
      <c r="A30" s="22"/>
      <c r="B30" s="343">
        <v>2032</v>
      </c>
      <c r="C30" s="646"/>
      <c r="D30" s="950"/>
      <c r="E30" s="933"/>
      <c r="F30" s="71"/>
      <c r="G30" s="956">
        <v>444</v>
      </c>
      <c r="H30" s="60"/>
      <c r="I30" s="60"/>
      <c r="J30" s="118"/>
      <c r="K30" s="118"/>
      <c r="L30" s="151"/>
      <c r="M30" s="18"/>
      <c r="O30" s="425"/>
      <c r="P30" s="240" t="s">
        <v>989</v>
      </c>
      <c r="Q30" s="425"/>
      <c r="R30" s="425"/>
      <c r="S30" s="425"/>
      <c r="T30" s="425"/>
      <c r="U30" s="425"/>
      <c r="V30" s="478"/>
      <c r="W30" s="138" t="str">
        <f>"AAD("&amp;B29&amp;")"</f>
        <v>AAD(2031)</v>
      </c>
      <c r="X30" s="480" t="s">
        <v>34</v>
      </c>
      <c r="Y30" s="425" t="str">
        <f>B29&amp;" - 07 - 01"</f>
        <v>2031 - 07 - 01</v>
      </c>
      <c r="Z30" s="425"/>
      <c r="AA30" s="425"/>
    </row>
    <row r="31" spans="1:27" ht="15" customHeight="1">
      <c r="A31" s="22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  <c r="O31" s="425"/>
      <c r="P31" s="240" t="s">
        <v>990</v>
      </c>
      <c r="Q31" s="478"/>
      <c r="R31" s="478"/>
      <c r="S31" s="478"/>
      <c r="T31" s="478"/>
      <c r="U31" s="425"/>
      <c r="V31" s="478"/>
      <c r="W31" s="138" t="str">
        <f>"AAD("&amp;B30&amp;")"</f>
        <v>AAD(2032)</v>
      </c>
      <c r="X31" s="480" t="s">
        <v>34</v>
      </c>
      <c r="Y31" s="425" t="str">
        <f>B30&amp;" - 07 - 01"</f>
        <v>2032 - 07 - 01</v>
      </c>
      <c r="Z31" s="425"/>
      <c r="AA31" s="425"/>
    </row>
    <row r="32" spans="1:27" ht="15" customHeight="1">
      <c r="A32" s="22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  <c r="O32" s="425"/>
      <c r="P32" s="148" t="s">
        <v>991</v>
      </c>
      <c r="Q32" s="478"/>
      <c r="R32" s="478"/>
      <c r="S32" s="478"/>
      <c r="T32" s="478"/>
      <c r="U32" s="425"/>
      <c r="V32" s="478"/>
      <c r="W32" s="478"/>
      <c r="X32" s="478"/>
      <c r="Y32" s="478"/>
      <c r="Z32" s="478"/>
      <c r="AA32" s="425"/>
    </row>
    <row r="33" spans="1:27" ht="15" customHeight="1">
      <c r="A33" s="22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O33" s="425"/>
      <c r="P33" s="148" t="str">
        <f>"CY "&amp;B29&amp;" and CY "&amp;B30&amp;" where the weight given to "&amp;"CY "&amp;B29&amp;" is:"</f>
        <v>CY 2031 and CY 2032 where the weight given to CY 2031 is:</v>
      </c>
      <c r="Q33" s="478"/>
      <c r="R33" s="478"/>
      <c r="S33" s="478"/>
      <c r="T33" s="478"/>
      <c r="U33" s="425"/>
      <c r="V33" s="914">
        <f>IF(E8=7,0,IF(E8=4,0.25,0.5))</f>
        <v>0.5</v>
      </c>
      <c r="W33" s="478"/>
      <c r="X33" s="478"/>
      <c r="Y33" s="478"/>
      <c r="Z33" s="478"/>
      <c r="AA33" s="425"/>
    </row>
    <row r="34" spans="1:27" ht="15" customHeight="1">
      <c r="A34" s="22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  <c r="O34" s="425"/>
      <c r="P34" s="478"/>
      <c r="Q34" s="425"/>
      <c r="R34" s="425"/>
      <c r="S34" s="425"/>
      <c r="T34" s="425"/>
      <c r="U34" s="425"/>
      <c r="V34" s="478"/>
      <c r="W34" s="425"/>
      <c r="X34" s="425"/>
      <c r="Y34" s="425"/>
      <c r="Z34" s="425"/>
      <c r="AA34" s="425"/>
    </row>
    <row r="35" spans="1:27" ht="15" customHeight="1">
      <c r="A35" s="22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  <c r="O35" s="425"/>
      <c r="P35" s="478" t="s">
        <v>984</v>
      </c>
      <c r="Q35" s="424" t="s">
        <v>34</v>
      </c>
      <c r="R35" s="915">
        <f>V33</f>
        <v>0.5</v>
      </c>
      <c r="S35" s="424" t="s">
        <v>148</v>
      </c>
      <c r="T35" s="916">
        <f>G29</f>
        <v>419</v>
      </c>
      <c r="U35" s="424" t="s">
        <v>35</v>
      </c>
      <c r="V35" s="133">
        <f>1-V33</f>
        <v>0.5</v>
      </c>
      <c r="W35" s="480" t="s">
        <v>148</v>
      </c>
      <c r="X35" s="289">
        <f>G30</f>
        <v>444</v>
      </c>
      <c r="Y35" s="480" t="s">
        <v>34</v>
      </c>
      <c r="Z35" s="917">
        <f>R35*T35+V35*X35</f>
        <v>431.5</v>
      </c>
      <c r="AA35" s="425"/>
    </row>
    <row r="36" spans="1:27" ht="15" customHeight="1">
      <c r="A36" s="22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/>
      <c r="O36" s="425"/>
      <c r="P36" s="478"/>
      <c r="Q36" s="478"/>
      <c r="R36" s="478"/>
      <c r="S36" s="478"/>
      <c r="T36" s="478"/>
      <c r="U36" s="478"/>
      <c r="V36" s="478"/>
      <c r="W36" s="425"/>
      <c r="X36" s="425"/>
      <c r="Y36" s="425"/>
      <c r="Z36" s="425"/>
      <c r="AA36" s="425"/>
    </row>
    <row r="37" spans="1:27" ht="15" customHeight="1" thickBot="1">
      <c r="A37" s="24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  <c r="O37" s="918" t="s">
        <v>150</v>
      </c>
      <c r="P37" s="478" t="str">
        <f>" calculate the net reinsurance cost per exposure (assume no exposure trend so use exposures from "&amp;B27&amp;")"</f>
        <v xml:space="preserve"> calculate the net reinsurance cost per exposure (assume no exposure trend so use exposures from 2029)</v>
      </c>
      <c r="Q37" s="478"/>
      <c r="R37" s="478"/>
      <c r="S37" s="478"/>
      <c r="T37" s="478"/>
      <c r="U37" s="478"/>
      <c r="V37" s="425"/>
      <c r="W37" s="425"/>
      <c r="X37" s="425"/>
      <c r="Y37" s="425"/>
      <c r="Z37" s="425"/>
      <c r="AA37" s="425"/>
    </row>
    <row r="38" spans="1:27" ht="1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O38" s="425"/>
      <c r="P38" s="425"/>
      <c r="Q38" s="425"/>
      <c r="R38" s="425"/>
      <c r="S38" s="425"/>
      <c r="T38" s="425"/>
      <c r="U38" s="425"/>
      <c r="V38" s="425"/>
      <c r="W38" s="425"/>
      <c r="X38" s="425"/>
      <c r="Y38" s="425"/>
      <c r="Z38" s="425"/>
      <c r="AA38" s="425"/>
    </row>
    <row r="39" spans="1:27" ht="15" customHeight="1">
      <c r="O39" s="425"/>
      <c r="P39" s="425" t="s">
        <v>992</v>
      </c>
      <c r="Q39" s="480" t="s">
        <v>34</v>
      </c>
      <c r="R39" s="425" t="str">
        <f>"(" &amp;H12</f>
        <v>(2029 reinsurance cost</v>
      </c>
      <c r="S39" s="425"/>
      <c r="T39" s="425"/>
      <c r="U39" s="480" t="s">
        <v>104</v>
      </c>
      <c r="V39" s="425" t="str">
        <f>H13&amp;")"</f>
        <v>2029 reinsurance recoveries)</v>
      </c>
      <c r="W39" s="425"/>
      <c r="X39" s="425"/>
      <c r="Y39" s="131" t="s">
        <v>36</v>
      </c>
      <c r="Z39" s="425" t="str">
        <f>"EE for CY " &amp;B27</f>
        <v>EE for CY 2029</v>
      </c>
      <c r="AA39" s="425"/>
    </row>
    <row r="40" spans="1:27" ht="15" customHeight="1">
      <c r="O40" s="425"/>
      <c r="P40" s="425"/>
      <c r="Q40" s="480" t="s">
        <v>34</v>
      </c>
      <c r="R40" s="129" t="s">
        <v>993</v>
      </c>
      <c r="S40" s="425">
        <f>K12</f>
        <v>67000</v>
      </c>
      <c r="T40" s="425"/>
      <c r="U40" s="480" t="s">
        <v>104</v>
      </c>
      <c r="V40" s="129">
        <f>K13</f>
        <v>30000</v>
      </c>
      <c r="W40" s="480"/>
      <c r="X40" s="480" t="s">
        <v>153</v>
      </c>
      <c r="Y40" s="131" t="s">
        <v>36</v>
      </c>
      <c r="Z40" s="425">
        <f>C27</f>
        <v>1080</v>
      </c>
      <c r="AA40" s="425"/>
    </row>
    <row r="41" spans="1:27" ht="15" customHeight="1">
      <c r="O41" s="425"/>
      <c r="P41" s="425"/>
      <c r="Q41" s="480" t="s">
        <v>34</v>
      </c>
      <c r="R41" s="919">
        <f>(S40-V40)/Z40</f>
        <v>34.25925925925926</v>
      </c>
      <c r="S41" s="192" t="s">
        <v>994</v>
      </c>
      <c r="T41" s="425"/>
      <c r="U41" s="425"/>
      <c r="V41" s="425"/>
      <c r="W41" s="425"/>
      <c r="X41" s="425"/>
      <c r="Y41" s="425"/>
      <c r="Z41" s="425"/>
      <c r="AA41" s="425"/>
    </row>
    <row r="42" spans="1:27" ht="15" customHeight="1">
      <c r="O42" s="425"/>
      <c r="P42" s="425"/>
      <c r="Q42" s="425"/>
      <c r="R42" s="425"/>
      <c r="S42" s="425"/>
      <c r="T42" s="425"/>
      <c r="U42" s="425"/>
      <c r="V42" s="425"/>
      <c r="W42" s="425"/>
      <c r="X42" s="425"/>
      <c r="Y42" s="425"/>
      <c r="Z42" s="425"/>
      <c r="AA42" s="425"/>
    </row>
    <row r="43" spans="1:27" ht="15" customHeight="1">
      <c r="O43" s="800" t="s">
        <v>209</v>
      </c>
      <c r="P43" s="425" t="s">
        <v>995</v>
      </c>
      <c r="Q43" s="425"/>
      <c r="R43" s="425"/>
      <c r="S43" s="425"/>
      <c r="T43" s="425"/>
      <c r="U43" s="425"/>
      <c r="V43" s="425"/>
      <c r="W43" s="425"/>
      <c r="X43" s="425"/>
      <c r="Y43" s="425"/>
      <c r="Z43" s="425"/>
      <c r="AA43" s="425"/>
    </row>
    <row r="44" spans="1:27" ht="15" customHeight="1">
      <c r="O44" s="425"/>
      <c r="P44" s="425"/>
      <c r="Q44" s="425"/>
      <c r="R44" s="425"/>
      <c r="S44" s="425"/>
      <c r="T44" s="425"/>
      <c r="U44" s="425"/>
      <c r="V44" s="425"/>
      <c r="W44" s="425"/>
      <c r="X44" s="425"/>
      <c r="Y44" s="425"/>
      <c r="Z44" s="425"/>
      <c r="AA44" s="425"/>
    </row>
    <row r="45" spans="1:27" ht="15" customHeight="1">
      <c r="O45" s="425"/>
      <c r="P45" s="138" t="str">
        <f>"AWD("&amp;B27&amp;")"</f>
        <v>AWD(2029)</v>
      </c>
      <c r="Q45" s="480" t="s">
        <v>34</v>
      </c>
      <c r="R45" s="425" t="str">
        <f>B27&amp;" - 07 - 01"</f>
        <v>2029 - 07 - 01</v>
      </c>
      <c r="S45" s="425"/>
      <c r="T45" s="425"/>
      <c r="U45" s="425"/>
      <c r="V45" s="425"/>
      <c r="W45" s="425"/>
      <c r="X45" s="425"/>
      <c r="Y45" s="425"/>
      <c r="Z45" s="425"/>
      <c r="AA45" s="425"/>
    </row>
    <row r="46" spans="1:27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O46" s="425"/>
      <c r="P46" s="138" t="s">
        <v>996</v>
      </c>
      <c r="Q46" s="480" t="s">
        <v>34</v>
      </c>
      <c r="R46" s="425" t="str">
        <f>IF(OR(E8=1,E8=4),D8,D8+1) &amp; " - " &amp; RIGHT("0"&amp;IF(OR(E8=1,E8=4),E8+6,E8-6),2) &amp; " - 01"</f>
        <v>2031 - 07 - 01</v>
      </c>
      <c r="S46" s="425"/>
      <c r="T46" s="425"/>
      <c r="U46" s="425"/>
      <c r="V46" s="425"/>
      <c r="W46" s="425"/>
      <c r="X46" s="425"/>
      <c r="Y46" s="425"/>
      <c r="Z46" s="425"/>
      <c r="AA46" s="425"/>
    </row>
    <row r="47" spans="1:27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25"/>
      <c r="AA47" s="425"/>
    </row>
    <row r="48" spans="1:27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O48" s="425"/>
      <c r="P48" s="138" t="s">
        <v>453</v>
      </c>
      <c r="Q48" s="480" t="s">
        <v>34</v>
      </c>
      <c r="R48" s="133">
        <f>(R58-R57)/12</f>
        <v>2</v>
      </c>
      <c r="S48" s="425"/>
      <c r="T48" s="425"/>
      <c r="U48" s="425"/>
      <c r="V48" s="425"/>
      <c r="W48" s="425"/>
      <c r="X48" s="425"/>
      <c r="Y48" s="425"/>
      <c r="Z48" s="425"/>
      <c r="AA48" s="425"/>
    </row>
    <row r="49" spans="2:27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O49" s="425"/>
      <c r="P49" s="425"/>
      <c r="Q49" s="425"/>
      <c r="R49" s="425"/>
      <c r="S49" s="425"/>
      <c r="T49" s="425"/>
      <c r="U49" s="425"/>
      <c r="V49" s="425"/>
      <c r="W49" s="425"/>
      <c r="X49" s="425"/>
      <c r="Y49" s="425"/>
      <c r="Z49" s="425"/>
      <c r="AA49" s="425"/>
    </row>
    <row r="50" spans="2:27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O50" s="425"/>
      <c r="P50" s="425" t="s">
        <v>997</v>
      </c>
      <c r="Q50" s="425"/>
      <c r="R50" s="425"/>
      <c r="S50" s="425"/>
      <c r="T50" s="425"/>
      <c r="U50" s="425"/>
      <c r="V50" s="425"/>
      <c r="W50" s="425"/>
      <c r="X50" s="425"/>
      <c r="Y50" s="425"/>
      <c r="Z50" s="425"/>
      <c r="AA50" s="425"/>
    </row>
    <row r="51" spans="2:27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O51" s="425"/>
      <c r="P51" s="425"/>
      <c r="Q51" s="480" t="s">
        <v>34</v>
      </c>
      <c r="R51" s="425" t="str">
        <f>"E(F) through " &amp;B27</f>
        <v>E(F) through 2029</v>
      </c>
      <c r="S51" s="425"/>
      <c r="T51" s="480" t="s">
        <v>148</v>
      </c>
      <c r="U51" s="101" t="s">
        <v>998</v>
      </c>
      <c r="V51" s="425"/>
      <c r="W51" s="425"/>
      <c r="X51" s="425"/>
      <c r="Y51" s="425"/>
      <c r="Z51" s="425"/>
      <c r="AA51" s="425"/>
    </row>
    <row r="52" spans="2:27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O52" s="425"/>
      <c r="P52" s="425"/>
      <c r="Q52" s="480" t="s">
        <v>34</v>
      </c>
      <c r="R52" s="920">
        <f>D13</f>
        <v>75</v>
      </c>
      <c r="S52" s="425"/>
      <c r="T52" s="480" t="s">
        <v>148</v>
      </c>
      <c r="U52" s="425" t="str">
        <f>"("&amp;1+D17&amp;") ^ "&amp;ROUND(R48,2)</f>
        <v>(1.02) ^ 2</v>
      </c>
      <c r="V52" s="425"/>
      <c r="W52" s="425"/>
      <c r="X52" s="425"/>
      <c r="Y52" s="425"/>
      <c r="Z52" s="425"/>
      <c r="AA52" s="425"/>
    </row>
    <row r="53" spans="2:27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O53" s="425"/>
      <c r="P53" s="425"/>
      <c r="Q53" s="480" t="s">
        <v>34</v>
      </c>
      <c r="R53" s="921">
        <f>R52*(1+D17)^R48</f>
        <v>78.03</v>
      </c>
      <c r="S53" s="192" t="s">
        <v>999</v>
      </c>
      <c r="T53" s="425"/>
      <c r="U53" s="425"/>
      <c r="V53" s="425"/>
      <c r="W53" s="425"/>
      <c r="X53" s="425"/>
      <c r="Y53" s="425"/>
      <c r="Z53" s="425"/>
      <c r="AA53" s="425"/>
    </row>
    <row r="54" spans="2:27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</row>
    <row r="55" spans="2:27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O55" s="922" t="s">
        <v>1000</v>
      </c>
      <c r="P55" s="922"/>
      <c r="Q55" s="922"/>
      <c r="R55" s="922"/>
      <c r="S55" s="922"/>
      <c r="T55" s="922"/>
      <c r="U55" s="922"/>
      <c r="V55" s="922"/>
      <c r="W55" s="922"/>
      <c r="X55" s="922"/>
      <c r="Y55" s="922"/>
      <c r="Z55" s="922"/>
      <c r="AA55" s="922"/>
    </row>
    <row r="56" spans="2:27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O56" s="425"/>
      <c r="P56" s="478"/>
      <c r="Q56" s="478"/>
      <c r="R56" s="424" t="s">
        <v>1001</v>
      </c>
      <c r="S56" s="425"/>
      <c r="T56" s="425"/>
      <c r="U56" s="425"/>
      <c r="V56" s="425"/>
      <c r="W56" s="425"/>
      <c r="X56" s="425"/>
      <c r="Y56" s="425"/>
      <c r="Z56" s="425"/>
      <c r="AA56" s="425"/>
    </row>
    <row r="57" spans="2:27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O57" s="480" t="str">
        <f>LEFT(B27,4)</f>
        <v>2029</v>
      </c>
      <c r="P57" s="427" t="s">
        <v>119</v>
      </c>
      <c r="Q57" s="424">
        <v>1</v>
      </c>
      <c r="R57" s="424">
        <f>O57*12+P57</f>
        <v>24355</v>
      </c>
      <c r="S57" s="425"/>
      <c r="T57" s="425"/>
      <c r="U57" s="425"/>
      <c r="V57" s="425"/>
      <c r="W57" s="425"/>
      <c r="X57" s="425"/>
      <c r="Y57" s="425"/>
      <c r="Z57" s="425"/>
      <c r="AA57" s="425"/>
    </row>
    <row r="58" spans="2:27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O58" s="480" t="str">
        <f>LEFT(D8,4)</f>
        <v>2031</v>
      </c>
      <c r="P58" s="424" t="str">
        <f>MID(R46,8,2)</f>
        <v>07</v>
      </c>
      <c r="Q58" s="424">
        <v>1</v>
      </c>
      <c r="R58" s="424">
        <f>O58*12+P58</f>
        <v>24379</v>
      </c>
      <c r="S58" s="425"/>
      <c r="T58" s="425"/>
      <c r="U58" s="425"/>
      <c r="V58" s="425"/>
      <c r="W58" s="425"/>
      <c r="X58" s="425"/>
      <c r="Y58" s="425"/>
      <c r="Z58" s="425"/>
      <c r="AA58" s="425"/>
    </row>
    <row r="59" spans="2:27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27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</row>
    <row r="61" spans="2:27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O61" s="467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 s="467"/>
    </row>
    <row r="62" spans="2:27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</row>
    <row r="63" spans="2:27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O63" s="467"/>
      <c r="P63" s="467"/>
      <c r="Q63" s="467"/>
      <c r="R63" s="467"/>
      <c r="S63" s="467"/>
      <c r="T63" s="467"/>
      <c r="U63" s="467"/>
      <c r="V63" s="467"/>
      <c r="W63" s="467"/>
      <c r="X63" s="467"/>
      <c r="Y63" s="467"/>
      <c r="Z63" s="467"/>
    </row>
    <row r="64" spans="2:27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O64" s="467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 s="467"/>
    </row>
    <row r="65" spans="2:26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O65" s="467"/>
      <c r="P65" s="467"/>
      <c r="Q65" s="467"/>
      <c r="R65" s="467"/>
      <c r="S65" s="467"/>
      <c r="T65" s="467"/>
      <c r="U65" s="467"/>
      <c r="V65" s="467"/>
      <c r="W65" s="467"/>
      <c r="X65" s="467"/>
      <c r="Y65" s="467"/>
      <c r="Z65" s="467"/>
    </row>
    <row r="66" spans="2:26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467"/>
      <c r="P66" s="467"/>
      <c r="Q66" s="467"/>
      <c r="R66" s="467"/>
      <c r="S66" s="467"/>
      <c r="T66" s="467"/>
      <c r="U66" s="467"/>
      <c r="V66" s="467"/>
      <c r="W66" s="467"/>
      <c r="X66" s="467"/>
      <c r="Y66" s="467"/>
      <c r="Z66" s="467"/>
    </row>
    <row r="67" spans="2:26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467"/>
      <c r="P67" s="467"/>
      <c r="Q67" s="467"/>
      <c r="R67" s="467"/>
      <c r="S67" s="467"/>
      <c r="T67" s="467"/>
      <c r="U67" s="467"/>
      <c r="V67" s="467"/>
      <c r="W67" s="467"/>
      <c r="X67" s="467"/>
      <c r="Y67" s="467"/>
      <c r="Z67" s="467"/>
    </row>
    <row r="68" spans="2:26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467"/>
      <c r="P68" s="467"/>
      <c r="Q68" s="467"/>
      <c r="R68" s="467"/>
      <c r="S68" s="467"/>
      <c r="T68" s="467"/>
      <c r="U68" s="467"/>
      <c r="V68" s="467"/>
      <c r="W68" s="467"/>
      <c r="X68" s="467"/>
      <c r="Y68" s="467"/>
      <c r="Z68" s="467"/>
    </row>
    <row r="69" spans="2:26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467"/>
      <c r="P69" s="467"/>
      <c r="Q69" s="467"/>
      <c r="R69" s="467"/>
      <c r="S69" s="467"/>
      <c r="T69" s="467"/>
      <c r="U69" s="467"/>
      <c r="V69" s="467"/>
      <c r="W69" s="467"/>
      <c r="X69" s="467"/>
      <c r="Y69" s="467"/>
      <c r="Z69" s="467"/>
    </row>
    <row r="70" spans="2:26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26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26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26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26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26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26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26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26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26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26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</sheetData>
  <mergeCells count="1">
    <mergeCell ref="L1:M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E93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3" width="16" style="21" customWidth="1"/>
    <col min="4" max="6" width="8.7109375" style="21" customWidth="1"/>
    <col min="7" max="7" width="2.7109375" style="21" customWidth="1"/>
    <col min="8" max="12" width="11.140625" style="21" customWidth="1"/>
    <col min="13" max="16384" width="9.140625" style="21"/>
  </cols>
  <sheetData>
    <row r="1" spans="1:31">
      <c r="A1" s="7">
        <v>13</v>
      </c>
      <c r="B1" s="26" t="s">
        <v>12</v>
      </c>
      <c r="C1" s="26"/>
      <c r="D1" s="20"/>
      <c r="E1" s="20"/>
      <c r="F1" s="20"/>
      <c r="G1" s="20"/>
      <c r="H1" s="20"/>
      <c r="I1" s="20"/>
      <c r="J1" s="20"/>
      <c r="K1" s="1024" t="s">
        <v>24</v>
      </c>
      <c r="L1" s="1025"/>
      <c r="N1" s="1" t="s">
        <v>33</v>
      </c>
      <c r="O1" s="47" t="str">
        <f>VLOOKUP(A1,'Point Grid'!$L$8:$T$54,9,FALSE)</f>
        <v>Pricing - Chap 9: Risk Classification</v>
      </c>
      <c r="P1"/>
      <c r="Q1"/>
      <c r="R1"/>
      <c r="S1"/>
      <c r="T1"/>
      <c r="U1"/>
      <c r="V1"/>
      <c r="W1"/>
      <c r="X1"/>
    </row>
    <row r="2" spans="1:31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N2" s="1"/>
      <c r="O2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</row>
    <row r="3" spans="1:31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30"/>
      <c r="N3" s="42" t="s">
        <v>2</v>
      </c>
      <c r="O3" s="467" t="s">
        <v>533</v>
      </c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</row>
    <row r="4" spans="1:31">
      <c r="A4" s="9">
        <f>INDEX('Point Grid'!B:B,MATCH(A1,'Point Grid'!A:A,0))</f>
        <v>3.75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30"/>
      <c r="N4" s="42"/>
      <c r="O4" s="21" t="s">
        <v>534</v>
      </c>
      <c r="AB4" s="467"/>
      <c r="AC4" s="467"/>
      <c r="AD4" s="467"/>
      <c r="AE4" s="467"/>
    </row>
    <row r="5" spans="1:3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30"/>
      <c r="N5" s="42"/>
      <c r="AB5" s="467"/>
      <c r="AC5" s="467"/>
      <c r="AD5" s="467"/>
      <c r="AE5" s="467"/>
    </row>
    <row r="6" spans="1:31">
      <c r="A6" s="25" t="s">
        <v>2</v>
      </c>
      <c r="B6" s="17" t="s">
        <v>496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30"/>
      <c r="N6" s="42"/>
      <c r="O6" s="128" t="s">
        <v>99</v>
      </c>
      <c r="P6" s="478" t="s">
        <v>513</v>
      </c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67"/>
      <c r="AC6" s="467"/>
      <c r="AD6" s="467"/>
      <c r="AE6" s="467"/>
    </row>
    <row r="7" spans="1:31" ht="15.75" thickBot="1">
      <c r="A7" s="9">
        <f>INDEX('Point Grid'!$C$8:$I$54,MATCH($A$1,'Point Grid'!$A$8:$A$54,0),MATCH(A6,'Point Grid'!$C$7:$I$7,0))</f>
        <v>3.75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30"/>
      <c r="N7" s="42"/>
      <c r="O7" s="478"/>
      <c r="P7" s="533" t="s">
        <v>283</v>
      </c>
      <c r="Q7" s="240" t="s">
        <v>514</v>
      </c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67"/>
      <c r="AC7" s="467"/>
      <c r="AD7" s="467"/>
      <c r="AE7" s="467"/>
    </row>
    <row r="8" spans="1:31" ht="15.75" thickBot="1">
      <c r="A8" s="5"/>
      <c r="B8" s="100"/>
      <c r="C8" s="149" t="s">
        <v>497</v>
      </c>
      <c r="D8" s="118"/>
      <c r="E8" s="118"/>
      <c r="F8" s="118"/>
      <c r="G8" s="118"/>
      <c r="H8" s="149" t="s">
        <v>498</v>
      </c>
      <c r="I8" s="118"/>
      <c r="J8" s="118"/>
      <c r="K8" s="151"/>
      <c r="L8" s="18"/>
      <c r="M8" s="30"/>
      <c r="N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67"/>
      <c r="AC8" s="467"/>
      <c r="AD8" s="467"/>
      <c r="AE8" s="467"/>
    </row>
    <row r="9" spans="1:31">
      <c r="A9" s="25"/>
      <c r="B9" s="100"/>
      <c r="C9" s="152"/>
      <c r="D9" s="344" t="s">
        <v>499</v>
      </c>
      <c r="E9" s="344"/>
      <c r="F9" s="209"/>
      <c r="G9" s="118"/>
      <c r="H9" s="158"/>
      <c r="I9" s="116"/>
      <c r="J9" s="118"/>
      <c r="K9" s="151"/>
      <c r="L9" s="18"/>
      <c r="M9" s="30"/>
      <c r="N9" s="42"/>
      <c r="O9" s="425"/>
      <c r="P9" s="478"/>
      <c r="Q9" s="478"/>
      <c r="R9" s="192" t="s">
        <v>515</v>
      </c>
      <c r="S9" s="425"/>
      <c r="T9" s="425"/>
      <c r="U9" s="425"/>
      <c r="V9" s="192" t="s">
        <v>516</v>
      </c>
      <c r="W9" s="425"/>
      <c r="X9" s="425"/>
      <c r="Y9" s="425"/>
      <c r="Z9" s="192" t="s">
        <v>517</v>
      </c>
      <c r="AA9" s="425"/>
      <c r="AB9" s="467"/>
      <c r="AC9" s="467"/>
      <c r="AD9" s="467"/>
      <c r="AE9" s="467"/>
    </row>
    <row r="10" spans="1:31">
      <c r="A10" s="25"/>
      <c r="B10" s="100"/>
      <c r="C10" s="155" t="s">
        <v>500</v>
      </c>
      <c r="D10" s="201" t="s">
        <v>501</v>
      </c>
      <c r="E10" s="201" t="s">
        <v>502</v>
      </c>
      <c r="F10" s="202" t="s">
        <v>503</v>
      </c>
      <c r="G10" s="118"/>
      <c r="H10" s="155" t="s">
        <v>500</v>
      </c>
      <c r="I10" s="202" t="s">
        <v>140</v>
      </c>
      <c r="J10" s="118"/>
      <c r="K10" s="151"/>
      <c r="L10" s="18"/>
      <c r="M10" s="30"/>
      <c r="N10"/>
      <c r="O10" s="425"/>
      <c r="P10" s="534" t="s">
        <v>518</v>
      </c>
      <c r="Q10" s="105" t="s">
        <v>519</v>
      </c>
      <c r="R10" s="535" t="s">
        <v>520</v>
      </c>
      <c r="S10" s="425"/>
      <c r="T10" s="534" t="s">
        <v>518</v>
      </c>
      <c r="U10" s="105" t="s">
        <v>519</v>
      </c>
      <c r="V10" s="535" t="s">
        <v>520</v>
      </c>
      <c r="W10" s="425"/>
      <c r="X10" s="534" t="s">
        <v>518</v>
      </c>
      <c r="Y10" s="105" t="s">
        <v>519</v>
      </c>
      <c r="Z10" s="535" t="s">
        <v>520</v>
      </c>
      <c r="AA10" s="425"/>
      <c r="AB10" s="467"/>
      <c r="AC10" s="467"/>
      <c r="AD10" s="467"/>
      <c r="AE10" s="467"/>
    </row>
    <row r="11" spans="1:31">
      <c r="A11" s="25"/>
      <c r="B11" s="100"/>
      <c r="C11" s="198" t="s">
        <v>504</v>
      </c>
      <c r="D11" s="199">
        <v>190</v>
      </c>
      <c r="E11" s="199">
        <v>89</v>
      </c>
      <c r="F11" s="200">
        <v>10</v>
      </c>
      <c r="G11" s="118"/>
      <c r="H11" s="198" t="s">
        <v>504</v>
      </c>
      <c r="I11" s="160">
        <v>1.26</v>
      </c>
      <c r="J11" s="118"/>
      <c r="K11" s="151"/>
      <c r="L11" s="18"/>
      <c r="M11" s="30"/>
      <c r="N11"/>
      <c r="O11" s="425"/>
      <c r="P11" s="536" t="s">
        <v>504</v>
      </c>
      <c r="Q11" s="537">
        <f>I11</f>
        <v>1.26</v>
      </c>
      <c r="R11" s="446">
        <f>D11</f>
        <v>190</v>
      </c>
      <c r="S11" s="425"/>
      <c r="T11" s="536" t="s">
        <v>504</v>
      </c>
      <c r="U11" s="537">
        <f>I11</f>
        <v>1.26</v>
      </c>
      <c r="V11" s="446">
        <f>E11</f>
        <v>89</v>
      </c>
      <c r="W11" s="425"/>
      <c r="X11" s="536" t="s">
        <v>504</v>
      </c>
      <c r="Y11" s="537">
        <f>I11</f>
        <v>1.26</v>
      </c>
      <c r="Z11" s="446">
        <f>F11</f>
        <v>10</v>
      </c>
      <c r="AA11" s="425"/>
      <c r="AB11" s="467"/>
      <c r="AC11" s="467"/>
      <c r="AD11" s="467"/>
      <c r="AE11" s="467"/>
    </row>
    <row r="12" spans="1:31">
      <c r="A12" s="25"/>
      <c r="B12" s="100"/>
      <c r="C12" s="198" t="s">
        <v>505</v>
      </c>
      <c r="D12" s="199">
        <v>98</v>
      </c>
      <c r="E12" s="199">
        <v>93</v>
      </c>
      <c r="F12" s="200">
        <v>107</v>
      </c>
      <c r="G12" s="118"/>
      <c r="H12" s="198" t="s">
        <v>505</v>
      </c>
      <c r="I12" s="160">
        <v>0.78</v>
      </c>
      <c r="J12" s="118"/>
      <c r="K12" s="151"/>
      <c r="L12" s="18"/>
      <c r="M12" s="30"/>
      <c r="N12"/>
      <c r="O12" s="425"/>
      <c r="P12" s="536" t="s">
        <v>505</v>
      </c>
      <c r="Q12" s="537">
        <f>I12</f>
        <v>0.78</v>
      </c>
      <c r="R12" s="446">
        <f>D12</f>
        <v>98</v>
      </c>
      <c r="S12" s="425"/>
      <c r="T12" s="536" t="s">
        <v>505</v>
      </c>
      <c r="U12" s="537">
        <f>I12</f>
        <v>0.78</v>
      </c>
      <c r="V12" s="446">
        <f>E12</f>
        <v>93</v>
      </c>
      <c r="W12" s="425"/>
      <c r="X12" s="536" t="s">
        <v>505</v>
      </c>
      <c r="Y12" s="537">
        <f>I12</f>
        <v>0.78</v>
      </c>
      <c r="Z12" s="446">
        <f>F12</f>
        <v>107</v>
      </c>
      <c r="AA12" s="425"/>
      <c r="AB12" s="467"/>
      <c r="AC12" s="467"/>
      <c r="AD12" s="467"/>
      <c r="AE12" s="467"/>
    </row>
    <row r="13" spans="1:31">
      <c r="A13" s="25"/>
      <c r="B13" s="100"/>
      <c r="C13" s="155" t="s">
        <v>506</v>
      </c>
      <c r="D13" s="201">
        <v>20</v>
      </c>
      <c r="E13" s="201">
        <v>104</v>
      </c>
      <c r="F13" s="202">
        <v>131</v>
      </c>
      <c r="G13" s="118"/>
      <c r="H13" s="155" t="s">
        <v>506</v>
      </c>
      <c r="I13" s="163">
        <v>1</v>
      </c>
      <c r="J13" s="118"/>
      <c r="K13" s="151"/>
      <c r="L13" s="18"/>
      <c r="M13" s="30"/>
      <c r="N13" s="42"/>
      <c r="O13" s="425"/>
      <c r="P13" s="538" t="s">
        <v>506</v>
      </c>
      <c r="Q13" s="539">
        <f>I13</f>
        <v>1</v>
      </c>
      <c r="R13" s="445">
        <f>D13</f>
        <v>20</v>
      </c>
      <c r="S13" s="540"/>
      <c r="T13" s="538" t="s">
        <v>506</v>
      </c>
      <c r="U13" s="539">
        <f>I13</f>
        <v>1</v>
      </c>
      <c r="V13" s="445">
        <f>E13</f>
        <v>104</v>
      </c>
      <c r="W13" s="425"/>
      <c r="X13" s="538" t="s">
        <v>506</v>
      </c>
      <c r="Y13" s="539">
        <f>I13</f>
        <v>1</v>
      </c>
      <c r="Z13" s="445">
        <f>F13</f>
        <v>131</v>
      </c>
      <c r="AA13" s="425"/>
      <c r="AB13" s="467"/>
      <c r="AC13" s="467"/>
      <c r="AD13" s="467"/>
      <c r="AE13" s="467"/>
    </row>
    <row r="14" spans="1:31">
      <c r="A14" s="25"/>
      <c r="B14" s="100"/>
      <c r="C14" s="118"/>
      <c r="D14" s="118"/>
      <c r="E14" s="118"/>
      <c r="F14" s="118"/>
      <c r="G14" s="118"/>
      <c r="H14" s="118"/>
      <c r="I14" s="118"/>
      <c r="J14" s="118"/>
      <c r="K14" s="151"/>
      <c r="L14" s="18"/>
      <c r="M14" s="30"/>
      <c r="N14"/>
      <c r="O14" s="425"/>
      <c r="P14" s="538" t="s">
        <v>521</v>
      </c>
      <c r="Q14" s="541">
        <f>SUMPRODUCT(Q11:Q13,R11:R13)/R14</f>
        <v>1.0903896103896105</v>
      </c>
      <c r="R14" s="542">
        <f>SUM(R11:R13)</f>
        <v>308</v>
      </c>
      <c r="S14" s="425"/>
      <c r="T14" s="538" t="s">
        <v>521</v>
      </c>
      <c r="U14" s="541">
        <f>SUMPRODUCT(U11:U13,V11:V13)/V14</f>
        <v>1.0093706293706295</v>
      </c>
      <c r="V14" s="542">
        <f>SUM(V11:V13)</f>
        <v>286</v>
      </c>
      <c r="W14" s="425"/>
      <c r="X14" s="538" t="s">
        <v>521</v>
      </c>
      <c r="Y14" s="541">
        <f>SUMPRODUCT(Y11:Y13,Z11:Z13)/Z14</f>
        <v>0.91556451612903222</v>
      </c>
      <c r="Z14" s="542">
        <f>SUM(Z11:Z13)</f>
        <v>248</v>
      </c>
      <c r="AA14" s="425"/>
      <c r="AB14" s="467"/>
      <c r="AC14" s="467"/>
      <c r="AD14" s="467"/>
      <c r="AE14" s="467"/>
    </row>
    <row r="15" spans="1:31">
      <c r="A15" s="25"/>
      <c r="B15" s="100"/>
      <c r="C15" s="118" t="s">
        <v>507</v>
      </c>
      <c r="D15" s="118"/>
      <c r="E15" s="118"/>
      <c r="F15" s="118" t="s">
        <v>508</v>
      </c>
      <c r="G15" s="118"/>
      <c r="H15" s="118"/>
      <c r="I15" s="118"/>
      <c r="J15" s="118"/>
      <c r="K15" s="118"/>
      <c r="L15" s="18"/>
      <c r="M15" s="30"/>
      <c r="N15"/>
      <c r="O15" s="425"/>
      <c r="P15" s="425"/>
      <c r="Q15" s="543" t="s">
        <v>522</v>
      </c>
      <c r="R15" s="425"/>
      <c r="S15" s="425"/>
      <c r="T15" s="425"/>
      <c r="U15" s="543" t="s">
        <v>522</v>
      </c>
      <c r="V15" s="425"/>
      <c r="W15" s="425"/>
      <c r="X15" s="425"/>
      <c r="Y15" s="543" t="s">
        <v>522</v>
      </c>
      <c r="Z15" s="425"/>
      <c r="AA15" s="425"/>
      <c r="AB15" s="467"/>
      <c r="AC15" s="467"/>
      <c r="AD15" s="467"/>
      <c r="AE15" s="467"/>
    </row>
    <row r="16" spans="1:31">
      <c r="A16" s="25"/>
      <c r="B16" s="100"/>
      <c r="C16" s="118" t="s">
        <v>509</v>
      </c>
      <c r="D16" s="118"/>
      <c r="E16" s="118"/>
      <c r="F16" s="118" t="s">
        <v>510</v>
      </c>
      <c r="G16" s="118"/>
      <c r="H16" s="149" t="s">
        <v>512</v>
      </c>
      <c r="I16" s="118"/>
      <c r="J16" s="118"/>
      <c r="K16" s="219" t="s">
        <v>503</v>
      </c>
      <c r="L16" s="18"/>
      <c r="M16" s="30"/>
      <c r="N16" s="42"/>
      <c r="O16" s="425"/>
      <c r="P16" s="425"/>
      <c r="Q16" s="425"/>
      <c r="R16" s="425"/>
      <c r="S16" s="425"/>
      <c r="T16" s="425"/>
      <c r="U16" s="425"/>
      <c r="V16" s="425"/>
      <c r="W16" s="425"/>
      <c r="X16" s="425"/>
      <c r="Y16" s="425"/>
      <c r="Z16" s="425"/>
      <c r="AA16" s="425"/>
      <c r="AB16" s="467"/>
      <c r="AC16" s="467"/>
      <c r="AD16" s="467"/>
      <c r="AE16" s="467"/>
    </row>
    <row r="17" spans="1:31">
      <c r="A17" s="25"/>
      <c r="B17" s="100"/>
      <c r="C17" s="118"/>
      <c r="D17" s="118"/>
      <c r="E17" s="118"/>
      <c r="F17" s="118"/>
      <c r="G17" s="118"/>
      <c r="H17" s="118"/>
      <c r="I17" s="118"/>
      <c r="J17" s="118"/>
      <c r="K17" s="118"/>
      <c r="L17" s="18"/>
      <c r="M17" s="30"/>
      <c r="N17"/>
      <c r="O17" s="544" t="s">
        <v>100</v>
      </c>
      <c r="P17" s="425" t="s">
        <v>523</v>
      </c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67"/>
      <c r="AC17" s="467"/>
      <c r="AD17" s="467"/>
      <c r="AE17" s="467"/>
    </row>
    <row r="18" spans="1:31" ht="15" customHeight="1">
      <c r="A18" s="25"/>
      <c r="B18" s="100"/>
      <c r="C18" s="149" t="s">
        <v>511</v>
      </c>
      <c r="D18" s="118"/>
      <c r="E18" s="118"/>
      <c r="F18" s="118"/>
      <c r="G18" s="118"/>
      <c r="H18" s="118"/>
      <c r="I18" s="118"/>
      <c r="J18" s="118"/>
      <c r="K18" s="118"/>
      <c r="L18" s="18"/>
      <c r="M18" s="30"/>
      <c r="N18"/>
      <c r="O18" s="425"/>
      <c r="P18" s="478"/>
      <c r="Q18" s="478"/>
      <c r="R18" s="478"/>
      <c r="S18" s="425"/>
      <c r="T18" s="425"/>
      <c r="U18" s="425"/>
      <c r="V18" s="425"/>
      <c r="W18" s="425"/>
      <c r="X18" s="425"/>
      <c r="Y18" s="425"/>
      <c r="Z18" s="425"/>
      <c r="AA18" s="425"/>
      <c r="AB18" s="467"/>
      <c r="AC18" s="467"/>
      <c r="AD18" s="467"/>
      <c r="AE18" s="467"/>
    </row>
    <row r="19" spans="1:31" ht="15" customHeight="1">
      <c r="A19" s="25"/>
      <c r="B19" s="100"/>
      <c r="C19" s="152"/>
      <c r="D19" s="344" t="s">
        <v>499</v>
      </c>
      <c r="E19" s="344"/>
      <c r="F19" s="209"/>
      <c r="G19" s="118"/>
      <c r="H19" s="118"/>
      <c r="I19" s="118"/>
      <c r="J19" s="118"/>
      <c r="K19" s="118"/>
      <c r="L19" s="18"/>
      <c r="M19" s="30"/>
      <c r="N19" s="42"/>
      <c r="O19" s="478"/>
      <c r="P19" s="545" t="s">
        <v>524</v>
      </c>
      <c r="Q19" s="546"/>
      <c r="R19" s="546"/>
      <c r="S19" s="547" t="s">
        <v>525</v>
      </c>
      <c r="T19" s="546" t="s">
        <v>526</v>
      </c>
      <c r="U19" s="546"/>
      <c r="V19" s="546"/>
      <c r="W19" s="546"/>
      <c r="X19" s="548"/>
      <c r="Y19" s="478"/>
      <c r="Z19" s="478"/>
      <c r="AA19" s="425"/>
      <c r="AB19" s="467"/>
      <c r="AC19" s="467"/>
      <c r="AD19" s="467"/>
      <c r="AE19" s="467"/>
    </row>
    <row r="20" spans="1:31" ht="15" customHeight="1">
      <c r="A20" s="25"/>
      <c r="B20" s="100"/>
      <c r="C20" s="155" t="s">
        <v>500</v>
      </c>
      <c r="D20" s="201" t="s">
        <v>501</v>
      </c>
      <c r="E20" s="201" t="s">
        <v>502</v>
      </c>
      <c r="F20" s="202" t="s">
        <v>503</v>
      </c>
      <c r="G20" s="118"/>
      <c r="H20" s="118"/>
      <c r="I20" s="118"/>
      <c r="J20" s="118"/>
      <c r="K20" s="118"/>
      <c r="L20" s="18"/>
      <c r="M20" s="30"/>
      <c r="N20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25"/>
      <c r="AB20" s="467"/>
      <c r="AC20" s="467"/>
      <c r="AD20" s="467"/>
      <c r="AE20" s="467"/>
    </row>
    <row r="21" spans="1:31" ht="15" customHeight="1">
      <c r="A21" s="25"/>
      <c r="B21" s="100"/>
      <c r="C21" s="198" t="s">
        <v>504</v>
      </c>
      <c r="D21" s="199">
        <v>71250</v>
      </c>
      <c r="E21" s="199">
        <v>39338</v>
      </c>
      <c r="F21" s="200">
        <v>4920</v>
      </c>
      <c r="G21" s="118"/>
      <c r="H21" s="118"/>
      <c r="I21" s="118"/>
      <c r="J21" s="118"/>
      <c r="K21" s="118"/>
      <c r="L21" s="18"/>
      <c r="M21" s="30"/>
      <c r="N21" s="42"/>
      <c r="O21" s="425"/>
      <c r="P21" s="549" t="s">
        <v>133</v>
      </c>
      <c r="Q21" s="215"/>
      <c r="R21" s="184" t="s">
        <v>521</v>
      </c>
      <c r="S21" s="216" t="s">
        <v>521</v>
      </c>
      <c r="T21" s="425"/>
      <c r="U21" s="425"/>
      <c r="V21" s="425"/>
      <c r="W21" s="425"/>
      <c r="X21" s="425"/>
      <c r="Y21" s="425"/>
      <c r="Z21" s="425"/>
      <c r="AA21" s="425"/>
      <c r="AB21" s="467"/>
      <c r="AC21" s="467"/>
      <c r="AD21" s="467"/>
      <c r="AE21" s="467"/>
    </row>
    <row r="22" spans="1:31" ht="15" customHeight="1">
      <c r="A22" s="22"/>
      <c r="B22" s="100"/>
      <c r="C22" s="198" t="s">
        <v>505</v>
      </c>
      <c r="D22" s="199">
        <v>45962</v>
      </c>
      <c r="E22" s="199">
        <v>47895</v>
      </c>
      <c r="F22" s="200">
        <v>59920</v>
      </c>
      <c r="G22" s="118"/>
      <c r="H22" s="118"/>
      <c r="I22" s="118"/>
      <c r="J22" s="118"/>
      <c r="K22" s="118"/>
      <c r="L22" s="18"/>
      <c r="M22" s="30"/>
      <c r="N22"/>
      <c r="O22" s="425"/>
      <c r="P22" s="94" t="s">
        <v>134</v>
      </c>
      <c r="Q22" s="95" t="s">
        <v>527</v>
      </c>
      <c r="R22" s="95" t="s">
        <v>528</v>
      </c>
      <c r="S22" s="446" t="s">
        <v>529</v>
      </c>
      <c r="T22" s="425"/>
      <c r="U22" s="425"/>
      <c r="V22" s="425"/>
      <c r="W22" s="425"/>
      <c r="X22" s="425"/>
      <c r="Y22" s="425"/>
      <c r="Z22" s="425"/>
      <c r="AA22" s="425"/>
      <c r="AB22" s="467"/>
      <c r="AC22" s="467"/>
      <c r="AD22" s="467"/>
      <c r="AE22" s="467"/>
    </row>
    <row r="23" spans="1:31" ht="15" customHeight="1">
      <c r="A23" s="22"/>
      <c r="B23" s="100"/>
      <c r="C23" s="155" t="s">
        <v>506</v>
      </c>
      <c r="D23" s="201">
        <v>9980</v>
      </c>
      <c r="E23" s="201">
        <v>57616</v>
      </c>
      <c r="F23" s="202">
        <v>85281</v>
      </c>
      <c r="G23" s="118"/>
      <c r="H23" s="118"/>
      <c r="I23" s="118"/>
      <c r="J23" s="118"/>
      <c r="K23" s="118"/>
      <c r="L23" s="18"/>
      <c r="M23" s="30"/>
      <c r="N23"/>
      <c r="O23" s="425"/>
      <c r="P23" s="97" t="s">
        <v>530</v>
      </c>
      <c r="Q23" s="98" t="s">
        <v>140</v>
      </c>
      <c r="R23" s="98" t="s">
        <v>531</v>
      </c>
      <c r="S23" s="445" t="s">
        <v>531</v>
      </c>
      <c r="T23" s="425"/>
      <c r="U23" s="425"/>
      <c r="V23" s="425"/>
      <c r="W23" s="425"/>
      <c r="X23" s="425"/>
      <c r="Y23" s="425"/>
      <c r="Z23" s="425"/>
      <c r="AA23" s="425"/>
      <c r="AB23" s="467"/>
      <c r="AC23" s="467"/>
      <c r="AD23" s="467"/>
      <c r="AE23" s="467"/>
    </row>
    <row r="24" spans="1:31" ht="15" customHeight="1">
      <c r="A24" s="22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8"/>
      <c r="N24"/>
      <c r="O24" s="425"/>
      <c r="P24" s="94" t="s">
        <v>501</v>
      </c>
      <c r="Q24" s="550">
        <f>Q14</f>
        <v>1.0903896103896105</v>
      </c>
      <c r="R24" s="551">
        <f>R14</f>
        <v>308</v>
      </c>
      <c r="S24" s="552">
        <f>Q24*R24</f>
        <v>335.84000000000003</v>
      </c>
      <c r="T24" s="425" t="str">
        <f>" = " &amp; ROUND(Q24,4) &amp; " x " &amp; ROUND(R24,0)</f>
        <v xml:space="preserve"> = 1.0904 x 308</v>
      </c>
      <c r="U24" s="425"/>
      <c r="V24" s="425"/>
      <c r="W24" s="425"/>
      <c r="X24" s="425"/>
      <c r="Y24" s="425"/>
      <c r="Z24" s="425"/>
      <c r="AA24" s="425"/>
      <c r="AB24" s="467"/>
      <c r="AC24" s="467"/>
      <c r="AD24" s="467"/>
      <c r="AE24" s="467"/>
    </row>
    <row r="25" spans="1:31" ht="15" customHeight="1">
      <c r="A25" s="2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02"/>
      <c r="N25"/>
      <c r="O25" s="425"/>
      <c r="P25" s="94" t="s">
        <v>502</v>
      </c>
      <c r="Q25" s="550">
        <f>U14</f>
        <v>1.0093706293706295</v>
      </c>
      <c r="R25" s="551">
        <f>V14</f>
        <v>286</v>
      </c>
      <c r="S25" s="552">
        <f>Q25*R25</f>
        <v>288.68</v>
      </c>
      <c r="T25" s="425" t="str">
        <f>" = " &amp; ROUND(Q25,4) &amp; " x " &amp; ROUND(R25,0)</f>
        <v xml:space="preserve"> = 1.0094 x 286</v>
      </c>
      <c r="U25" s="425"/>
      <c r="V25" s="425"/>
      <c r="W25" s="425"/>
      <c r="X25" s="425"/>
      <c r="Y25" s="425"/>
      <c r="Z25" s="425"/>
      <c r="AA25" s="425"/>
      <c r="AB25" s="467"/>
      <c r="AC25" s="467"/>
      <c r="AD25" s="467"/>
      <c r="AE25" s="467"/>
    </row>
    <row r="26" spans="1:31" ht="15" customHeight="1">
      <c r="A26" s="2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 s="102"/>
      <c r="N26"/>
      <c r="O26" s="425"/>
      <c r="P26" s="97" t="s">
        <v>503</v>
      </c>
      <c r="Q26" s="553">
        <f>Y14</f>
        <v>0.91556451612903222</v>
      </c>
      <c r="R26" s="554">
        <f>Z14</f>
        <v>248</v>
      </c>
      <c r="S26" s="555">
        <f>Q26*R26</f>
        <v>227.06</v>
      </c>
      <c r="T26" s="425" t="str">
        <f>" = " &amp; ROUND(Q26,4) &amp; " x " &amp; ROUND(R26,0)</f>
        <v xml:space="preserve"> = 0.9156 x 248</v>
      </c>
      <c r="U26" s="425"/>
      <c r="V26" s="425"/>
      <c r="W26" s="425"/>
      <c r="X26" s="425"/>
      <c r="Y26" s="425"/>
      <c r="Z26" s="425"/>
      <c r="AA26" s="425"/>
      <c r="AB26" s="467"/>
      <c r="AC26" s="467"/>
      <c r="AD26" s="467"/>
      <c r="AE26" s="467"/>
    </row>
    <row r="27" spans="1:31" ht="15" customHeight="1">
      <c r="A27" s="22"/>
      <c r="B27" s="100"/>
      <c r="C27" s="100"/>
      <c r="D27" s="100"/>
      <c r="E27" s="100"/>
      <c r="F27" s="100"/>
      <c r="G27" s="100"/>
      <c r="H27" s="118"/>
      <c r="I27" s="118"/>
      <c r="J27" s="118"/>
      <c r="K27" s="118"/>
      <c r="L27" s="18"/>
      <c r="M27" s="92"/>
      <c r="N27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67"/>
      <c r="AC27" s="467"/>
      <c r="AD27" s="467"/>
      <c r="AE27" s="467"/>
    </row>
    <row r="28" spans="1:31" ht="15" customHeight="1">
      <c r="A28" s="22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92"/>
      <c r="N28" s="42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67"/>
      <c r="AC28" s="467"/>
      <c r="AD28" s="467"/>
      <c r="AE28" s="467"/>
    </row>
    <row r="29" spans="1:31" ht="15" customHeight="1" thickBot="1">
      <c r="A29" s="24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  <c r="M29" s="92"/>
      <c r="N29"/>
      <c r="O29" s="430" t="s">
        <v>150</v>
      </c>
      <c r="P29" s="425" t="s">
        <v>532</v>
      </c>
      <c r="Q29" s="425"/>
      <c r="R29" s="425"/>
      <c r="S29" s="425"/>
      <c r="T29" s="425"/>
      <c r="U29" s="425"/>
      <c r="V29" s="425"/>
      <c r="W29" s="425"/>
      <c r="X29" s="425"/>
      <c r="Y29" s="425"/>
      <c r="Z29" s="425"/>
      <c r="AA29" s="425"/>
      <c r="AB29" s="467"/>
      <c r="AC29" s="467"/>
      <c r="AD29" s="467"/>
      <c r="AE29" s="467"/>
    </row>
    <row r="30" spans="1:31" ht="15" customHeight="1">
      <c r="M30" s="92"/>
      <c r="N30" s="42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67"/>
      <c r="AC30" s="467"/>
      <c r="AD30" s="467"/>
      <c r="AE30" s="467"/>
    </row>
    <row r="31" spans="1:31" ht="15" customHeight="1">
      <c r="M31" s="92"/>
      <c r="N31"/>
      <c r="O31" s="425"/>
      <c r="P31" s="131" t="s">
        <v>90</v>
      </c>
      <c r="Q31" s="131" t="s">
        <v>91</v>
      </c>
      <c r="R31" s="131" t="s">
        <v>92</v>
      </c>
      <c r="S31" s="131" t="s">
        <v>93</v>
      </c>
      <c r="T31" s="131" t="s">
        <v>94</v>
      </c>
      <c r="U31" s="131" t="s">
        <v>95</v>
      </c>
      <c r="V31" s="425"/>
      <c r="W31" s="425"/>
      <c r="X31" s="556"/>
      <c r="Y31" s="425"/>
      <c r="Z31" s="425"/>
      <c r="AA31" s="425"/>
      <c r="AB31" s="467"/>
      <c r="AC31" s="467"/>
      <c r="AD31" s="467"/>
      <c r="AE31" s="467"/>
    </row>
    <row r="32" spans="1:31" ht="15" customHeight="1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92"/>
      <c r="N32"/>
      <c r="O32" s="425"/>
      <c r="P32" s="142" t="s">
        <v>133</v>
      </c>
      <c r="Q32" s="184"/>
      <c r="R32" s="185"/>
      <c r="S32" s="188"/>
      <c r="T32" s="184"/>
      <c r="U32" s="189" t="s">
        <v>136</v>
      </c>
      <c r="V32" s="425"/>
      <c r="W32" s="425"/>
      <c r="X32" s="425"/>
      <c r="Y32" s="425"/>
      <c r="Z32" s="425"/>
      <c r="AA32" s="425"/>
      <c r="AB32" s="467"/>
      <c r="AC32" s="467"/>
      <c r="AD32" s="467"/>
      <c r="AE32" s="467"/>
    </row>
    <row r="33" spans="2:31" ht="1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/>
      <c r="O33" s="425"/>
      <c r="P33" s="94" t="s">
        <v>134</v>
      </c>
      <c r="Q33" s="95" t="s">
        <v>529</v>
      </c>
      <c r="R33" s="446" t="s">
        <v>84</v>
      </c>
      <c r="S33" s="190" t="s">
        <v>137</v>
      </c>
      <c r="T33" s="95" t="s">
        <v>138</v>
      </c>
      <c r="U33" s="446" t="s">
        <v>138</v>
      </c>
      <c r="V33" s="425"/>
      <c r="W33" s="425"/>
      <c r="X33" s="556"/>
      <c r="Y33" s="425"/>
      <c r="Z33" s="425"/>
      <c r="AA33" s="425"/>
      <c r="AB33" s="467"/>
      <c r="AC33" s="467"/>
      <c r="AD33" s="467"/>
      <c r="AE33" s="467"/>
    </row>
    <row r="34" spans="2:31" ht="15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/>
      <c r="O34" s="425"/>
      <c r="P34" s="97" t="s">
        <v>530</v>
      </c>
      <c r="Q34" s="98" t="s">
        <v>531</v>
      </c>
      <c r="R34" s="445" t="s">
        <v>135</v>
      </c>
      <c r="S34" s="191" t="s">
        <v>139</v>
      </c>
      <c r="T34" s="98" t="s">
        <v>140</v>
      </c>
      <c r="U34" s="445" t="s">
        <v>140</v>
      </c>
      <c r="V34" s="425"/>
      <c r="W34" s="425"/>
      <c r="X34" s="425"/>
      <c r="Y34" s="425"/>
      <c r="Z34" s="425"/>
      <c r="AA34" s="425"/>
      <c r="AB34" s="467"/>
      <c r="AC34" s="467"/>
      <c r="AD34" s="467"/>
      <c r="AE34" s="467"/>
    </row>
    <row r="35" spans="2:31" ht="1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/>
      <c r="O35" s="425"/>
      <c r="P35" s="94" t="s">
        <v>501</v>
      </c>
      <c r="Q35" s="557">
        <f>S24</f>
        <v>335.84000000000003</v>
      </c>
      <c r="R35" s="186">
        <f>SUM(D21:D23)</f>
        <v>127192</v>
      </c>
      <c r="S35" s="558">
        <f>R35/Q35</f>
        <v>378.72796569795139</v>
      </c>
      <c r="T35" s="559">
        <f>S35/S38</f>
        <v>0.76396539960740517</v>
      </c>
      <c r="U35" s="560">
        <v>0.56000000000000005</v>
      </c>
      <c r="V35" s="192" t="str">
        <f>IF(K16="2A","  &lt;==  base level","")</f>
        <v/>
      </c>
      <c r="W35" s="425"/>
      <c r="X35" s="556"/>
      <c r="Y35" s="561"/>
      <c r="Z35" s="561"/>
      <c r="AA35" s="425"/>
      <c r="AB35" s="467"/>
      <c r="AC35" s="467"/>
      <c r="AD35" s="467"/>
      <c r="AE35" s="467"/>
    </row>
    <row r="36" spans="2:31" ht="15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/>
      <c r="O36" s="425"/>
      <c r="P36" s="94" t="s">
        <v>502</v>
      </c>
      <c r="Q36" s="557">
        <f>S25</f>
        <v>288.68</v>
      </c>
      <c r="R36" s="186">
        <f>SUM(E21:E23)</f>
        <v>144849</v>
      </c>
      <c r="S36" s="558">
        <f>R36/Q36</f>
        <v>501.76319800471111</v>
      </c>
      <c r="T36" s="559">
        <f>S36/S38</f>
        <v>1.01215055868802</v>
      </c>
      <c r="U36" s="560">
        <v>1.96</v>
      </c>
      <c r="V36" s="192" t="str">
        <f>IF(K16="2B","  &lt;==  base level","")</f>
        <v/>
      </c>
      <c r="W36" s="425"/>
      <c r="X36" s="425"/>
      <c r="Y36" s="561"/>
      <c r="Z36" s="561"/>
      <c r="AA36" s="425"/>
      <c r="AB36" s="467"/>
      <c r="AC36" s="467"/>
      <c r="AD36" s="467"/>
      <c r="AE36" s="467"/>
    </row>
    <row r="37" spans="2:31" ht="1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/>
      <c r="O37" s="425"/>
      <c r="P37" s="97" t="s">
        <v>503</v>
      </c>
      <c r="Q37" s="562">
        <f>S26</f>
        <v>227.06</v>
      </c>
      <c r="R37" s="187">
        <f>SUM(F21:F23)</f>
        <v>150121</v>
      </c>
      <c r="S37" s="563">
        <f>R37/Q37</f>
        <v>661.15123755835464</v>
      </c>
      <c r="T37" s="564">
        <f>S37/S38</f>
        <v>1.3336661539407706</v>
      </c>
      <c r="U37" s="565">
        <f>T37/U42</f>
        <v>1</v>
      </c>
      <c r="V37" s="192" t="str">
        <f>IF(K16="2C","  &lt;==   base level","")</f>
        <v xml:space="preserve">  &lt;==   base level</v>
      </c>
      <c r="W37" s="425"/>
      <c r="X37" s="425"/>
      <c r="Y37" s="561"/>
      <c r="Z37" s="561"/>
      <c r="AA37" s="425"/>
      <c r="AB37" s="467"/>
      <c r="AC37" s="467"/>
      <c r="AD37" s="467"/>
      <c r="AE37" s="467"/>
    </row>
    <row r="38" spans="2:31" ht="1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/>
      <c r="O38" s="425"/>
      <c r="P38" s="103" t="s">
        <v>86</v>
      </c>
      <c r="Q38" s="566">
        <f>SUM(Q35:Q37)</f>
        <v>851.57999999999993</v>
      </c>
      <c r="R38" s="105">
        <f>SUM(R35:R37)</f>
        <v>422162</v>
      </c>
      <c r="S38" s="567">
        <f>R38/Q38</f>
        <v>495.7396838817258</v>
      </c>
      <c r="T38" s="568">
        <f>S38/S38</f>
        <v>1</v>
      </c>
      <c r="U38" s="193">
        <f>T38/U42</f>
        <v>0.74981283512756147</v>
      </c>
      <c r="V38" s="425"/>
      <c r="W38" s="425"/>
      <c r="X38" s="425"/>
      <c r="Y38" s="425"/>
      <c r="Z38" s="425"/>
      <c r="AA38" s="425"/>
      <c r="AB38" s="467"/>
      <c r="AC38" s="467"/>
      <c r="AD38" s="467"/>
      <c r="AE38" s="467"/>
    </row>
    <row r="39" spans="2:31" ht="1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/>
      <c r="O39" s="425"/>
      <c r="P39" s="425"/>
      <c r="Q39" s="425"/>
      <c r="R39" s="425"/>
      <c r="S39" s="425"/>
      <c r="T39" s="425"/>
      <c r="U39" s="134" t="s">
        <v>141</v>
      </c>
      <c r="V39" s="425"/>
      <c r="W39" s="425"/>
      <c r="X39" s="425"/>
      <c r="Y39" s="425"/>
      <c r="Z39" s="425"/>
      <c r="AA39" s="425"/>
      <c r="AB39" s="467"/>
      <c r="AC39" s="467"/>
      <c r="AD39" s="467"/>
      <c r="AE39" s="467"/>
    </row>
    <row r="40" spans="2:31" ht="1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/>
      <c r="O40" s="425"/>
      <c r="P40" s="131" t="s">
        <v>93</v>
      </c>
      <c r="Q40" s="101" t="s">
        <v>142</v>
      </c>
      <c r="R40" s="425"/>
      <c r="S40" s="425"/>
      <c r="T40" s="425"/>
      <c r="U40" s="425"/>
      <c r="V40" s="425"/>
      <c r="W40" s="425"/>
      <c r="X40" s="425"/>
      <c r="Y40" s="425"/>
      <c r="Z40" s="425"/>
      <c r="AA40" s="425"/>
      <c r="AB40" s="467"/>
      <c r="AC40" s="467"/>
      <c r="AD40" s="467"/>
      <c r="AE40" s="467"/>
    </row>
    <row r="41" spans="2:31" ht="1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/>
      <c r="O41" s="425"/>
      <c r="P41" s="131" t="s">
        <v>94</v>
      </c>
      <c r="Q41" s="101" t="s">
        <v>143</v>
      </c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67"/>
      <c r="AC41" s="467"/>
      <c r="AD41" s="467"/>
      <c r="AE41" s="467"/>
    </row>
    <row r="42" spans="2:31" ht="15" customHeight="1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/>
      <c r="O42" s="425"/>
      <c r="P42" s="131" t="s">
        <v>95</v>
      </c>
      <c r="Q42" s="101" t="s">
        <v>144</v>
      </c>
      <c r="R42" s="425"/>
      <c r="S42" s="425"/>
      <c r="T42" s="138" t="s">
        <v>145</v>
      </c>
      <c r="U42" s="194">
        <f>VLOOKUP(K16,P35:T37,5,FALSE)</f>
        <v>1.3336661539407706</v>
      </c>
      <c r="V42" s="478"/>
      <c r="W42" s="425"/>
      <c r="X42" s="425"/>
      <c r="Y42" s="425"/>
      <c r="Z42" s="425"/>
      <c r="AA42" s="425"/>
      <c r="AB42" s="467"/>
      <c r="AC42" s="467"/>
      <c r="AD42" s="467"/>
      <c r="AE42" s="467"/>
    </row>
    <row r="43" spans="2:31" ht="15" customHeight="1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</row>
    <row r="44" spans="2:31" ht="1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2:31" ht="15" customHeight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2:31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2:31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2:31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2:13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2:13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2:13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2:13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2:13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2:13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2:13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2:13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2:13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spans="2:13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</row>
    <row r="59" spans="2:13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2:13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spans="2:13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spans="2:13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2:13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2:13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2:13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2:13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2:13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2:13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2:13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2:13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2:13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2:13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2:13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2:13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2:13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2:13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2:13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2:13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  <row r="79" spans="2:13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2:13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2:13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2:13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2:13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spans="2:13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2:13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2:13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</row>
    <row r="87" spans="2:13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2:13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</row>
    <row r="89" spans="2:13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</row>
    <row r="90" spans="2:13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2:13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spans="2:13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</row>
    <row r="93" spans="2:13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</row>
  </sheetData>
  <mergeCells count="1">
    <mergeCell ref="K1:L1"/>
  </mergeCells>
  <conditionalFormatting sqref="B1:C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:C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A110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1" width="11.140625" style="21" customWidth="1"/>
    <col min="12" max="16384" width="9.140625" style="21"/>
  </cols>
  <sheetData>
    <row r="1" spans="1:27">
      <c r="A1" s="7">
        <v>14</v>
      </c>
      <c r="B1" s="26" t="s">
        <v>12</v>
      </c>
      <c r="C1" s="20"/>
      <c r="D1" s="20"/>
      <c r="E1" s="20"/>
      <c r="F1" s="20"/>
      <c r="G1" s="20"/>
      <c r="H1" s="20"/>
      <c r="I1" s="20"/>
      <c r="J1" s="1024" t="s">
        <v>24</v>
      </c>
      <c r="K1" s="1025"/>
      <c r="M1" s="1" t="s">
        <v>33</v>
      </c>
      <c r="N1" s="47" t="str">
        <f>VLOOKUP(A1,'Point Grid'!$L$8:$T$54,9,FALSE)</f>
        <v>Pricing - Chap 10: Multivariate Analysis</v>
      </c>
      <c r="O1"/>
      <c r="P1"/>
      <c r="Q1"/>
      <c r="R1"/>
      <c r="S1"/>
      <c r="T1"/>
      <c r="U1"/>
      <c r="V1"/>
      <c r="W1"/>
    </row>
    <row r="2" spans="1:27">
      <c r="A2" s="22"/>
      <c r="B2" s="19"/>
      <c r="C2" s="19"/>
      <c r="D2" s="19"/>
      <c r="E2" s="19"/>
      <c r="F2" s="19"/>
      <c r="G2" s="19"/>
      <c r="H2" s="19"/>
      <c r="I2" s="19"/>
      <c r="J2" s="19"/>
      <c r="K2" s="23"/>
      <c r="M2" s="1"/>
      <c r="N2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</row>
    <row r="3" spans="1:27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8"/>
      <c r="L3" s="30"/>
      <c r="M3" s="42" t="s">
        <v>2</v>
      </c>
      <c r="N3" s="467" t="s">
        <v>1093</v>
      </c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</row>
    <row r="4" spans="1:27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7"/>
      <c r="J4" s="17"/>
      <c r="K4" s="18"/>
      <c r="L4" s="30"/>
      <c r="M4" s="42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</row>
    <row r="5" spans="1:27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L5" s="30"/>
      <c r="M5" s="42"/>
      <c r="N5" s="467" t="s">
        <v>1094</v>
      </c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</row>
    <row r="6" spans="1:27">
      <c r="A6" s="25" t="s">
        <v>2</v>
      </c>
      <c r="B6" s="17" t="s">
        <v>1088</v>
      </c>
      <c r="C6" s="17"/>
      <c r="D6" s="17"/>
      <c r="E6" s="17"/>
      <c r="F6" s="17"/>
      <c r="G6" s="17"/>
      <c r="H6" s="17"/>
      <c r="I6" s="17"/>
      <c r="J6" s="17"/>
      <c r="K6" s="18"/>
      <c r="L6" s="30"/>
      <c r="M6" s="42"/>
      <c r="N6" s="467" t="s">
        <v>1097</v>
      </c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</row>
    <row r="7" spans="1:27" ht="15.75" thickBot="1">
      <c r="A7" s="9">
        <f>INDEX('Point Grid'!$C$8:$I$54,MATCH($A$1,'Point Grid'!$A$8:$A$54,0),MATCH(A6,'Point Grid'!$C$7:$I$7,0))</f>
        <v>1</v>
      </c>
      <c r="B7" s="17" t="s">
        <v>1091</v>
      </c>
      <c r="C7" s="17"/>
      <c r="D7" s="17"/>
      <c r="E7" s="17"/>
      <c r="F7" s="17"/>
      <c r="G7" s="17"/>
      <c r="H7" s="17"/>
      <c r="I7" s="17"/>
      <c r="J7" s="17"/>
      <c r="K7" s="18"/>
      <c r="L7" s="30"/>
      <c r="M7" s="42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</row>
    <row r="8" spans="1:27" ht="15.75" thickBot="1">
      <c r="A8" s="5"/>
      <c r="B8" s="17" t="s">
        <v>1092</v>
      </c>
      <c r="C8" s="17"/>
      <c r="D8" s="17"/>
      <c r="E8" s="17"/>
      <c r="F8" s="17"/>
      <c r="G8" s="17"/>
      <c r="H8" s="17"/>
      <c r="I8" s="17"/>
      <c r="J8" s="17"/>
      <c r="K8" s="18"/>
      <c r="L8" s="30"/>
      <c r="M8"/>
      <c r="N8" s="467" t="s">
        <v>1095</v>
      </c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</row>
    <row r="9" spans="1:27">
      <c r="A9" s="25"/>
      <c r="B9" s="17"/>
      <c r="C9" s="17"/>
      <c r="D9" s="17"/>
      <c r="E9" s="17"/>
      <c r="F9" s="17"/>
      <c r="G9" s="17"/>
      <c r="H9" s="17"/>
      <c r="I9" s="17"/>
      <c r="J9" s="17"/>
      <c r="K9" s="18"/>
      <c r="L9" s="30"/>
      <c r="M9" s="42"/>
      <c r="N9" s="467" t="s">
        <v>1096</v>
      </c>
      <c r="O9" s="467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467"/>
    </row>
    <row r="10" spans="1:27">
      <c r="A10" s="25"/>
      <c r="B10" s="17"/>
      <c r="C10" s="226"/>
      <c r="D10" s="569"/>
      <c r="E10" s="569"/>
      <c r="F10" s="569"/>
      <c r="G10" s="569"/>
      <c r="H10" s="569"/>
      <c r="I10" s="381"/>
      <c r="J10" s="17"/>
      <c r="K10" s="18"/>
      <c r="L10" s="30"/>
      <c r="M10" s="479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</row>
    <row r="11" spans="1:27">
      <c r="A11" s="25"/>
      <c r="B11" s="17">
        <v>1.3</v>
      </c>
      <c r="C11" s="1020" t="s">
        <v>1089</v>
      </c>
      <c r="D11" s="17"/>
      <c r="E11" s="17"/>
      <c r="F11" s="17"/>
      <c r="G11" s="17"/>
      <c r="H11" s="17"/>
      <c r="I11" s="74"/>
      <c r="J11" s="1014">
        <v>4000</v>
      </c>
      <c r="K11" s="18"/>
      <c r="L11" s="30"/>
      <c r="M11" s="479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</row>
    <row r="12" spans="1:27">
      <c r="A12" s="25"/>
      <c r="B12" s="17"/>
      <c r="C12" s="1021" t="s">
        <v>1090</v>
      </c>
      <c r="D12" s="17"/>
      <c r="E12" s="17"/>
      <c r="F12" s="17"/>
      <c r="G12" s="17"/>
      <c r="H12" s="17"/>
      <c r="I12" s="74"/>
      <c r="J12" s="17"/>
      <c r="K12" s="18"/>
      <c r="L12" s="30"/>
      <c r="M12" s="479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</row>
    <row r="13" spans="1:27">
      <c r="A13" s="25"/>
      <c r="B13" s="17">
        <v>1.2</v>
      </c>
      <c r="C13" s="67"/>
      <c r="D13" s="17"/>
      <c r="E13" s="17"/>
      <c r="F13" s="17"/>
      <c r="G13" s="17"/>
      <c r="H13" s="17"/>
      <c r="I13" s="74"/>
      <c r="J13" s="17"/>
      <c r="K13" s="18"/>
      <c r="L13" s="30"/>
      <c r="M13" s="479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</row>
    <row r="14" spans="1:27">
      <c r="A14" s="25"/>
      <c r="B14" s="34" t="s">
        <v>1080</v>
      </c>
      <c r="C14" s="67"/>
      <c r="D14" s="17"/>
      <c r="E14" s="17"/>
      <c r="F14" s="1016"/>
      <c r="G14" s="17"/>
      <c r="H14" s="17"/>
      <c r="I14" s="74"/>
      <c r="J14" s="17"/>
      <c r="K14" s="18"/>
      <c r="L14" s="30"/>
      <c r="M14" s="479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</row>
    <row r="15" spans="1:27">
      <c r="A15" s="25"/>
      <c r="B15" s="33" t="s">
        <v>1087</v>
      </c>
      <c r="C15" s="67"/>
      <c r="D15" s="17"/>
      <c r="E15" s="17"/>
      <c r="F15" s="1017"/>
      <c r="G15" s="17"/>
      <c r="H15" s="17"/>
      <c r="I15" s="74"/>
      <c r="J15" s="1014">
        <v>3000</v>
      </c>
      <c r="K15" s="18"/>
      <c r="L15" s="30"/>
      <c r="M15" s="479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</row>
    <row r="16" spans="1:27">
      <c r="A16" s="25"/>
      <c r="B16" s="17"/>
      <c r="C16" s="67"/>
      <c r="D16" s="34" t="s">
        <v>148</v>
      </c>
      <c r="E16" s="17"/>
      <c r="F16" s="1019" t="s">
        <v>148</v>
      </c>
      <c r="G16" s="17"/>
      <c r="H16" s="17"/>
      <c r="I16" s="74"/>
      <c r="J16" s="1015" t="s">
        <v>1085</v>
      </c>
      <c r="K16" s="18"/>
      <c r="L16" s="30"/>
      <c r="M16" s="479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</row>
    <row r="17" spans="1:27">
      <c r="A17" s="25"/>
      <c r="B17" s="1012">
        <v>1</v>
      </c>
      <c r="C17" s="67"/>
      <c r="D17" s="34" t="s">
        <v>148</v>
      </c>
      <c r="E17" s="17"/>
      <c r="F17" s="1019" t="s">
        <v>148</v>
      </c>
      <c r="G17" s="17"/>
      <c r="H17" s="34" t="s">
        <v>148</v>
      </c>
      <c r="I17" s="74"/>
      <c r="J17" s="1015" t="s">
        <v>134</v>
      </c>
      <c r="K17" s="18"/>
      <c r="L17" s="30"/>
      <c r="M17" s="479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</row>
    <row r="18" spans="1:27">
      <c r="A18" s="25"/>
      <c r="B18" s="17"/>
      <c r="C18" s="67"/>
      <c r="D18" s="17"/>
      <c r="E18" s="17"/>
      <c r="F18" s="1017"/>
      <c r="G18" s="17"/>
      <c r="H18" s="17"/>
      <c r="I18" s="74"/>
      <c r="J18" s="1015" t="s">
        <v>1086</v>
      </c>
      <c r="K18" s="18"/>
      <c r="L18" s="30"/>
      <c r="M18" s="479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</row>
    <row r="19" spans="1:27">
      <c r="A19" s="25"/>
      <c r="B19" s="17">
        <v>0.9</v>
      </c>
      <c r="C19" s="67"/>
      <c r="D19" s="17"/>
      <c r="E19" s="17"/>
      <c r="F19" s="1017"/>
      <c r="G19" s="17"/>
      <c r="H19" s="17"/>
      <c r="I19" s="74"/>
      <c r="J19" s="1014">
        <v>2000</v>
      </c>
      <c r="K19" s="18"/>
      <c r="L19" s="30"/>
      <c r="M19" s="479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</row>
    <row r="20" spans="1:27">
      <c r="A20" s="25"/>
      <c r="B20" s="17"/>
      <c r="C20" s="67"/>
      <c r="D20" s="17"/>
      <c r="E20" s="17"/>
      <c r="F20" s="1017"/>
      <c r="G20" s="17"/>
      <c r="H20" s="17"/>
      <c r="I20" s="74"/>
      <c r="J20" s="17"/>
      <c r="K20" s="18"/>
      <c r="L20" s="30"/>
      <c r="M20" s="479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</row>
    <row r="21" spans="1:27">
      <c r="A21" s="25"/>
      <c r="B21" s="17">
        <v>0.8</v>
      </c>
      <c r="C21" s="67"/>
      <c r="D21" s="17"/>
      <c r="E21" s="17"/>
      <c r="F21" s="1017"/>
      <c r="G21" s="17"/>
      <c r="H21" s="17"/>
      <c r="I21" s="74"/>
      <c r="J21" s="17"/>
      <c r="K21" s="18"/>
      <c r="L21" s="30"/>
      <c r="M21" s="479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</row>
    <row r="22" spans="1:27">
      <c r="A22" s="25"/>
      <c r="B22" s="17"/>
      <c r="C22" s="67"/>
      <c r="D22" s="17"/>
      <c r="E22" s="17"/>
      <c r="F22" s="1017"/>
      <c r="G22" s="17"/>
      <c r="H22" s="1016"/>
      <c r="I22" s="74"/>
      <c r="J22" s="17"/>
      <c r="K22" s="18"/>
      <c r="L22" s="30"/>
      <c r="M22" s="479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</row>
    <row r="23" spans="1:27">
      <c r="A23" s="25"/>
      <c r="B23" s="17">
        <v>0.6</v>
      </c>
      <c r="C23" s="67"/>
      <c r="D23" s="1016"/>
      <c r="E23" s="17"/>
      <c r="F23" s="1017"/>
      <c r="G23" s="17"/>
      <c r="H23" s="1017"/>
      <c r="I23" s="74"/>
      <c r="J23" s="1014">
        <v>1000</v>
      </c>
      <c r="K23" s="18"/>
      <c r="L23" s="30"/>
      <c r="M23" s="479"/>
      <c r="N23" s="467"/>
      <c r="O23" s="467"/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7"/>
    </row>
    <row r="24" spans="1:27">
      <c r="A24" s="25"/>
      <c r="B24" s="17"/>
      <c r="C24" s="67"/>
      <c r="D24" s="1017"/>
      <c r="E24" s="17"/>
      <c r="F24" s="1017"/>
      <c r="G24" s="17"/>
      <c r="H24" s="1017"/>
      <c r="I24" s="74"/>
      <c r="J24" s="17"/>
      <c r="K24" s="18"/>
      <c r="L24" s="30"/>
      <c r="M24" s="479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</row>
    <row r="25" spans="1:27">
      <c r="A25" s="25"/>
      <c r="B25" s="17"/>
      <c r="C25" s="69"/>
      <c r="D25" s="1018"/>
      <c r="E25" s="409"/>
      <c r="F25" s="1018"/>
      <c r="G25" s="409"/>
      <c r="H25" s="1018"/>
      <c r="I25" s="73"/>
      <c r="J25" s="17"/>
      <c r="K25" s="18"/>
      <c r="L25" s="30"/>
      <c r="M25" s="479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467"/>
      <c r="Y25" s="467"/>
      <c r="Z25" s="467"/>
      <c r="AA25" s="467"/>
    </row>
    <row r="26" spans="1:27">
      <c r="A26" s="25"/>
      <c r="B26" s="17"/>
      <c r="C26" s="17"/>
      <c r="D26" s="34" t="s">
        <v>1082</v>
      </c>
      <c r="E26" s="17"/>
      <c r="F26" s="1013" t="s">
        <v>1083</v>
      </c>
      <c r="G26" s="17"/>
      <c r="H26" s="34" t="s">
        <v>1084</v>
      </c>
      <c r="I26" s="17"/>
      <c r="J26" s="17"/>
      <c r="K26" s="18"/>
      <c r="L26" s="30"/>
      <c r="M26" s="479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/>
      <c r="Y26" s="467"/>
      <c r="Z26" s="467"/>
      <c r="AA26" s="467"/>
    </row>
    <row r="27" spans="1:27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8"/>
      <c r="L27" s="30"/>
      <c r="M27" s="479"/>
      <c r="N27" s="467"/>
      <c r="O27" s="467"/>
      <c r="P27" s="467"/>
      <c r="Q27" s="467"/>
      <c r="R27" s="467"/>
      <c r="S27" s="467"/>
      <c r="T27" s="467"/>
      <c r="U27" s="467"/>
      <c r="V27" s="467"/>
      <c r="W27" s="467"/>
      <c r="X27" s="467"/>
      <c r="Y27" s="467"/>
      <c r="Z27" s="467"/>
      <c r="AA27" s="467"/>
    </row>
    <row r="28" spans="1:27">
      <c r="A28" s="25"/>
      <c r="B28" s="17"/>
      <c r="C28" s="17"/>
      <c r="D28" s="17"/>
      <c r="E28" s="17"/>
      <c r="F28" s="17" t="s">
        <v>1081</v>
      </c>
      <c r="G28" s="17"/>
      <c r="H28" s="17"/>
      <c r="I28" s="17"/>
      <c r="J28" s="17"/>
      <c r="K28" s="18"/>
      <c r="L28" s="30"/>
      <c r="M28" s="479"/>
      <c r="N28" s="467"/>
      <c r="O28" s="467"/>
      <c r="P28" s="467"/>
      <c r="Q28" s="467"/>
      <c r="R28" s="467"/>
      <c r="S28" s="467"/>
      <c r="T28" s="467"/>
      <c r="U28" s="467"/>
      <c r="V28" s="467"/>
      <c r="W28" s="467"/>
      <c r="X28" s="467"/>
      <c r="Y28" s="467"/>
      <c r="Z28" s="467"/>
      <c r="AA28" s="467"/>
    </row>
    <row r="29" spans="1:27">
      <c r="A29" s="25"/>
      <c r="B29" s="17"/>
      <c r="C29" s="17"/>
      <c r="D29" s="17"/>
      <c r="E29" s="17"/>
      <c r="F29" s="17"/>
      <c r="G29" s="17"/>
      <c r="H29" s="17"/>
      <c r="I29" s="17"/>
      <c r="J29" s="17"/>
      <c r="K29" s="18"/>
      <c r="L29" s="30"/>
      <c r="M29" s="479"/>
      <c r="N29" s="467"/>
      <c r="O29" s="467"/>
      <c r="P29" s="467"/>
      <c r="Q29" s="467"/>
      <c r="R29" s="467"/>
      <c r="S29" s="467"/>
      <c r="T29" s="467"/>
      <c r="U29" s="467"/>
      <c r="V29" s="467"/>
      <c r="W29" s="467"/>
      <c r="X29" s="467"/>
      <c r="Y29" s="467"/>
      <c r="Z29" s="467"/>
      <c r="AA29" s="467"/>
    </row>
    <row r="30" spans="1:27" ht="15.75" thickBot="1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2"/>
      <c r="L30" s="30"/>
      <c r="M30" s="479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</row>
    <row r="31" spans="1:27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479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</row>
    <row r="32" spans="1:27">
      <c r="L32" s="30"/>
      <c r="M32" s="479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</row>
    <row r="33" spans="12:27">
      <c r="L33" s="30"/>
      <c r="M33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</row>
    <row r="34" spans="12:27">
      <c r="L34" s="30"/>
      <c r="M34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</row>
    <row r="35" spans="12:27">
      <c r="L35" s="30"/>
      <c r="M35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</row>
    <row r="36" spans="12:27">
      <c r="L36" s="30"/>
      <c r="M36" s="42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</row>
    <row r="37" spans="12:27">
      <c r="L37" s="30"/>
      <c r="M3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</row>
    <row r="38" spans="12:27">
      <c r="L38" s="30"/>
      <c r="M38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</row>
    <row r="39" spans="12:27" ht="15" customHeight="1">
      <c r="L39" s="30"/>
      <c r="M39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</row>
    <row r="40" spans="12:27" ht="15" customHeight="1">
      <c r="L40" s="30"/>
      <c r="M40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</row>
    <row r="41" spans="12:27" ht="15" customHeight="1">
      <c r="L41" s="30"/>
      <c r="M41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</row>
    <row r="42" spans="12:27" ht="15" customHeight="1">
      <c r="L42" s="30"/>
      <c r="M42" s="42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</row>
    <row r="43" spans="12:27" ht="15" customHeight="1">
      <c r="L43" s="30"/>
      <c r="M43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</row>
    <row r="44" spans="12:27" ht="15" customHeight="1">
      <c r="L44" s="30"/>
      <c r="M44" s="42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</row>
    <row r="45" spans="12:27" ht="15" customHeight="1">
      <c r="L45" s="30"/>
      <c r="M45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</row>
    <row r="46" spans="12:27" ht="15" customHeight="1">
      <c r="L46" s="30"/>
      <c r="M46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</row>
    <row r="47" spans="12:27" ht="15" customHeight="1">
      <c r="L47" s="30"/>
      <c r="M47"/>
      <c r="N47" s="467"/>
      <c r="O47" s="467"/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 s="467"/>
      <c r="AA47" s="467"/>
    </row>
    <row r="48" spans="12:27" ht="15" customHeight="1">
      <c r="L48" s="30"/>
      <c r="M48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</row>
    <row r="49" spans="2:27" ht="15" customHeight="1">
      <c r="L49" s="30"/>
      <c r="M49"/>
      <c r="N49" s="467"/>
      <c r="O49" s="467"/>
      <c r="P49" s="467"/>
      <c r="Q49" s="467"/>
      <c r="R49" s="467"/>
      <c r="S49" s="467"/>
      <c r="T49" s="467"/>
      <c r="U49" s="467"/>
      <c r="V49" s="467"/>
      <c r="W49" s="467"/>
      <c r="X49" s="467"/>
      <c r="Y49" s="467"/>
      <c r="Z49" s="467"/>
      <c r="AA49" s="467"/>
    </row>
    <row r="50" spans="2:27" ht="15" customHeight="1">
      <c r="L50" s="30"/>
      <c r="M50"/>
      <c r="N50" s="467"/>
      <c r="O50" s="467"/>
      <c r="P50" s="467"/>
      <c r="Q50" s="467"/>
      <c r="R50" s="467"/>
      <c r="S50" s="467"/>
      <c r="T50" s="467"/>
      <c r="U50" s="467"/>
      <c r="V50" s="467"/>
      <c r="W50" s="467"/>
      <c r="X50" s="467"/>
      <c r="Y50" s="467"/>
      <c r="Z50" s="467"/>
      <c r="AA50" s="467"/>
    </row>
    <row r="51" spans="2:27" ht="15" customHeight="1">
      <c r="L51" s="30"/>
      <c r="M51"/>
      <c r="N51" s="467"/>
      <c r="O51" s="467"/>
      <c r="P51" s="467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</row>
    <row r="52" spans="2:27" ht="15" customHeight="1">
      <c r="L52" s="30"/>
      <c r="M52"/>
      <c r="N52" s="467"/>
      <c r="O52" s="467"/>
      <c r="P52" s="467"/>
      <c r="Q52" s="467"/>
      <c r="R52" s="467"/>
      <c r="S52" s="467"/>
      <c r="T52" s="467"/>
      <c r="U52" s="467"/>
      <c r="V52" s="467"/>
      <c r="W52" s="467"/>
      <c r="X52" s="467"/>
      <c r="Y52" s="467"/>
      <c r="Z52" s="467"/>
      <c r="AA52" s="467"/>
    </row>
    <row r="53" spans="2:27" ht="15" customHeight="1">
      <c r="L53" s="30"/>
      <c r="M53"/>
      <c r="N53" s="467"/>
      <c r="O53" s="467"/>
      <c r="P53" s="467"/>
      <c r="Q53" s="467"/>
      <c r="R53" s="467"/>
      <c r="S53" s="467"/>
      <c r="T53" s="467"/>
      <c r="U53" s="467"/>
      <c r="V53" s="467"/>
      <c r="W53" s="467"/>
      <c r="X53" s="467"/>
      <c r="Y53" s="467"/>
      <c r="Z53" s="467"/>
      <c r="AA53" s="467"/>
    </row>
    <row r="54" spans="2:27" ht="15" customHeight="1">
      <c r="L54" s="30"/>
      <c r="M54"/>
      <c r="N54" s="467"/>
      <c r="O54" s="467"/>
      <c r="P54" s="467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</row>
    <row r="55" spans="2:27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</row>
    <row r="56" spans="2:27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/>
      <c r="N56" s="467"/>
      <c r="O56" s="467"/>
      <c r="P56" s="467"/>
      <c r="Q56" s="467"/>
      <c r="R56" s="467"/>
      <c r="S56" s="467"/>
      <c r="T56" s="467"/>
      <c r="U56" s="467"/>
      <c r="V56" s="467"/>
      <c r="W56" s="467"/>
      <c r="X56" s="467"/>
      <c r="Y56" s="467"/>
      <c r="Z56" s="467"/>
      <c r="AA56" s="467"/>
    </row>
    <row r="57" spans="2:27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/>
      <c r="N57" s="467"/>
      <c r="O57" s="467"/>
      <c r="P57" s="467"/>
      <c r="Q57" s="467"/>
      <c r="R57" s="467"/>
      <c r="S57" s="467"/>
      <c r="T57" s="467"/>
      <c r="U57" s="467"/>
      <c r="V57" s="467"/>
      <c r="W57" s="467"/>
      <c r="X57" s="467"/>
      <c r="Y57" s="467"/>
      <c r="Z57" s="467"/>
      <c r="AA57" s="467"/>
    </row>
    <row r="58" spans="2:27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</row>
    <row r="59" spans="2:27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/>
      <c r="N59" s="467"/>
      <c r="O59" s="467"/>
      <c r="P59" s="467"/>
      <c r="Q59" s="467"/>
      <c r="R59" s="467"/>
      <c r="S59" s="467"/>
      <c r="T59" s="467"/>
      <c r="U59" s="467"/>
      <c r="V59" s="467"/>
      <c r="W59" s="467"/>
      <c r="X59" s="467"/>
      <c r="Y59" s="467"/>
      <c r="Z59" s="467"/>
      <c r="AA59" s="467"/>
    </row>
    <row r="60" spans="2:27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</row>
    <row r="61" spans="2:27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N61" s="467"/>
      <c r="O61" s="467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</row>
    <row r="62" spans="2:27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N62" s="467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</row>
    <row r="63" spans="2:27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N63" s="467"/>
      <c r="O63" s="467"/>
      <c r="P63" s="467"/>
      <c r="Q63" s="467"/>
      <c r="R63" s="467"/>
      <c r="S63" s="467"/>
      <c r="T63" s="467"/>
      <c r="U63" s="467"/>
      <c r="V63" s="467"/>
      <c r="W63" s="467"/>
      <c r="X63" s="467"/>
      <c r="Y63" s="467"/>
      <c r="Z63" s="467"/>
      <c r="AA63" s="467"/>
    </row>
    <row r="64" spans="2:27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N64" s="467"/>
      <c r="O64" s="467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 s="467"/>
      <c r="AA64" s="467"/>
    </row>
    <row r="65" spans="2:27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N65" s="467"/>
      <c r="O65" s="467"/>
      <c r="P65" s="467"/>
      <c r="Q65" s="467"/>
      <c r="R65" s="467"/>
      <c r="S65" s="467"/>
      <c r="T65" s="467"/>
      <c r="U65" s="467"/>
      <c r="V65" s="467"/>
      <c r="W65" s="467"/>
      <c r="X65" s="467"/>
      <c r="Y65" s="467"/>
      <c r="Z65" s="467"/>
      <c r="AA65" s="467"/>
    </row>
    <row r="66" spans="2:27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N66" s="467"/>
      <c r="O66" s="467"/>
      <c r="P66" s="467"/>
      <c r="Q66" s="467"/>
      <c r="R66" s="467"/>
      <c r="S66" s="467"/>
      <c r="T66" s="467"/>
      <c r="U66" s="467"/>
      <c r="V66" s="467"/>
      <c r="W66" s="467"/>
      <c r="X66" s="467"/>
      <c r="Y66" s="467"/>
      <c r="Z66" s="467"/>
      <c r="AA66" s="467"/>
    </row>
    <row r="67" spans="2:27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N67" s="467"/>
      <c r="O67" s="467"/>
      <c r="P67" s="467"/>
      <c r="Q67" s="467"/>
      <c r="R67" s="467"/>
      <c r="S67" s="467"/>
      <c r="T67" s="467"/>
      <c r="U67" s="467"/>
      <c r="V67" s="467"/>
      <c r="W67" s="467"/>
      <c r="X67" s="467"/>
      <c r="Y67" s="467"/>
      <c r="Z67" s="467"/>
      <c r="AA67" s="467"/>
    </row>
    <row r="68" spans="2:27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N68" s="467"/>
      <c r="O68" s="467"/>
      <c r="P68" s="467"/>
      <c r="Q68" s="467"/>
      <c r="R68" s="467"/>
      <c r="S68" s="467"/>
      <c r="T68" s="467"/>
      <c r="U68" s="467"/>
      <c r="V68" s="467"/>
      <c r="W68" s="467"/>
      <c r="X68" s="467"/>
      <c r="Y68" s="467"/>
      <c r="Z68" s="467"/>
      <c r="AA68" s="467"/>
    </row>
    <row r="69" spans="2:27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N69" s="467"/>
      <c r="O69" s="467"/>
      <c r="P69" s="467"/>
      <c r="Q69" s="467"/>
      <c r="R69" s="467"/>
      <c r="S69" s="467"/>
      <c r="T69" s="467"/>
      <c r="U69" s="467"/>
      <c r="V69" s="467"/>
      <c r="W69" s="467"/>
      <c r="X69" s="467"/>
      <c r="Y69" s="467"/>
      <c r="Z69" s="467"/>
      <c r="AA69" s="467"/>
    </row>
    <row r="70" spans="2:27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N70" s="467"/>
      <c r="O70" s="467"/>
      <c r="P70" s="467"/>
      <c r="Q70" s="467"/>
      <c r="R70" s="467"/>
      <c r="S70" s="467"/>
      <c r="T70" s="467"/>
      <c r="U70" s="467"/>
      <c r="V70" s="467"/>
      <c r="W70" s="467"/>
      <c r="X70" s="467"/>
      <c r="Y70" s="467"/>
      <c r="Z70" s="467"/>
      <c r="AA70" s="467"/>
    </row>
    <row r="71" spans="2:27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N71" s="467"/>
      <c r="O71" s="467"/>
      <c r="P71" s="467"/>
      <c r="Q71" s="467"/>
      <c r="R71" s="467"/>
      <c r="S71" s="467"/>
      <c r="T71" s="467"/>
      <c r="U71" s="467"/>
      <c r="V71" s="467"/>
      <c r="W71" s="467"/>
      <c r="X71" s="467"/>
      <c r="Y71" s="467"/>
      <c r="Z71" s="467"/>
      <c r="AA71" s="467"/>
    </row>
    <row r="72" spans="2:27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N72" s="467"/>
      <c r="O72" s="467"/>
      <c r="P72" s="467"/>
      <c r="Q72" s="467"/>
      <c r="R72" s="467"/>
      <c r="S72" s="467"/>
      <c r="T72" s="467"/>
      <c r="U72" s="467"/>
      <c r="V72" s="467"/>
      <c r="W72" s="467"/>
      <c r="X72" s="467"/>
      <c r="Y72" s="467"/>
      <c r="Z72" s="467"/>
      <c r="AA72" s="467"/>
    </row>
    <row r="73" spans="2:27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N73" s="467"/>
      <c r="O73" s="467"/>
      <c r="P73" s="467"/>
      <c r="Q73" s="467"/>
      <c r="R73" s="467"/>
      <c r="S73" s="467"/>
      <c r="T73" s="467"/>
      <c r="U73" s="467"/>
      <c r="V73" s="467"/>
      <c r="W73" s="467"/>
      <c r="X73" s="467"/>
      <c r="Y73" s="467"/>
      <c r="Z73" s="467"/>
      <c r="AA73" s="467"/>
    </row>
    <row r="74" spans="2:27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N74" s="467"/>
      <c r="O74" s="467"/>
      <c r="P74" s="467"/>
      <c r="Q74" s="467"/>
      <c r="R74" s="467"/>
      <c r="S74" s="467"/>
      <c r="T74" s="467"/>
      <c r="U74" s="467"/>
      <c r="V74" s="467"/>
      <c r="W74" s="467"/>
      <c r="X74" s="467"/>
      <c r="Y74" s="467"/>
      <c r="Z74" s="467"/>
      <c r="AA74" s="467"/>
    </row>
    <row r="75" spans="2:27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N75" s="467"/>
      <c r="O75" s="467"/>
      <c r="P75" s="467"/>
      <c r="Q75" s="467"/>
      <c r="R75" s="467"/>
      <c r="S75" s="467"/>
      <c r="T75" s="467"/>
      <c r="U75" s="467"/>
      <c r="V75" s="467"/>
      <c r="W75" s="467"/>
      <c r="X75" s="467"/>
      <c r="Y75" s="467"/>
      <c r="Z75" s="467"/>
      <c r="AA75" s="467"/>
    </row>
    <row r="76" spans="2:27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N76" s="467"/>
      <c r="O76" s="467"/>
      <c r="P76" s="467"/>
      <c r="Q76" s="467"/>
      <c r="R76" s="467"/>
      <c r="S76" s="467"/>
      <c r="T76" s="467"/>
      <c r="U76" s="467"/>
      <c r="V76" s="467"/>
      <c r="W76" s="467"/>
      <c r="X76" s="467"/>
      <c r="Y76" s="467"/>
      <c r="Z76" s="467"/>
      <c r="AA76" s="467"/>
    </row>
    <row r="77" spans="2:27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N77" s="467"/>
      <c r="O77" s="467"/>
      <c r="P77" s="467"/>
      <c r="Q77" s="467"/>
      <c r="R77" s="467"/>
      <c r="S77" s="467"/>
      <c r="T77" s="467"/>
      <c r="U77" s="467"/>
      <c r="V77" s="467"/>
      <c r="W77" s="467"/>
      <c r="X77" s="467"/>
      <c r="Y77" s="467"/>
      <c r="Z77" s="467"/>
      <c r="AA77" s="467"/>
    </row>
    <row r="78" spans="2:27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N78" s="467"/>
      <c r="O78" s="467"/>
      <c r="P78" s="467"/>
      <c r="Q78" s="467"/>
      <c r="R78" s="467"/>
      <c r="S78" s="467"/>
      <c r="T78" s="467"/>
      <c r="U78" s="467"/>
      <c r="V78" s="467"/>
      <c r="W78" s="467"/>
      <c r="X78" s="467"/>
      <c r="Y78" s="467"/>
      <c r="Z78" s="467"/>
      <c r="AA78" s="467"/>
    </row>
    <row r="79" spans="2:27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N79" s="467"/>
      <c r="O79" s="467"/>
      <c r="P79" s="467"/>
      <c r="Q79" s="467"/>
      <c r="R79" s="467"/>
      <c r="S79" s="467"/>
      <c r="T79" s="467"/>
      <c r="U79" s="467"/>
      <c r="V79" s="467"/>
      <c r="W79" s="467"/>
      <c r="X79" s="467"/>
      <c r="Y79" s="467"/>
      <c r="Z79" s="467"/>
      <c r="AA79" s="467"/>
    </row>
    <row r="80" spans="2:27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N80" s="467"/>
      <c r="O80" s="467"/>
      <c r="P80" s="467"/>
      <c r="Q80" s="467"/>
      <c r="R80" s="467"/>
      <c r="S80" s="467"/>
      <c r="T80" s="467"/>
      <c r="U80" s="467"/>
      <c r="V80" s="467"/>
      <c r="W80" s="467"/>
      <c r="X80" s="467"/>
      <c r="Y80" s="467"/>
      <c r="Z80" s="467"/>
      <c r="AA80" s="467"/>
    </row>
    <row r="81" spans="2:27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N81" s="467"/>
      <c r="O81" s="467"/>
      <c r="P81" s="467"/>
      <c r="Q81" s="467"/>
      <c r="R81" s="467"/>
      <c r="S81" s="467"/>
      <c r="T81" s="467"/>
      <c r="U81" s="467"/>
      <c r="V81" s="467"/>
      <c r="W81" s="467"/>
      <c r="X81" s="467"/>
      <c r="Y81" s="467"/>
      <c r="Z81" s="467"/>
      <c r="AA81" s="467"/>
    </row>
    <row r="82" spans="2:27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N82" s="467"/>
      <c r="O82" s="467"/>
      <c r="P82" s="467"/>
      <c r="Q82" s="467"/>
      <c r="R82" s="467"/>
      <c r="S82" s="467"/>
      <c r="T82" s="467"/>
      <c r="U82" s="467"/>
      <c r="V82" s="467"/>
      <c r="W82" s="467"/>
      <c r="X82" s="467"/>
      <c r="Y82" s="467"/>
      <c r="Z82" s="467"/>
      <c r="AA82" s="467"/>
    </row>
    <row r="83" spans="2:27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N83" s="467"/>
      <c r="O83" s="467"/>
      <c r="P83" s="467"/>
      <c r="Q83" s="467"/>
      <c r="R83" s="467"/>
      <c r="S83" s="467"/>
      <c r="T83" s="467"/>
      <c r="U83" s="467"/>
      <c r="V83" s="467"/>
      <c r="W83" s="467"/>
      <c r="X83" s="467"/>
      <c r="Y83" s="467"/>
      <c r="Z83" s="467"/>
      <c r="AA83" s="467"/>
    </row>
    <row r="84" spans="2:27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N84" s="467"/>
      <c r="O84" s="467"/>
      <c r="P84" s="467"/>
      <c r="Q84" s="467"/>
      <c r="R84" s="467"/>
      <c r="S84" s="467"/>
      <c r="T84" s="467"/>
      <c r="U84" s="467"/>
      <c r="V84" s="467"/>
      <c r="W84" s="467"/>
      <c r="X84" s="467"/>
      <c r="Y84" s="467"/>
      <c r="Z84" s="467"/>
      <c r="AA84" s="467"/>
    </row>
    <row r="85" spans="2:27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N85" s="467"/>
      <c r="O85" s="467"/>
      <c r="P85" s="467"/>
      <c r="Q85" s="467"/>
      <c r="R85" s="467"/>
      <c r="S85" s="467"/>
      <c r="T85" s="467"/>
      <c r="U85" s="467"/>
      <c r="V85" s="467"/>
      <c r="W85" s="467"/>
      <c r="X85" s="467"/>
      <c r="Y85" s="467"/>
      <c r="Z85" s="467"/>
      <c r="AA85" s="467"/>
    </row>
    <row r="86" spans="2:27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N86" s="467"/>
      <c r="O86" s="467"/>
      <c r="P86" s="467"/>
      <c r="Q86" s="467"/>
      <c r="R86" s="467"/>
      <c r="S86" s="467"/>
      <c r="T86" s="467"/>
      <c r="U86" s="467"/>
      <c r="V86" s="467"/>
      <c r="W86" s="467"/>
      <c r="X86" s="467"/>
      <c r="Y86" s="467"/>
      <c r="Z86" s="467"/>
      <c r="AA86" s="467"/>
    </row>
    <row r="87" spans="2:27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N87" s="467"/>
      <c r="O87" s="467"/>
      <c r="P87" s="467"/>
      <c r="Q87" s="467"/>
      <c r="R87" s="467"/>
      <c r="S87" s="467"/>
      <c r="T87" s="467"/>
      <c r="U87" s="467"/>
      <c r="V87" s="467"/>
      <c r="W87" s="467"/>
      <c r="X87" s="467"/>
      <c r="Y87" s="467"/>
      <c r="Z87" s="467"/>
      <c r="AA87" s="467"/>
    </row>
    <row r="88" spans="2:27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N88" s="467"/>
      <c r="O88" s="467"/>
      <c r="P88" s="467"/>
      <c r="Q88" s="467"/>
      <c r="R88" s="467"/>
      <c r="S88" s="467"/>
      <c r="T88" s="467"/>
      <c r="U88" s="467"/>
      <c r="V88" s="467"/>
      <c r="W88" s="467"/>
      <c r="X88" s="467"/>
      <c r="Y88" s="467"/>
      <c r="Z88" s="467"/>
      <c r="AA88" s="467"/>
    </row>
    <row r="89" spans="2:27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N89" s="467"/>
      <c r="O89" s="467"/>
      <c r="P89" s="467"/>
      <c r="Q89" s="467"/>
      <c r="R89" s="467"/>
      <c r="S89" s="467"/>
      <c r="T89" s="467"/>
      <c r="U89" s="467"/>
      <c r="V89" s="467"/>
      <c r="W89" s="467"/>
      <c r="X89" s="467"/>
      <c r="Y89" s="467"/>
      <c r="Z89" s="467"/>
      <c r="AA89" s="467"/>
    </row>
    <row r="90" spans="2:27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N90" s="467"/>
      <c r="O90" s="467"/>
      <c r="P90" s="467"/>
      <c r="Q90" s="467"/>
      <c r="R90" s="467"/>
      <c r="S90" s="467"/>
      <c r="T90" s="467"/>
      <c r="U90" s="467"/>
      <c r="V90" s="467"/>
      <c r="W90" s="467"/>
      <c r="X90" s="467"/>
      <c r="Y90" s="467"/>
      <c r="Z90" s="467"/>
      <c r="AA90" s="467"/>
    </row>
    <row r="91" spans="2:27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N91" s="467"/>
      <c r="O91" s="467"/>
      <c r="P91" s="467"/>
      <c r="Q91" s="467"/>
      <c r="R91" s="467"/>
      <c r="S91" s="467"/>
      <c r="T91" s="467"/>
      <c r="U91" s="467"/>
      <c r="V91" s="467"/>
      <c r="W91" s="467"/>
      <c r="X91" s="467"/>
      <c r="Y91" s="467"/>
      <c r="Z91" s="467"/>
      <c r="AA91" s="467"/>
    </row>
    <row r="92" spans="2:27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N92" s="467"/>
      <c r="O92" s="467"/>
      <c r="P92" s="467"/>
      <c r="Q92" s="467"/>
      <c r="R92" s="467"/>
      <c r="S92" s="467"/>
      <c r="T92" s="467"/>
      <c r="U92" s="467"/>
      <c r="V92" s="467"/>
      <c r="W92" s="467"/>
      <c r="X92" s="467"/>
      <c r="Y92" s="467"/>
      <c r="Z92" s="467"/>
      <c r="AA92" s="467"/>
    </row>
    <row r="93" spans="2:27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N93" s="467"/>
      <c r="O93" s="467"/>
      <c r="P93" s="467"/>
      <c r="Q93" s="467"/>
      <c r="R93" s="467"/>
      <c r="S93" s="467"/>
      <c r="T93" s="467"/>
      <c r="U93" s="467"/>
      <c r="V93" s="467"/>
      <c r="W93" s="467"/>
      <c r="X93" s="467"/>
      <c r="Y93" s="467"/>
      <c r="Z93" s="467"/>
      <c r="AA93" s="467"/>
    </row>
    <row r="94" spans="2:27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N94" s="467"/>
      <c r="O94" s="467"/>
      <c r="P94" s="467"/>
      <c r="Q94" s="467"/>
      <c r="R94" s="467"/>
      <c r="S94" s="467"/>
      <c r="T94" s="467"/>
      <c r="U94" s="467"/>
      <c r="V94" s="467"/>
      <c r="W94" s="467"/>
      <c r="X94" s="467"/>
      <c r="Y94" s="467"/>
      <c r="Z94" s="467"/>
      <c r="AA94" s="467"/>
    </row>
    <row r="95" spans="2:27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N95" s="467"/>
      <c r="O95" s="467"/>
      <c r="P95" s="467"/>
      <c r="Q95" s="467"/>
      <c r="R95" s="467"/>
      <c r="S95" s="467"/>
      <c r="T95" s="467"/>
      <c r="U95" s="467"/>
      <c r="V95" s="467"/>
      <c r="W95" s="467"/>
      <c r="X95" s="467"/>
      <c r="Y95" s="467"/>
      <c r="Z95" s="467"/>
      <c r="AA95" s="467"/>
    </row>
    <row r="96" spans="2:27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N96" s="467"/>
      <c r="O96" s="467"/>
      <c r="P96" s="467"/>
      <c r="Q96" s="467"/>
      <c r="R96" s="467"/>
      <c r="S96" s="467"/>
      <c r="T96" s="467"/>
      <c r="U96" s="467"/>
      <c r="V96" s="467"/>
      <c r="W96" s="467"/>
      <c r="X96" s="467"/>
      <c r="Y96" s="467"/>
      <c r="Z96" s="467"/>
      <c r="AA96" s="467"/>
    </row>
    <row r="97" spans="2:27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N97" s="467"/>
      <c r="O97" s="467"/>
      <c r="P97" s="467"/>
      <c r="Q97" s="467"/>
      <c r="R97" s="467"/>
      <c r="S97" s="467"/>
      <c r="T97" s="467"/>
      <c r="U97" s="467"/>
      <c r="V97" s="467"/>
      <c r="W97" s="467"/>
      <c r="X97" s="467"/>
      <c r="Y97" s="467"/>
      <c r="Z97" s="467"/>
      <c r="AA97" s="467"/>
    </row>
    <row r="98" spans="2:27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N98" s="467"/>
      <c r="O98" s="467"/>
      <c r="P98" s="467"/>
      <c r="Q98" s="467"/>
      <c r="R98" s="467"/>
      <c r="S98" s="467"/>
      <c r="T98" s="467"/>
      <c r="U98" s="467"/>
      <c r="V98" s="467"/>
      <c r="W98" s="467"/>
      <c r="X98" s="467"/>
      <c r="Y98" s="467"/>
      <c r="Z98" s="467"/>
      <c r="AA98" s="467"/>
    </row>
    <row r="99" spans="2:27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N99" s="467"/>
      <c r="O99" s="467"/>
      <c r="P99" s="467"/>
      <c r="Q99" s="467"/>
      <c r="R99" s="467"/>
      <c r="S99" s="467"/>
      <c r="T99" s="467"/>
      <c r="U99" s="467"/>
      <c r="V99" s="467"/>
      <c r="W99" s="467"/>
      <c r="X99" s="467"/>
      <c r="Y99" s="467"/>
      <c r="Z99" s="467"/>
      <c r="AA99" s="467"/>
    </row>
    <row r="100" spans="2:27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467"/>
      <c r="AA100" s="467"/>
    </row>
    <row r="101" spans="2:27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N101" s="467"/>
      <c r="O101" s="467"/>
      <c r="P101" s="467"/>
      <c r="Q101" s="467"/>
      <c r="R101" s="467"/>
      <c r="S101" s="467"/>
      <c r="T101" s="467"/>
      <c r="U101" s="467"/>
      <c r="V101" s="467"/>
      <c r="W101" s="467"/>
      <c r="X101" s="467"/>
      <c r="Y101" s="467"/>
      <c r="Z101" s="467"/>
      <c r="AA101" s="467"/>
    </row>
    <row r="102" spans="2:27" ht="1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N102" s="467"/>
      <c r="O102" s="467"/>
      <c r="P102" s="467"/>
      <c r="Q102" s="467"/>
      <c r="R102" s="467"/>
      <c r="S102" s="467"/>
      <c r="T102" s="467"/>
      <c r="U102" s="467"/>
      <c r="V102" s="467"/>
      <c r="W102" s="467"/>
      <c r="X102" s="467"/>
      <c r="Y102" s="467"/>
      <c r="Z102" s="467"/>
      <c r="AA102" s="467"/>
    </row>
    <row r="103" spans="2:27" ht="1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N103" s="467"/>
      <c r="O103" s="467"/>
      <c r="P103" s="467"/>
      <c r="Q103" s="467"/>
      <c r="R103" s="467"/>
      <c r="S103" s="467"/>
      <c r="T103" s="467"/>
      <c r="U103" s="467"/>
      <c r="V103" s="467"/>
      <c r="W103" s="467"/>
      <c r="X103" s="467"/>
      <c r="Y103" s="467"/>
      <c r="Z103" s="467"/>
      <c r="AA103" s="467"/>
    </row>
    <row r="104" spans="2:27" ht="1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N104" s="467"/>
      <c r="O104" s="467"/>
      <c r="P104" s="467"/>
      <c r="Q104" s="467"/>
      <c r="R104" s="467"/>
      <c r="S104" s="467"/>
      <c r="T104" s="467"/>
      <c r="U104" s="467"/>
      <c r="V104" s="467"/>
      <c r="W104" s="467"/>
      <c r="X104" s="467"/>
      <c r="Y104" s="467"/>
      <c r="Z104" s="467"/>
      <c r="AA104" s="467"/>
    </row>
    <row r="105" spans="2:27" ht="1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N105" s="467"/>
      <c r="O105" s="467"/>
      <c r="P105" s="467"/>
      <c r="Q105" s="467"/>
      <c r="R105" s="467"/>
      <c r="S105" s="467"/>
      <c r="T105" s="467"/>
      <c r="U105" s="467"/>
      <c r="V105" s="467"/>
      <c r="W105" s="467"/>
      <c r="X105" s="467"/>
      <c r="Y105" s="467"/>
      <c r="Z105" s="467"/>
      <c r="AA105" s="467"/>
    </row>
    <row r="106" spans="2:27" ht="1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N106" s="467"/>
      <c r="O106" s="467"/>
      <c r="P106" s="467"/>
      <c r="Q106" s="467"/>
      <c r="R106" s="467"/>
      <c r="S106" s="467"/>
      <c r="T106" s="467"/>
      <c r="U106" s="467"/>
      <c r="V106" s="467"/>
      <c r="W106" s="467"/>
      <c r="X106" s="467"/>
      <c r="Y106" s="467"/>
      <c r="Z106" s="467"/>
      <c r="AA106" s="467"/>
    </row>
    <row r="107" spans="2:27" ht="1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N107" s="467"/>
      <c r="O107" s="467"/>
      <c r="P107" s="467"/>
      <c r="Q107" s="467"/>
      <c r="R107" s="467"/>
      <c r="S107" s="467"/>
      <c r="T107" s="467"/>
      <c r="U107" s="467"/>
      <c r="V107" s="467"/>
      <c r="W107" s="467"/>
      <c r="X107" s="467"/>
      <c r="Y107" s="467"/>
      <c r="Z107" s="467"/>
      <c r="AA107" s="467"/>
    </row>
    <row r="108" spans="2:27" ht="1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N108" s="467"/>
      <c r="O108" s="467"/>
      <c r="P108" s="467"/>
      <c r="Q108" s="467"/>
      <c r="R108" s="467"/>
      <c r="S108" s="467"/>
      <c r="T108" s="467"/>
      <c r="U108" s="467"/>
      <c r="V108" s="467"/>
      <c r="W108" s="467"/>
      <c r="X108" s="467"/>
      <c r="Y108" s="467"/>
      <c r="Z108" s="467"/>
      <c r="AA108" s="467"/>
    </row>
    <row r="109" spans="2:27" ht="1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N109" s="467"/>
      <c r="O109" s="467"/>
      <c r="P109" s="467"/>
      <c r="Q109" s="467"/>
      <c r="R109" s="467"/>
      <c r="S109" s="467"/>
      <c r="T109" s="467"/>
      <c r="U109" s="467"/>
      <c r="V109" s="467"/>
      <c r="W109" s="467"/>
      <c r="X109" s="467"/>
      <c r="Y109" s="467"/>
      <c r="Z109" s="467"/>
      <c r="AA109" s="467"/>
    </row>
    <row r="110" spans="2:27" ht="1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N110" s="467"/>
      <c r="O110" s="467"/>
      <c r="P110" s="467"/>
      <c r="Q110" s="467"/>
      <c r="R110" s="467"/>
      <c r="S110" s="467"/>
      <c r="T110" s="467"/>
      <c r="U110" s="467"/>
      <c r="V110" s="467"/>
      <c r="W110" s="467"/>
      <c r="X110" s="467"/>
      <c r="Y110" s="467"/>
      <c r="Z110" s="467"/>
      <c r="AA110" s="467"/>
    </row>
  </sheetData>
  <mergeCells count="1">
    <mergeCell ref="J1:K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U93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15</v>
      </c>
      <c r="B1" s="26" t="s">
        <v>12</v>
      </c>
      <c r="C1" s="20"/>
      <c r="D1" s="20"/>
      <c r="E1" s="20"/>
      <c r="F1" s="20"/>
      <c r="G1" s="20"/>
      <c r="H1" s="1024" t="s">
        <v>24</v>
      </c>
      <c r="I1" s="1025"/>
      <c r="K1" s="1" t="s">
        <v>33</v>
      </c>
      <c r="L1" s="47" t="str">
        <f>VLOOKUP(A1,'Point Grid'!$L$8:$T$54,9,FALSE)</f>
        <v>Pricing - Chap 11: Special Classification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 s="467"/>
      <c r="N2" s="467"/>
      <c r="O2" s="467"/>
      <c r="P2" s="467"/>
      <c r="Q2" s="467"/>
      <c r="R2" s="467"/>
      <c r="S2" s="467"/>
      <c r="T2" s="467"/>
      <c r="U2" s="467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2" t="s">
        <v>2</v>
      </c>
      <c r="L3" s="128" t="s">
        <v>99</v>
      </c>
      <c r="M3" s="478" t="s">
        <v>572</v>
      </c>
      <c r="N3" s="478"/>
      <c r="O3" s="478"/>
      <c r="P3" s="478"/>
      <c r="Q3" s="478"/>
      <c r="R3" s="478"/>
      <c r="S3" s="429"/>
      <c r="T3" s="478"/>
      <c r="U3" s="478"/>
    </row>
    <row r="4" spans="1:21">
      <c r="A4" s="9">
        <f>INDEX('Point Grid'!B:B,MATCH(A1,'Point Grid'!A:A,0))</f>
        <v>1.25</v>
      </c>
      <c r="B4" s="17"/>
      <c r="C4" s="17"/>
      <c r="D4" s="17"/>
      <c r="E4" s="17"/>
      <c r="F4" s="17"/>
      <c r="G4" s="17"/>
      <c r="H4" s="17"/>
      <c r="I4" s="18"/>
      <c r="J4" s="30"/>
      <c r="K4" s="596" t="s">
        <v>576</v>
      </c>
      <c r="L4" s="596"/>
      <c r="M4" s="478"/>
      <c r="N4" s="478"/>
      <c r="O4" s="478"/>
      <c r="P4" s="478"/>
      <c r="Q4" s="478"/>
      <c r="R4" s="478"/>
      <c r="S4" s="478"/>
      <c r="T4" s="478"/>
      <c r="U4" s="478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2"/>
      <c r="L5" s="425"/>
      <c r="M5" s="142"/>
      <c r="N5" s="184" t="s">
        <v>235</v>
      </c>
      <c r="O5" s="185" t="s">
        <v>235</v>
      </c>
      <c r="P5" s="185"/>
      <c r="Q5" s="425"/>
      <c r="R5" s="425"/>
      <c r="S5" s="425"/>
      <c r="T5" s="425"/>
      <c r="U5" s="425"/>
    </row>
    <row r="6" spans="1:21">
      <c r="A6" s="25" t="s">
        <v>2</v>
      </c>
      <c r="B6" s="17" t="s">
        <v>566</v>
      </c>
      <c r="C6" s="17"/>
      <c r="D6" s="17"/>
      <c r="E6" s="17"/>
      <c r="F6" s="17"/>
      <c r="G6" s="17"/>
      <c r="H6" s="17"/>
      <c r="I6" s="18"/>
      <c r="J6" s="30"/>
      <c r="K6" s="42"/>
      <c r="L6" s="425"/>
      <c r="M6" s="94"/>
      <c r="N6" s="95" t="s">
        <v>569</v>
      </c>
      <c r="O6" s="446" t="s">
        <v>569</v>
      </c>
      <c r="P6" s="446" t="s">
        <v>97</v>
      </c>
      <c r="Q6" s="425"/>
      <c r="R6" s="425"/>
      <c r="S6" s="425"/>
      <c r="T6" s="425"/>
      <c r="U6" s="425"/>
    </row>
    <row r="7" spans="1:21" ht="15.75" thickBot="1">
      <c r="A7" s="9">
        <f>INDEX('Point Grid'!$C$8:$I$54,MATCH($A$1,'Point Grid'!$A$8:$A$54,0),MATCH(A6,'Point Grid'!$C$7:$I$7,0))</f>
        <v>1.25</v>
      </c>
      <c r="B7" s="17"/>
      <c r="C7" s="17"/>
      <c r="D7" s="17"/>
      <c r="E7" s="17"/>
      <c r="F7" s="17"/>
      <c r="G7" s="17"/>
      <c r="H7" s="17"/>
      <c r="I7" s="18"/>
      <c r="J7" s="30"/>
      <c r="K7" s="42"/>
      <c r="L7" s="425"/>
      <c r="M7" s="97" t="s">
        <v>336</v>
      </c>
      <c r="N7" s="554" t="str">
        <f>"D = "&amp;E8</f>
        <v>D = 500</v>
      </c>
      <c r="O7" s="542" t="str">
        <f>"D = "&amp;E9</f>
        <v>D = 1000</v>
      </c>
      <c r="P7" s="445" t="s">
        <v>573</v>
      </c>
      <c r="Q7" s="425"/>
      <c r="R7" s="425"/>
      <c r="S7" s="425"/>
      <c r="T7" s="425"/>
      <c r="U7" s="425"/>
    </row>
    <row r="8" spans="1:21" ht="15.75" thickBot="1">
      <c r="A8" s="5"/>
      <c r="B8" s="17"/>
      <c r="C8" s="114" t="s">
        <v>567</v>
      </c>
      <c r="D8" s="116"/>
      <c r="E8" s="116">
        <v>500</v>
      </c>
      <c r="F8" s="17"/>
      <c r="G8" s="17"/>
      <c r="H8" s="17"/>
      <c r="I8" s="18"/>
      <c r="J8" s="30"/>
      <c r="K8"/>
      <c r="L8" s="425"/>
      <c r="M8" s="94">
        <v>0</v>
      </c>
      <c r="N8" s="95">
        <v>588134</v>
      </c>
      <c r="O8" s="446">
        <v>524924</v>
      </c>
      <c r="P8" s="446">
        <f>N8-O8</f>
        <v>63210</v>
      </c>
      <c r="Q8" s="425"/>
      <c r="R8" s="425"/>
      <c r="S8" s="425"/>
      <c r="T8" s="425"/>
      <c r="U8" s="425"/>
    </row>
    <row r="9" spans="1:21">
      <c r="A9" s="25"/>
      <c r="B9" s="17"/>
      <c r="C9" s="124" t="s">
        <v>568</v>
      </c>
      <c r="D9" s="126"/>
      <c r="E9" s="126">
        <v>1000</v>
      </c>
      <c r="F9" s="17"/>
      <c r="G9" s="17"/>
      <c r="H9" s="17"/>
      <c r="I9" s="18"/>
      <c r="J9" s="30"/>
      <c r="K9" s="42"/>
      <c r="L9" s="425"/>
      <c r="M9" s="94">
        <v>100</v>
      </c>
      <c r="N9" s="95">
        <v>1176269</v>
      </c>
      <c r="O9" s="446">
        <v>1049848</v>
      </c>
      <c r="P9" s="446">
        <f>N9-O9</f>
        <v>126421</v>
      </c>
      <c r="Q9" s="425"/>
      <c r="R9" s="425"/>
      <c r="S9" s="425"/>
      <c r="T9" s="425"/>
      <c r="U9" s="425"/>
    </row>
    <row r="10" spans="1:21">
      <c r="A10" s="25"/>
      <c r="B10" s="17"/>
      <c r="C10" s="118"/>
      <c r="D10" s="118"/>
      <c r="E10" s="118"/>
      <c r="F10" s="17"/>
      <c r="G10" s="17"/>
      <c r="H10" s="17"/>
      <c r="I10" s="18"/>
      <c r="J10" s="30"/>
      <c r="K10"/>
      <c r="L10" s="425"/>
      <c r="M10" s="94">
        <v>250</v>
      </c>
      <c r="N10" s="95">
        <v>2940672</v>
      </c>
      <c r="O10" s="446">
        <v>2624621</v>
      </c>
      <c r="P10" s="446">
        <f>N10-O10</f>
        <v>316051</v>
      </c>
      <c r="Q10" s="425"/>
      <c r="R10" s="425"/>
      <c r="S10" s="425"/>
      <c r="T10" s="425"/>
      <c r="U10" s="425"/>
    </row>
    <row r="11" spans="1:21">
      <c r="A11" s="25"/>
      <c r="B11" s="17"/>
      <c r="C11" s="152"/>
      <c r="D11" s="196" t="s">
        <v>235</v>
      </c>
      <c r="E11" s="197" t="s">
        <v>235</v>
      </c>
      <c r="F11" s="17"/>
      <c r="G11" s="17"/>
      <c r="H11" s="17"/>
      <c r="I11" s="18"/>
      <c r="J11" s="30"/>
      <c r="K11"/>
      <c r="L11" s="425"/>
      <c r="M11" s="94">
        <v>500</v>
      </c>
      <c r="N11" s="590" t="s">
        <v>225</v>
      </c>
      <c r="O11" s="446">
        <v>5249242</v>
      </c>
      <c r="P11" s="591" t="s">
        <v>225</v>
      </c>
      <c r="Q11" s="425"/>
      <c r="R11" s="425"/>
      <c r="S11" s="425"/>
      <c r="T11" s="425"/>
      <c r="U11" s="425"/>
    </row>
    <row r="12" spans="1:21">
      <c r="A12" s="25"/>
      <c r="B12" s="17"/>
      <c r="C12" s="198"/>
      <c r="D12" s="199" t="s">
        <v>569</v>
      </c>
      <c r="E12" s="200" t="s">
        <v>569</v>
      </c>
      <c r="F12" s="17"/>
      <c r="G12" s="17"/>
      <c r="H12" s="17"/>
      <c r="I12" s="18"/>
      <c r="J12" s="30"/>
      <c r="K12"/>
      <c r="L12" s="425"/>
      <c r="M12" s="97">
        <v>1000</v>
      </c>
      <c r="N12" s="592" t="s">
        <v>225</v>
      </c>
      <c r="O12" s="593" t="s">
        <v>225</v>
      </c>
      <c r="P12" s="593" t="s">
        <v>225</v>
      </c>
      <c r="Q12" s="425"/>
      <c r="R12" s="425"/>
      <c r="S12" s="425"/>
      <c r="T12" s="425"/>
      <c r="U12" s="425"/>
    </row>
    <row r="13" spans="1:21">
      <c r="A13" s="25"/>
      <c r="B13" s="17"/>
      <c r="C13" s="155" t="s">
        <v>336</v>
      </c>
      <c r="D13" s="580" t="s">
        <v>570</v>
      </c>
      <c r="E13" s="581" t="s">
        <v>571</v>
      </c>
      <c r="F13" s="17"/>
      <c r="G13" s="17"/>
      <c r="H13" s="17"/>
      <c r="I13" s="18"/>
      <c r="J13" s="30"/>
      <c r="K13" s="42"/>
      <c r="L13" s="425"/>
      <c r="M13" s="97" t="s">
        <v>521</v>
      </c>
      <c r="N13" s="594">
        <f>SUM(N8:N12)</f>
        <v>4705075</v>
      </c>
      <c r="O13" s="113">
        <f>SUM(O8:O12)</f>
        <v>9448635</v>
      </c>
      <c r="P13" s="247">
        <f>SUM(P8:P12)</f>
        <v>505682</v>
      </c>
      <c r="Q13" s="425"/>
      <c r="R13" s="425"/>
      <c r="S13" s="425"/>
      <c r="T13" s="425"/>
      <c r="U13" s="425"/>
    </row>
    <row r="14" spans="1:21">
      <c r="A14" s="25"/>
      <c r="B14" s="17"/>
      <c r="C14" s="198">
        <v>0</v>
      </c>
      <c r="D14" s="582">
        <v>3700</v>
      </c>
      <c r="E14" s="583">
        <v>2886</v>
      </c>
      <c r="F14" s="17"/>
      <c r="G14" s="17"/>
      <c r="H14" s="17"/>
      <c r="I14" s="18"/>
      <c r="J14" s="30"/>
      <c r="K14"/>
      <c r="L14" s="425"/>
      <c r="M14" s="425"/>
      <c r="N14" s="425"/>
      <c r="O14" s="425"/>
      <c r="P14" s="425"/>
      <c r="Q14" s="425"/>
      <c r="R14" s="425"/>
      <c r="S14" s="425"/>
      <c r="T14" s="425"/>
      <c r="U14" s="425"/>
    </row>
    <row r="15" spans="1:21">
      <c r="A15" s="25"/>
      <c r="B15" s="17"/>
      <c r="C15" s="198">
        <v>100</v>
      </c>
      <c r="D15" s="582">
        <v>7400</v>
      </c>
      <c r="E15" s="583">
        <v>5483.4</v>
      </c>
      <c r="F15" s="17"/>
      <c r="G15" s="17"/>
      <c r="H15" s="17"/>
      <c r="I15" s="18"/>
      <c r="J15" s="30"/>
      <c r="K15"/>
      <c r="L15" s="425"/>
      <c r="M15" s="425"/>
      <c r="N15" s="425"/>
      <c r="O15" s="425"/>
      <c r="P15" s="425"/>
      <c r="Q15" s="425"/>
      <c r="R15" s="425"/>
      <c r="S15" s="425"/>
      <c r="T15" s="425"/>
      <c r="U15" s="425"/>
    </row>
    <row r="16" spans="1:21">
      <c r="A16" s="25"/>
      <c r="B16" s="17"/>
      <c r="C16" s="198">
        <v>250</v>
      </c>
      <c r="D16" s="582">
        <v>19610</v>
      </c>
      <c r="E16" s="583">
        <v>15295.8</v>
      </c>
      <c r="F16" s="17"/>
      <c r="G16" s="17"/>
      <c r="H16" s="17"/>
      <c r="I16" s="18"/>
      <c r="J16" s="30"/>
      <c r="K16" s="596" t="s">
        <v>577</v>
      </c>
      <c r="L16" s="430" t="s">
        <v>100</v>
      </c>
      <c r="M16" s="425" t="s">
        <v>574</v>
      </c>
      <c r="N16" s="425"/>
      <c r="O16" s="425"/>
      <c r="P16" s="425"/>
      <c r="Q16" s="429" t="s">
        <v>577</v>
      </c>
      <c r="R16" s="425"/>
      <c r="S16" s="425"/>
      <c r="T16" s="425"/>
      <c r="U16" s="425"/>
    </row>
    <row r="17" spans="1:21">
      <c r="A17" s="25"/>
      <c r="B17" s="17"/>
      <c r="C17" s="198">
        <v>500</v>
      </c>
      <c r="D17" s="584">
        <v>33300</v>
      </c>
      <c r="E17" s="585">
        <v>31746</v>
      </c>
      <c r="F17" s="17"/>
      <c r="G17" s="17"/>
      <c r="H17" s="17"/>
      <c r="I17" s="18"/>
      <c r="J17" s="30"/>
      <c r="K17"/>
      <c r="L17" s="596"/>
      <c r="M17" s="425"/>
      <c r="N17" s="425"/>
      <c r="O17" s="425"/>
      <c r="P17" s="425"/>
      <c r="Q17" s="425"/>
      <c r="R17" s="425"/>
      <c r="S17" s="425"/>
      <c r="T17" s="425"/>
      <c r="U17" s="425"/>
    </row>
    <row r="18" spans="1:21" ht="15" customHeight="1">
      <c r="A18" s="25"/>
      <c r="B18" s="17"/>
      <c r="C18" s="155">
        <v>1000</v>
      </c>
      <c r="D18" s="586">
        <v>0</v>
      </c>
      <c r="E18" s="587">
        <v>0</v>
      </c>
      <c r="F18" s="17"/>
      <c r="G18" s="17"/>
      <c r="H18" s="17"/>
      <c r="I18" s="18"/>
      <c r="J18" s="30"/>
      <c r="K18"/>
      <c r="L18" s="425"/>
      <c r="M18" s="425" t="str">
        <f>"LER("&amp;E8&amp; " to "&amp;E9&amp;")"</f>
        <v>LER(500 to 1000)</v>
      </c>
      <c r="N18" s="425"/>
      <c r="O18" s="480" t="s">
        <v>34</v>
      </c>
      <c r="P18" s="425" t="s">
        <v>575</v>
      </c>
      <c r="Q18" s="425"/>
      <c r="R18" s="131" t="s">
        <v>36</v>
      </c>
      <c r="S18" s="595" t="str">
        <f>"(total net loss for D = "&amp;E8&amp;")"</f>
        <v>(total net loss for D = 500)</v>
      </c>
      <c r="T18" s="425"/>
      <c r="U18" s="425"/>
    </row>
    <row r="19" spans="1:21" ht="15" customHeight="1">
      <c r="A19" s="25"/>
      <c r="B19" s="17"/>
      <c r="C19" s="203" t="s">
        <v>521</v>
      </c>
      <c r="D19" s="588">
        <f>SUM(D14:D18)</f>
        <v>64010</v>
      </c>
      <c r="E19" s="589">
        <f>SUM(E14:E18)</f>
        <v>55411.199999999997</v>
      </c>
      <c r="F19" s="17"/>
      <c r="G19" s="17"/>
      <c r="H19" s="17"/>
      <c r="I19" s="18"/>
      <c r="J19" s="30"/>
      <c r="K19"/>
      <c r="L19" s="425"/>
      <c r="M19" s="425"/>
      <c r="N19" s="425"/>
      <c r="O19" s="480" t="s">
        <v>34</v>
      </c>
      <c r="P19" s="220">
        <f>P13</f>
        <v>505682</v>
      </c>
      <c r="Q19" s="425"/>
      <c r="R19" s="131" t="s">
        <v>36</v>
      </c>
      <c r="S19" s="192">
        <f>N13</f>
        <v>4705075</v>
      </c>
      <c r="T19" s="425"/>
      <c r="U19" s="425"/>
    </row>
    <row r="20" spans="1:21" ht="15" customHeight="1">
      <c r="A20" s="25"/>
      <c r="B20" s="17"/>
      <c r="C20" s="17"/>
      <c r="D20" s="17"/>
      <c r="E20" s="17"/>
      <c r="F20" s="17"/>
      <c r="G20" s="17"/>
      <c r="H20" s="17"/>
      <c r="I20" s="18"/>
      <c r="J20" s="30"/>
      <c r="K20"/>
      <c r="L20" s="425"/>
      <c r="M20" s="425"/>
      <c r="N20" s="425"/>
      <c r="O20" s="480" t="s">
        <v>34</v>
      </c>
      <c r="P20" s="211">
        <f>P19/S19</f>
        <v>0.10747586382788797</v>
      </c>
      <c r="Q20" s="425"/>
      <c r="R20" s="425"/>
      <c r="S20" s="425"/>
      <c r="T20" s="425"/>
      <c r="U20" s="425"/>
    </row>
    <row r="21" spans="1:21" ht="15" customHeight="1">
      <c r="A21" s="25"/>
      <c r="B21" s="17"/>
      <c r="C21" s="17"/>
      <c r="D21" s="17"/>
      <c r="E21" s="17"/>
      <c r="F21" s="17"/>
      <c r="G21" s="17"/>
      <c r="H21" s="17"/>
      <c r="I21" s="18"/>
      <c r="J21" s="30"/>
      <c r="K21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2" spans="1:21" ht="15" customHeight="1" thickBot="1">
      <c r="A22" s="24"/>
      <c r="B22" s="31"/>
      <c r="C22" s="31"/>
      <c r="D22" s="31"/>
      <c r="E22" s="31"/>
      <c r="F22" s="31"/>
      <c r="G22" s="31"/>
      <c r="H22" s="31"/>
      <c r="I22" s="32"/>
      <c r="J22" s="30"/>
      <c r="K22"/>
      <c r="L22" s="467"/>
      <c r="M22" s="467"/>
      <c r="N22" s="467"/>
      <c r="O22" s="467"/>
      <c r="P22" s="467"/>
      <c r="Q22" s="467"/>
      <c r="R22" s="467"/>
      <c r="S22" s="467"/>
      <c r="T22" s="467"/>
      <c r="U22" s="467"/>
    </row>
    <row r="23" spans="1:21" ht="15" customHeight="1">
      <c r="B23" s="30"/>
      <c r="C23" s="30"/>
      <c r="D23" s="30"/>
      <c r="E23" s="30"/>
      <c r="F23" s="30"/>
      <c r="G23" s="30"/>
      <c r="H23" s="30"/>
      <c r="I23" s="30"/>
      <c r="J23" s="30"/>
      <c r="K23"/>
      <c r="L23" s="467"/>
      <c r="M23" s="467"/>
      <c r="N23" s="467"/>
      <c r="O23" s="467"/>
      <c r="P23" s="467"/>
      <c r="Q23" s="467"/>
      <c r="R23" s="467"/>
      <c r="S23" s="467"/>
      <c r="T23" s="467"/>
      <c r="U23" s="467"/>
    </row>
    <row r="24" spans="1:21" ht="15" customHeight="1">
      <c r="J24" s="30"/>
      <c r="K24"/>
      <c r="L24" s="467"/>
      <c r="M24" s="467"/>
      <c r="N24" s="467"/>
      <c r="O24" s="467"/>
      <c r="P24" s="467"/>
      <c r="Q24" s="467"/>
      <c r="R24" s="467"/>
      <c r="S24" s="467"/>
      <c r="T24" s="467"/>
      <c r="U24" s="467"/>
    </row>
    <row r="25" spans="1:21" ht="15" customHeight="1">
      <c r="J25" s="30"/>
      <c r="K25" s="42"/>
      <c r="L25" s="467"/>
      <c r="M25" s="467"/>
      <c r="N25" s="467"/>
      <c r="O25" s="467"/>
      <c r="P25" s="467"/>
      <c r="Q25" s="467"/>
      <c r="R25" s="467"/>
      <c r="S25" s="467"/>
      <c r="T25" s="467"/>
      <c r="U25" s="467"/>
    </row>
    <row r="26" spans="1:21" ht="15" customHeight="1">
      <c r="J26" s="30"/>
      <c r="K26"/>
      <c r="L26" s="467"/>
      <c r="M26" s="467"/>
      <c r="N26" s="467"/>
      <c r="O26" s="467"/>
      <c r="P26" s="467"/>
      <c r="Q26" s="467"/>
      <c r="R26" s="467"/>
      <c r="S26" s="467"/>
      <c r="T26" s="467"/>
      <c r="U26" s="467"/>
    </row>
    <row r="27" spans="1:21" ht="15" customHeight="1">
      <c r="J27" s="30"/>
      <c r="K27" s="42"/>
      <c r="L27" s="467"/>
      <c r="M27" s="467"/>
      <c r="N27" s="467"/>
      <c r="O27" s="467"/>
      <c r="P27" s="467"/>
      <c r="Q27" s="467"/>
      <c r="R27" s="467"/>
      <c r="S27" s="467"/>
      <c r="T27" s="467"/>
      <c r="U27" s="467"/>
    </row>
    <row r="28" spans="1:21" ht="15" customHeight="1">
      <c r="J28" s="30"/>
      <c r="K28"/>
      <c r="L28" s="467"/>
      <c r="M28" s="467"/>
      <c r="N28" s="467"/>
      <c r="O28" s="467"/>
      <c r="P28" s="467"/>
      <c r="Q28" s="467"/>
      <c r="R28" s="467"/>
      <c r="S28" s="467"/>
      <c r="T28" s="467"/>
      <c r="U28" s="467"/>
    </row>
    <row r="29" spans="1:21" ht="15" customHeight="1">
      <c r="J29" s="30"/>
      <c r="K29"/>
      <c r="L29" s="467"/>
      <c r="M29" s="467"/>
      <c r="N29" s="467"/>
      <c r="O29" s="467"/>
      <c r="P29" s="467"/>
      <c r="Q29" s="467"/>
      <c r="R29" s="467"/>
      <c r="S29" s="467"/>
      <c r="T29" s="467"/>
      <c r="U29" s="467"/>
    </row>
    <row r="30" spans="1:21" ht="15" customHeight="1">
      <c r="J30" s="30"/>
      <c r="K30"/>
      <c r="L30" s="467"/>
      <c r="M30" s="467"/>
      <c r="N30" s="467"/>
      <c r="O30" s="467"/>
      <c r="P30" s="467"/>
      <c r="Q30" s="467"/>
      <c r="R30" s="467"/>
      <c r="S30" s="467"/>
      <c r="T30" s="467"/>
      <c r="U30" s="467"/>
    </row>
    <row r="31" spans="1:21" ht="15" customHeight="1">
      <c r="J31" s="30"/>
      <c r="K31"/>
      <c r="L31" s="467"/>
      <c r="M31" s="467"/>
      <c r="N31" s="467"/>
      <c r="O31" s="467"/>
      <c r="P31" s="467"/>
      <c r="Q31" s="467"/>
      <c r="R31" s="467"/>
      <c r="S31" s="467"/>
      <c r="T31" s="467"/>
      <c r="U31" s="467"/>
    </row>
    <row r="32" spans="1:21" ht="15" customHeight="1">
      <c r="J32" s="30"/>
      <c r="K32"/>
      <c r="L32" s="467"/>
      <c r="M32" s="467"/>
      <c r="N32" s="467"/>
      <c r="O32" s="467"/>
      <c r="P32" s="467"/>
      <c r="Q32" s="467"/>
      <c r="R32" s="467"/>
      <c r="S32" s="467"/>
      <c r="T32" s="467"/>
      <c r="U32" s="467"/>
    </row>
    <row r="33" spans="2:21" ht="15" customHeight="1">
      <c r="J33" s="30"/>
      <c r="K33"/>
      <c r="L33" s="467"/>
      <c r="M33" s="467"/>
      <c r="N33" s="467"/>
      <c r="O33" s="467"/>
      <c r="P33" s="467"/>
      <c r="Q33" s="467"/>
      <c r="R33" s="467"/>
      <c r="S33" s="467"/>
      <c r="T33" s="467"/>
      <c r="U33" s="467"/>
    </row>
    <row r="34" spans="2:21" ht="15" customHeight="1">
      <c r="J34" s="30"/>
      <c r="K34"/>
      <c r="L34" s="467"/>
      <c r="M34" s="467"/>
      <c r="N34" s="467"/>
      <c r="O34" s="467"/>
      <c r="P34" s="467"/>
      <c r="Q34" s="467"/>
      <c r="R34" s="467"/>
      <c r="S34" s="467"/>
      <c r="T34" s="467"/>
      <c r="U34" s="467"/>
    </row>
    <row r="35" spans="2:21" ht="15" customHeight="1">
      <c r="J35" s="30"/>
      <c r="K35"/>
      <c r="L35" s="467"/>
      <c r="M35" s="467"/>
      <c r="N35" s="467"/>
      <c r="O35" s="467"/>
      <c r="P35" s="467"/>
      <c r="Q35" s="467"/>
      <c r="R35" s="467"/>
      <c r="S35" s="467"/>
      <c r="T35" s="467"/>
      <c r="U35" s="467"/>
    </row>
    <row r="36" spans="2:21" ht="15" customHeight="1">
      <c r="J36" s="30"/>
      <c r="K36"/>
      <c r="L36" s="467"/>
      <c r="M36" s="467"/>
      <c r="N36" s="467"/>
      <c r="O36" s="467"/>
      <c r="P36" s="467"/>
      <c r="Q36" s="467"/>
      <c r="R36" s="467"/>
      <c r="S36" s="467"/>
      <c r="T36" s="467"/>
      <c r="U36" s="467"/>
    </row>
    <row r="37" spans="2:21" ht="15" customHeight="1">
      <c r="J37" s="30"/>
      <c r="K37"/>
      <c r="L37" s="467"/>
      <c r="M37" s="467"/>
      <c r="N37" s="467"/>
      <c r="O37" s="467"/>
      <c r="P37" s="467"/>
      <c r="Q37" s="467"/>
      <c r="R37" s="467"/>
      <c r="S37" s="467"/>
      <c r="T37" s="467"/>
      <c r="U37" s="467"/>
    </row>
    <row r="38" spans="2:21" ht="15" customHeight="1">
      <c r="B38" s="30"/>
      <c r="C38" s="30"/>
      <c r="D38" s="30"/>
      <c r="E38" s="30"/>
      <c r="F38" s="30"/>
      <c r="G38" s="30"/>
      <c r="H38" s="30"/>
      <c r="I38" s="30"/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B39" s="30"/>
      <c r="C39" s="30"/>
      <c r="D39" s="30"/>
      <c r="E39" s="30"/>
      <c r="F39" s="30"/>
      <c r="G39" s="30"/>
      <c r="H39" s="30"/>
      <c r="I39" s="30"/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B40" s="30"/>
      <c r="C40" s="30"/>
      <c r="D40" s="30"/>
      <c r="E40" s="30"/>
      <c r="F40" s="30"/>
      <c r="G40" s="30"/>
      <c r="H40" s="30"/>
      <c r="I40" s="30"/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B41" s="30"/>
      <c r="C41" s="30"/>
      <c r="D41" s="30"/>
      <c r="E41" s="30"/>
      <c r="F41" s="30"/>
      <c r="G41" s="30"/>
      <c r="H41" s="30"/>
      <c r="I41" s="30"/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B42" s="30"/>
      <c r="C42" s="30"/>
      <c r="D42" s="30"/>
      <c r="E42" s="30"/>
      <c r="F42" s="30"/>
      <c r="G42" s="30"/>
      <c r="H42" s="30"/>
      <c r="I42" s="30"/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B43" s="30"/>
      <c r="C43" s="30"/>
      <c r="D43" s="30"/>
      <c r="E43" s="30"/>
      <c r="F43" s="30"/>
      <c r="G43" s="30"/>
      <c r="H43" s="30"/>
      <c r="I43" s="30"/>
      <c r="J43" s="30"/>
    </row>
    <row r="44" spans="2:21" ht="15" customHeight="1">
      <c r="B44" s="30"/>
      <c r="C44" s="30"/>
      <c r="D44" s="30"/>
      <c r="E44" s="30"/>
      <c r="F44" s="30"/>
      <c r="G44" s="30"/>
      <c r="H44" s="30"/>
      <c r="I44" s="30"/>
      <c r="J44" s="30"/>
    </row>
    <row r="45" spans="2:21" ht="15" customHeight="1">
      <c r="B45" s="30"/>
      <c r="C45" s="30"/>
      <c r="D45" s="30"/>
      <c r="E45" s="30"/>
      <c r="F45" s="30"/>
      <c r="G45" s="30"/>
      <c r="H45" s="30"/>
      <c r="I45" s="30"/>
      <c r="J45" s="30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</row>
    <row r="49" spans="2:10" ht="15" customHeight="1">
      <c r="B49" s="30"/>
      <c r="C49" s="30"/>
      <c r="D49" s="30"/>
      <c r="E49" s="30"/>
      <c r="F49" s="30"/>
      <c r="G49" s="30"/>
      <c r="H49" s="30"/>
      <c r="I49" s="30"/>
      <c r="J49" s="30"/>
    </row>
    <row r="50" spans="2:10" ht="15" customHeight="1">
      <c r="B50" s="30"/>
      <c r="C50" s="30"/>
      <c r="D50" s="30"/>
      <c r="E50" s="30"/>
      <c r="F50" s="30"/>
      <c r="G50" s="30"/>
      <c r="H50" s="30"/>
      <c r="I50" s="30"/>
      <c r="J50" s="30"/>
    </row>
    <row r="51" spans="2:10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10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10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10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10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10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10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10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10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10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10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10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10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10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W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3">
      <c r="A1" s="7">
        <v>16</v>
      </c>
      <c r="B1" s="26" t="s">
        <v>12</v>
      </c>
      <c r="C1" s="20"/>
      <c r="D1" s="20"/>
      <c r="E1" s="20"/>
      <c r="F1" s="20"/>
      <c r="G1" s="20"/>
      <c r="H1" s="1024" t="s">
        <v>24</v>
      </c>
      <c r="I1" s="1025"/>
      <c r="K1" s="1" t="s">
        <v>33</v>
      </c>
      <c r="L1" s="47" t="str">
        <f>VLOOKUP(A1,'Point Grid'!$L$8:$T$54,9,FALSE)</f>
        <v>Pricing - Chap 11: Special Classification</v>
      </c>
      <c r="M1"/>
      <c r="N1"/>
      <c r="O1"/>
      <c r="P1"/>
      <c r="Q1"/>
      <c r="R1"/>
      <c r="S1"/>
      <c r="T1"/>
      <c r="U1"/>
    </row>
    <row r="2" spans="1:23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</row>
    <row r="3" spans="1:23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2" t="s">
        <v>2</v>
      </c>
      <c r="L3" s="128" t="s">
        <v>99</v>
      </c>
      <c r="M3" s="478" t="s">
        <v>543</v>
      </c>
      <c r="N3" s="478"/>
      <c r="O3" s="478"/>
      <c r="P3" s="478"/>
      <c r="Q3" s="574" t="s">
        <v>544</v>
      </c>
      <c r="R3" s="575"/>
      <c r="S3" s="478"/>
      <c r="T3" s="478"/>
      <c r="U3" s="478"/>
      <c r="V3" s="467"/>
      <c r="W3" s="467"/>
    </row>
    <row r="4" spans="1:23">
      <c r="A4" s="9">
        <f>INDEX('Point Grid'!B:B,MATCH(A1,'Point Grid'!A:A,0))</f>
        <v>3</v>
      </c>
      <c r="B4" s="17"/>
      <c r="C4" s="17"/>
      <c r="D4" s="17"/>
      <c r="E4" s="17"/>
      <c r="F4" s="17"/>
      <c r="G4" s="17"/>
      <c r="H4" s="17"/>
      <c r="I4" s="18"/>
      <c r="J4" s="30"/>
      <c r="K4" s="42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67"/>
      <c r="W4" s="467"/>
    </row>
    <row r="5" spans="1:23">
      <c r="A5" s="16"/>
      <c r="B5" s="17"/>
      <c r="C5" s="17"/>
      <c r="D5" s="17"/>
      <c r="E5" s="17"/>
      <c r="F5" s="17"/>
      <c r="G5" s="17"/>
      <c r="H5" s="17"/>
      <c r="I5" s="18"/>
      <c r="J5" s="30"/>
      <c r="K5" s="42"/>
      <c r="L5" s="425"/>
      <c r="M5" s="480" t="s">
        <v>545</v>
      </c>
      <c r="N5" s="480" t="s">
        <v>34</v>
      </c>
      <c r="O5" s="480" t="s">
        <v>546</v>
      </c>
      <c r="P5" s="480" t="s">
        <v>27</v>
      </c>
      <c r="Q5" s="131" t="s">
        <v>36</v>
      </c>
      <c r="R5" s="480" t="s">
        <v>547</v>
      </c>
      <c r="S5" s="480" t="s">
        <v>548</v>
      </c>
      <c r="T5" s="480" t="s">
        <v>549</v>
      </c>
      <c r="U5" s="425"/>
      <c r="V5" s="467"/>
      <c r="W5" s="467"/>
    </row>
    <row r="6" spans="1:23">
      <c r="A6" s="25" t="s">
        <v>2</v>
      </c>
      <c r="B6" s="118" t="s">
        <v>536</v>
      </c>
      <c r="C6" s="118"/>
      <c r="D6" s="17"/>
      <c r="E6" s="17"/>
      <c r="F6" s="17"/>
      <c r="G6" s="17"/>
      <c r="H6" s="17"/>
      <c r="I6" s="18"/>
      <c r="J6" s="30"/>
      <c r="K6" s="42"/>
      <c r="L6" s="425"/>
      <c r="M6" s="425"/>
      <c r="N6" s="480" t="s">
        <v>34</v>
      </c>
      <c r="O6" s="480" t="s">
        <v>546</v>
      </c>
      <c r="P6" s="425">
        <f>E21</f>
        <v>430000</v>
      </c>
      <c r="Q6" s="131" t="s">
        <v>36</v>
      </c>
      <c r="R6" s="425">
        <f>ROUND(E22*E20,0)</f>
        <v>559550</v>
      </c>
      <c r="S6" s="480" t="s">
        <v>548</v>
      </c>
      <c r="T6" s="480" t="s">
        <v>549</v>
      </c>
      <c r="U6" s="425"/>
      <c r="V6" s="467"/>
      <c r="W6" s="467"/>
    </row>
    <row r="7" spans="1:23" ht="15.75" thickBot="1">
      <c r="A7" s="9">
        <f>INDEX('Point Grid'!$C$8:$I$54,MATCH($A$1,'Point Grid'!$A$8:$A$54,0),MATCH(A6,'Point Grid'!$C$7:$I$7,0))</f>
        <v>1.5</v>
      </c>
      <c r="B7" s="405"/>
      <c r="C7" s="118"/>
      <c r="D7" s="17"/>
      <c r="E7" s="17"/>
      <c r="F7" s="17"/>
      <c r="G7" s="17"/>
      <c r="H7" s="17"/>
      <c r="I7" s="18"/>
      <c r="J7" s="30"/>
      <c r="K7" s="42"/>
      <c r="L7" s="425"/>
      <c r="M7" s="425"/>
      <c r="N7" s="480" t="s">
        <v>34</v>
      </c>
      <c r="O7" s="480" t="s">
        <v>546</v>
      </c>
      <c r="P7" s="516">
        <f>P6/R6</f>
        <v>0.76847466714324009</v>
      </c>
      <c r="Q7" s="425"/>
      <c r="R7" s="425"/>
      <c r="S7" s="480" t="s">
        <v>548</v>
      </c>
      <c r="T7" s="480" t="s">
        <v>549</v>
      </c>
      <c r="U7" s="425"/>
      <c r="V7" s="467"/>
      <c r="W7" s="467"/>
    </row>
    <row r="8" spans="1:23" ht="15.75" thickBot="1">
      <c r="A8" s="5"/>
      <c r="B8" s="405"/>
      <c r="C8" s="118"/>
      <c r="D8" s="17"/>
      <c r="E8" s="17"/>
      <c r="F8" s="17"/>
      <c r="G8" s="17"/>
      <c r="H8" s="17"/>
      <c r="I8" s="18"/>
      <c r="J8" s="30"/>
      <c r="K8" s="42"/>
      <c r="L8" s="425"/>
      <c r="M8" s="425"/>
      <c r="N8" s="480" t="s">
        <v>34</v>
      </c>
      <c r="O8" s="576">
        <f>MIN(P7,1)</f>
        <v>0.76847466714324009</v>
      </c>
      <c r="P8" s="425"/>
      <c r="Q8" s="425"/>
      <c r="R8" s="425"/>
      <c r="S8" s="425"/>
      <c r="T8" s="425"/>
      <c r="U8" s="425"/>
      <c r="V8" s="467"/>
      <c r="W8" s="467"/>
    </row>
    <row r="9" spans="1:23">
      <c r="A9" s="25"/>
      <c r="B9" s="405"/>
      <c r="C9" s="118"/>
      <c r="D9" s="17"/>
      <c r="E9" s="17"/>
      <c r="F9" s="17"/>
      <c r="G9" s="17"/>
      <c r="H9" s="17"/>
      <c r="I9" s="18"/>
      <c r="J9" s="30"/>
      <c r="K9" s="42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67"/>
      <c r="W9" s="467"/>
    </row>
    <row r="10" spans="1:23">
      <c r="A10" s="25" t="s">
        <v>3</v>
      </c>
      <c r="B10" s="118" t="s">
        <v>535</v>
      </c>
      <c r="C10" s="17"/>
      <c r="D10" s="17"/>
      <c r="E10" s="17"/>
      <c r="F10" s="17"/>
      <c r="G10" s="17"/>
      <c r="H10" s="17"/>
      <c r="I10" s="18"/>
      <c r="J10" s="30"/>
      <c r="K10" s="42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67"/>
      <c r="W10" s="467"/>
    </row>
    <row r="11" spans="1:23" ht="15.75" thickBot="1">
      <c r="A11" s="9">
        <f>INDEX('Point Grid'!$C$8:$I$54,MATCH($A$1,'Point Grid'!$A$8:$A$54,0),MATCH(A10,'Point Grid'!$C$7:$I$7,0))</f>
        <v>0.75</v>
      </c>
      <c r="B11" s="17"/>
      <c r="C11" s="17"/>
      <c r="D11" s="17"/>
      <c r="E11" s="17"/>
      <c r="F11" s="17"/>
      <c r="G11" s="17"/>
      <c r="H11" s="17"/>
      <c r="I11" s="18"/>
      <c r="J11" s="30"/>
      <c r="K11" s="42"/>
      <c r="L11" s="430" t="s">
        <v>158</v>
      </c>
      <c r="M11" s="425" t="s">
        <v>550</v>
      </c>
      <c r="N11" s="425"/>
      <c r="O11" s="425"/>
      <c r="P11" s="425"/>
      <c r="Q11" s="577" t="s">
        <v>551</v>
      </c>
      <c r="R11" s="147"/>
      <c r="S11" s="425"/>
      <c r="T11" s="425"/>
      <c r="U11" s="425"/>
      <c r="V11" s="467"/>
      <c r="W11" s="467"/>
    </row>
    <row r="12" spans="1:23" ht="15.75" thickBot="1">
      <c r="A12" s="5"/>
      <c r="B12" s="17"/>
      <c r="C12" s="17"/>
      <c r="D12" s="17"/>
      <c r="E12" s="17"/>
      <c r="F12" s="17"/>
      <c r="G12" s="17"/>
      <c r="H12" s="17"/>
      <c r="I12" s="18"/>
      <c r="J12" s="30"/>
      <c r="K12" s="42"/>
      <c r="L12" s="425"/>
      <c r="M12" s="425"/>
      <c r="N12" s="425"/>
      <c r="O12" s="425"/>
      <c r="P12" s="425"/>
      <c r="Q12" s="425"/>
      <c r="R12" s="425"/>
      <c r="S12" s="425"/>
      <c r="T12" s="425"/>
      <c r="U12" s="425"/>
    </row>
    <row r="13" spans="1:23">
      <c r="A13" s="25"/>
      <c r="B13" s="17"/>
      <c r="C13" s="17"/>
      <c r="D13" s="17"/>
      <c r="E13" s="17"/>
      <c r="F13" s="17"/>
      <c r="G13" s="17"/>
      <c r="H13" s="17"/>
      <c r="I13" s="18"/>
      <c r="J13" s="30"/>
      <c r="K13" s="42"/>
      <c r="L13" s="425"/>
      <c r="M13" s="480" t="s">
        <v>552</v>
      </c>
      <c r="N13" s="480" t="s">
        <v>34</v>
      </c>
      <c r="O13" s="480" t="s">
        <v>546</v>
      </c>
      <c r="P13" s="480" t="s">
        <v>27</v>
      </c>
      <c r="Q13" s="480" t="s">
        <v>548</v>
      </c>
      <c r="R13" s="480" t="s">
        <v>553</v>
      </c>
      <c r="S13" s="425" t="s">
        <v>153</v>
      </c>
      <c r="T13" s="425"/>
      <c r="U13" s="425"/>
    </row>
    <row r="14" spans="1:23">
      <c r="A14" s="25" t="s">
        <v>4</v>
      </c>
      <c r="B14" s="118" t="s">
        <v>537</v>
      </c>
      <c r="C14" s="17"/>
      <c r="D14" s="17"/>
      <c r="E14" s="17"/>
      <c r="F14" s="17"/>
      <c r="G14" s="17"/>
      <c r="H14" s="17"/>
      <c r="I14" s="18"/>
      <c r="J14" s="30"/>
      <c r="K14" s="42"/>
      <c r="L14" s="425"/>
      <c r="M14" s="425"/>
      <c r="N14" s="480" t="s">
        <v>34</v>
      </c>
      <c r="O14" s="480" t="s">
        <v>546</v>
      </c>
      <c r="P14" s="425">
        <f>E21</f>
        <v>430000</v>
      </c>
      <c r="Q14" s="480" t="s">
        <v>548</v>
      </c>
      <c r="R14" s="425">
        <f>E23*O8</f>
        <v>153694.93342864802</v>
      </c>
      <c r="S14" s="425" t="s">
        <v>153</v>
      </c>
      <c r="T14" s="425"/>
      <c r="U14" s="425"/>
    </row>
    <row r="15" spans="1:23" ht="15.75" thickBot="1">
      <c r="A15" s="9">
        <f>INDEX('Point Grid'!$C$8:$I$54,MATCH($A$1,'Point Grid'!$A$8:$A$54,0),MATCH(A14,'Point Grid'!$C$7:$I$7,0))</f>
        <v>0.75</v>
      </c>
      <c r="B15" s="17"/>
      <c r="C15" s="17"/>
      <c r="D15" s="17"/>
      <c r="E15" s="17"/>
      <c r="F15" s="17"/>
      <c r="G15" s="17"/>
      <c r="H15" s="17"/>
      <c r="I15" s="18"/>
      <c r="J15" s="30"/>
      <c r="K15"/>
      <c r="L15" s="425"/>
      <c r="M15" s="425"/>
      <c r="N15" s="480" t="s">
        <v>34</v>
      </c>
      <c r="O15" s="578">
        <f>MIN(P14,R14)</f>
        <v>153694.93342864802</v>
      </c>
      <c r="P15" s="192" t="s">
        <v>554</v>
      </c>
      <c r="Q15" s="425"/>
      <c r="R15" s="425"/>
      <c r="S15" s="425"/>
      <c r="T15" s="425"/>
      <c r="U15" s="425"/>
    </row>
    <row r="16" spans="1:23" ht="15.75" thickBot="1">
      <c r="A16" s="5"/>
      <c r="B16" s="17"/>
      <c r="C16" s="17"/>
      <c r="D16" s="17"/>
      <c r="E16" s="17"/>
      <c r="F16" s="17"/>
      <c r="G16" s="17"/>
      <c r="H16" s="17"/>
      <c r="I16" s="18"/>
      <c r="J16" s="30"/>
      <c r="K16"/>
      <c r="L16" s="425"/>
      <c r="M16" s="425"/>
      <c r="N16" s="480"/>
      <c r="O16" s="425"/>
      <c r="P16" s="425"/>
      <c r="Q16" s="425"/>
      <c r="R16" s="425"/>
      <c r="S16" s="425"/>
      <c r="T16" s="425"/>
      <c r="U16" s="425"/>
    </row>
    <row r="17" spans="1:21">
      <c r="A17" s="25"/>
      <c r="B17" s="17"/>
      <c r="C17" s="17"/>
      <c r="D17" s="17"/>
      <c r="E17" s="17"/>
      <c r="F17" s="17"/>
      <c r="G17" s="17"/>
      <c r="H17" s="17"/>
      <c r="I17" s="18"/>
      <c r="J17" s="30"/>
      <c r="K17" s="479" t="s">
        <v>3</v>
      </c>
      <c r="L17" s="430" t="s">
        <v>191</v>
      </c>
      <c r="M17" s="425" t="s">
        <v>555</v>
      </c>
      <c r="N17" s="425"/>
      <c r="O17" s="425"/>
      <c r="P17" s="425"/>
      <c r="Q17" s="577" t="s">
        <v>556</v>
      </c>
      <c r="R17" s="147"/>
      <c r="S17" s="425"/>
      <c r="T17" s="425"/>
      <c r="U17" s="425"/>
    </row>
    <row r="18" spans="1:21" ht="15" customHeight="1">
      <c r="A18" s="25"/>
      <c r="B18" s="411" t="s">
        <v>538</v>
      </c>
      <c r="C18" s="17"/>
      <c r="D18" s="17"/>
      <c r="E18" s="17"/>
      <c r="F18" s="17"/>
      <c r="G18" s="17"/>
      <c r="H18" s="17"/>
      <c r="I18" s="18"/>
      <c r="J18" s="30"/>
      <c r="K18" s="479"/>
      <c r="L18" s="425"/>
      <c r="M18" s="425"/>
      <c r="N18" s="425"/>
      <c r="O18" s="425"/>
      <c r="P18" s="425"/>
      <c r="Q18" s="425"/>
      <c r="R18" s="425"/>
      <c r="S18" s="425"/>
      <c r="T18" s="425"/>
      <c r="U18" s="425"/>
    </row>
    <row r="19" spans="1:21" ht="15" customHeight="1">
      <c r="A19" s="25"/>
      <c r="B19" s="17"/>
      <c r="C19" s="17"/>
      <c r="D19" s="17"/>
      <c r="E19" s="17"/>
      <c r="F19" s="17"/>
      <c r="G19" s="17"/>
      <c r="H19" s="17"/>
      <c r="I19" s="18"/>
      <c r="J19" s="30"/>
      <c r="K19" s="479"/>
      <c r="L19" s="425"/>
      <c r="M19" s="480" t="s">
        <v>557</v>
      </c>
      <c r="N19" s="480" t="s">
        <v>34</v>
      </c>
      <c r="O19" s="480" t="s">
        <v>546</v>
      </c>
      <c r="P19" s="480" t="s">
        <v>27</v>
      </c>
      <c r="Q19" s="480" t="s">
        <v>548</v>
      </c>
      <c r="R19" s="480" t="s">
        <v>558</v>
      </c>
      <c r="S19" s="480" t="s">
        <v>153</v>
      </c>
      <c r="T19" s="480" t="s">
        <v>104</v>
      </c>
      <c r="U19" s="480" t="s">
        <v>552</v>
      </c>
    </row>
    <row r="20" spans="1:21" ht="15" customHeight="1">
      <c r="A20" s="25"/>
      <c r="B20" s="226" t="s">
        <v>539</v>
      </c>
      <c r="C20" s="569"/>
      <c r="D20" s="381"/>
      <c r="E20" s="570">
        <v>589000</v>
      </c>
      <c r="F20" s="17"/>
      <c r="G20" s="17"/>
      <c r="H20" s="17"/>
      <c r="I20" s="18"/>
      <c r="J20" s="30"/>
      <c r="K20" s="479"/>
      <c r="L20" s="425"/>
      <c r="M20" s="425"/>
      <c r="N20" s="480" t="s">
        <v>34</v>
      </c>
      <c r="O20" s="480" t="s">
        <v>546</v>
      </c>
      <c r="P20" s="425">
        <f>E21</f>
        <v>430000</v>
      </c>
      <c r="Q20" s="480" t="s">
        <v>548</v>
      </c>
      <c r="R20" s="425">
        <f>E23</f>
        <v>200000</v>
      </c>
      <c r="S20" s="480" t="s">
        <v>153</v>
      </c>
      <c r="T20" s="480" t="s">
        <v>104</v>
      </c>
      <c r="U20" s="579">
        <f>O15</f>
        <v>153694.93342864802</v>
      </c>
    </row>
    <row r="21" spans="1:21" ht="15" customHeight="1">
      <c r="A21" s="25"/>
      <c r="B21" s="67" t="s">
        <v>540</v>
      </c>
      <c r="C21" s="17"/>
      <c r="D21" s="74"/>
      <c r="E21" s="571">
        <v>430000</v>
      </c>
      <c r="F21" s="17"/>
      <c r="G21" s="17"/>
      <c r="H21" s="17"/>
      <c r="I21" s="18"/>
      <c r="J21" s="30"/>
      <c r="K21" s="479"/>
      <c r="L21" s="425"/>
      <c r="M21" s="425"/>
      <c r="N21" s="480" t="s">
        <v>34</v>
      </c>
      <c r="O21" s="304">
        <f>MIN(P20,R20)-U20</f>
        <v>46305.066571351985</v>
      </c>
      <c r="P21" s="192" t="s">
        <v>559</v>
      </c>
      <c r="Q21" s="425"/>
      <c r="R21" s="425"/>
      <c r="S21" s="425"/>
      <c r="T21" s="425"/>
      <c r="U21" s="425"/>
    </row>
    <row r="22" spans="1:21" ht="15" customHeight="1">
      <c r="A22" s="25"/>
      <c r="B22" s="69" t="s">
        <v>541</v>
      </c>
      <c r="C22" s="409"/>
      <c r="D22" s="73"/>
      <c r="E22" s="573">
        <v>0.95</v>
      </c>
      <c r="F22" s="17"/>
      <c r="G22" s="17"/>
      <c r="H22" s="17"/>
      <c r="I22" s="18"/>
      <c r="J22" s="30"/>
      <c r="K22" s="479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1:21" ht="15" customHeight="1">
      <c r="A23" s="25"/>
      <c r="B23" s="69" t="s">
        <v>542</v>
      </c>
      <c r="C23" s="409"/>
      <c r="D23" s="73"/>
      <c r="E23" s="572">
        <v>200000</v>
      </c>
      <c r="F23" s="17"/>
      <c r="G23" s="17"/>
      <c r="H23" s="17"/>
      <c r="I23" s="18"/>
      <c r="J23" s="30"/>
      <c r="K23" s="479" t="s">
        <v>4</v>
      </c>
      <c r="L23" s="430" t="s">
        <v>560</v>
      </c>
      <c r="M23" s="425" t="s">
        <v>561</v>
      </c>
      <c r="N23" s="425"/>
      <c r="O23" s="425"/>
      <c r="P23" s="425"/>
      <c r="Q23" s="425"/>
      <c r="R23" s="425"/>
      <c r="S23" s="577" t="s">
        <v>562</v>
      </c>
      <c r="T23" s="147"/>
      <c r="U23" s="425"/>
    </row>
    <row r="24" spans="1:21" ht="15" customHeight="1">
      <c r="A24" s="22"/>
      <c r="B24" s="17"/>
      <c r="C24" s="17"/>
      <c r="D24" s="17"/>
      <c r="E24" s="17"/>
      <c r="F24" s="17"/>
      <c r="G24" s="17"/>
      <c r="H24" s="17"/>
      <c r="I24" s="18"/>
      <c r="J24" s="30"/>
      <c r="K24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1:21" ht="15" customHeight="1">
      <c r="A25" s="22"/>
      <c r="B25" s="17"/>
      <c r="C25" s="17"/>
      <c r="D25" s="17"/>
      <c r="E25" s="17"/>
      <c r="F25" s="17"/>
      <c r="G25" s="17"/>
      <c r="H25" s="17"/>
      <c r="I25" s="18"/>
      <c r="J25" s="30"/>
      <c r="K25"/>
      <c r="L25" s="425"/>
      <c r="M25" s="480" t="s">
        <v>563</v>
      </c>
      <c r="N25" s="480" t="s">
        <v>34</v>
      </c>
      <c r="O25" s="480" t="s">
        <v>27</v>
      </c>
      <c r="P25" s="480" t="s">
        <v>148</v>
      </c>
      <c r="Q25" s="480" t="s">
        <v>564</v>
      </c>
      <c r="R25" s="425"/>
      <c r="S25" s="425"/>
      <c r="T25" s="425"/>
      <c r="U25" s="425"/>
    </row>
    <row r="26" spans="1:21" ht="15" customHeight="1">
      <c r="A26" s="22"/>
      <c r="B26" s="17"/>
      <c r="C26" s="17"/>
      <c r="D26" s="17"/>
      <c r="E26" s="17"/>
      <c r="F26" s="17"/>
      <c r="G26" s="17"/>
      <c r="H26" s="17"/>
      <c r="I26" s="18"/>
      <c r="J26" s="30"/>
      <c r="L26" s="425"/>
      <c r="M26" s="425"/>
      <c r="N26" s="480" t="s">
        <v>34</v>
      </c>
      <c r="O26" s="480">
        <f>E21</f>
        <v>430000</v>
      </c>
      <c r="P26" s="480" t="s">
        <v>148</v>
      </c>
      <c r="Q26" s="516">
        <f>1-O8</f>
        <v>0.23152533285675991</v>
      </c>
      <c r="R26" s="425"/>
      <c r="S26" s="425"/>
      <c r="T26" s="425"/>
      <c r="U26" s="425"/>
    </row>
    <row r="27" spans="1:21" ht="15" customHeight="1">
      <c r="A27" s="22"/>
      <c r="B27" s="17"/>
      <c r="C27" s="17"/>
      <c r="D27" s="17"/>
      <c r="E27" s="17"/>
      <c r="F27" s="17"/>
      <c r="G27" s="17"/>
      <c r="H27" s="17"/>
      <c r="I27" s="18"/>
      <c r="J27" s="30"/>
      <c r="L27" s="425"/>
      <c r="M27" s="425"/>
      <c r="N27" s="480" t="s">
        <v>34</v>
      </c>
      <c r="O27" s="354">
        <f>O26*Q26</f>
        <v>99555.893128406766</v>
      </c>
      <c r="P27" s="192" t="s">
        <v>565</v>
      </c>
      <c r="Q27" s="425"/>
      <c r="R27" s="425"/>
      <c r="S27" s="425"/>
      <c r="T27" s="425"/>
      <c r="U27" s="425"/>
    </row>
    <row r="28" spans="1:21" ht="15" customHeight="1">
      <c r="A28" s="22"/>
      <c r="B28" s="17"/>
      <c r="C28" s="17"/>
      <c r="D28" s="17"/>
      <c r="E28" s="17"/>
      <c r="F28" s="17"/>
      <c r="G28" s="17"/>
      <c r="H28" s="17"/>
      <c r="I28" s="18"/>
      <c r="J28" s="30"/>
      <c r="K28" s="214"/>
      <c r="L28" s="467"/>
      <c r="M28" s="467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L29" s="467"/>
      <c r="M29" s="467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 s="467"/>
      <c r="M30" s="467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 s="467"/>
      <c r="M31" s="467"/>
    </row>
    <row r="32" spans="1:21" ht="15" customHeight="1">
      <c r="J32" s="30"/>
      <c r="K32"/>
      <c r="L32" s="467"/>
      <c r="M32" s="467"/>
    </row>
    <row r="33" spans="2:23" ht="15" customHeight="1">
      <c r="J33" s="30"/>
      <c r="K33"/>
      <c r="L33" s="467"/>
      <c r="M33" s="467"/>
    </row>
    <row r="34" spans="2:23" ht="15" customHeight="1">
      <c r="J34" s="30"/>
      <c r="K34" s="42"/>
      <c r="L34" s="467"/>
      <c r="M34" s="467"/>
    </row>
    <row r="35" spans="2:23" ht="15" customHeight="1">
      <c r="J35" s="30"/>
      <c r="K35"/>
      <c r="L35" s="467"/>
      <c r="M35" s="467"/>
    </row>
    <row r="36" spans="2:23" ht="15" customHeight="1">
      <c r="J36" s="30"/>
      <c r="K36" s="42"/>
      <c r="L36" s="467"/>
      <c r="M36" s="467"/>
    </row>
    <row r="37" spans="2:23" ht="15" customHeight="1">
      <c r="J37" s="30"/>
      <c r="K3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</row>
    <row r="38" spans="2:23" ht="15" customHeight="1">
      <c r="J38" s="30"/>
      <c r="K38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</row>
    <row r="39" spans="2:23" ht="15" customHeight="1">
      <c r="J39" s="30"/>
      <c r="K39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</row>
    <row r="40" spans="2:23" ht="15" customHeight="1">
      <c r="J40" s="30"/>
      <c r="K40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</row>
    <row r="41" spans="2:23" ht="15" customHeight="1">
      <c r="J41" s="30"/>
      <c r="K41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</row>
    <row r="42" spans="2:23" ht="15" customHeight="1">
      <c r="J42" s="30"/>
      <c r="K42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</row>
    <row r="43" spans="2:23" ht="15" customHeight="1">
      <c r="J43" s="30"/>
      <c r="K43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</row>
    <row r="44" spans="2:23" ht="15" customHeight="1">
      <c r="J44" s="30"/>
      <c r="K44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</row>
    <row r="45" spans="2:23" ht="15" customHeight="1">
      <c r="J45" s="30"/>
      <c r="K45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</row>
    <row r="46" spans="2:23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</row>
    <row r="47" spans="2:23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 s="467"/>
      <c r="M47" s="467"/>
      <c r="N47" s="467"/>
      <c r="O47" s="467"/>
      <c r="P47" s="467"/>
      <c r="Q47" s="467"/>
      <c r="R47" s="467"/>
      <c r="S47" s="467"/>
      <c r="T47" s="467"/>
      <c r="U47" s="467"/>
      <c r="V47" s="467"/>
      <c r="W47" s="467"/>
    </row>
    <row r="48" spans="2:23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</row>
    <row r="49" spans="2:23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 s="467"/>
      <c r="M49" s="467"/>
      <c r="N49" s="467"/>
      <c r="O49" s="467"/>
      <c r="P49" s="467"/>
      <c r="Q49" s="467"/>
      <c r="R49" s="467"/>
      <c r="S49" s="467"/>
      <c r="T49" s="467"/>
      <c r="U49" s="467"/>
      <c r="V49" s="467"/>
      <c r="W49" s="467"/>
    </row>
    <row r="50" spans="2:23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 s="467"/>
      <c r="M50" s="467"/>
      <c r="N50" s="467"/>
      <c r="O50" s="467"/>
      <c r="P50" s="467"/>
      <c r="Q50" s="467"/>
      <c r="R50" s="467"/>
      <c r="S50" s="467"/>
      <c r="T50" s="467"/>
      <c r="U50" s="467"/>
      <c r="V50" s="467"/>
      <c r="W50" s="467"/>
    </row>
    <row r="51" spans="2:23" ht="15" customHeight="1">
      <c r="B51" s="30"/>
      <c r="C51" s="30"/>
      <c r="D51" s="30"/>
      <c r="E51" s="30"/>
      <c r="F51" s="30"/>
      <c r="G51" s="30"/>
      <c r="H51" s="30"/>
      <c r="I51" s="30"/>
      <c r="J51" s="30"/>
      <c r="L51" s="467"/>
      <c r="M51" s="467"/>
      <c r="N51" s="467"/>
      <c r="O51" s="467"/>
      <c r="P51" s="467"/>
      <c r="Q51" s="467"/>
      <c r="R51" s="467"/>
      <c r="S51" s="467"/>
      <c r="T51" s="467"/>
      <c r="U51" s="467"/>
      <c r="V51" s="467"/>
      <c r="W51" s="467"/>
    </row>
    <row r="52" spans="2:23" ht="15" customHeight="1">
      <c r="B52" s="30"/>
      <c r="C52" s="30"/>
      <c r="D52" s="30"/>
      <c r="E52" s="30"/>
      <c r="F52" s="30"/>
      <c r="G52" s="30"/>
      <c r="H52" s="30"/>
      <c r="I52" s="30"/>
      <c r="J52" s="30"/>
      <c r="L52" s="467"/>
      <c r="M52" s="467"/>
      <c r="N52" s="467"/>
      <c r="O52" s="467"/>
      <c r="P52" s="467"/>
      <c r="Q52" s="467"/>
      <c r="R52" s="467"/>
      <c r="S52" s="467"/>
      <c r="T52" s="467"/>
      <c r="U52" s="467"/>
      <c r="V52" s="467"/>
      <c r="W52" s="467"/>
    </row>
    <row r="53" spans="2:23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3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3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3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3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3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3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3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3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42"/>
      <c r="L61" s="35"/>
      <c r="M61" s="35"/>
      <c r="N61" s="35"/>
    </row>
    <row r="62" spans="2:23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42"/>
      <c r="L62" s="35"/>
      <c r="M62" s="35"/>
      <c r="N62" s="35"/>
    </row>
    <row r="63" spans="2:23" ht="15" customHeight="1">
      <c r="B63" s="30"/>
      <c r="C63" s="30"/>
      <c r="D63" s="30"/>
      <c r="E63" s="30"/>
      <c r="F63" s="30"/>
      <c r="G63" s="30"/>
      <c r="H63" s="30"/>
      <c r="I63" s="30"/>
      <c r="J63" s="30"/>
      <c r="K63"/>
      <c r="L63" s="212"/>
      <c r="M63" s="213"/>
      <c r="N63" s="35"/>
    </row>
    <row r="64" spans="2:23" ht="15" customHeight="1">
      <c r="B64" s="30"/>
      <c r="C64" s="30"/>
      <c r="D64" s="30"/>
      <c r="E64" s="30"/>
      <c r="F64" s="30"/>
      <c r="G64" s="30"/>
      <c r="H64" s="30"/>
      <c r="I64" s="30"/>
      <c r="J64" s="30"/>
      <c r="K64"/>
      <c r="L64" s="204"/>
      <c r="M64" s="93"/>
      <c r="N64" s="35"/>
    </row>
    <row r="65" spans="2:14" ht="15" customHeight="1">
      <c r="B65" s="30"/>
      <c r="C65" s="30"/>
      <c r="D65" s="30"/>
      <c r="E65" s="30"/>
      <c r="F65" s="30"/>
      <c r="G65" s="30"/>
      <c r="H65" s="30"/>
      <c r="I65" s="30"/>
      <c r="J65" s="30"/>
      <c r="K65"/>
      <c r="L65" s="212"/>
      <c r="M65" s="213"/>
      <c r="N65" s="35"/>
    </row>
    <row r="66" spans="2:14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42"/>
      <c r="L66" s="204"/>
      <c r="M66" s="93"/>
      <c r="N66" s="35"/>
    </row>
    <row r="67" spans="2:14" ht="15" customHeight="1">
      <c r="B67" s="30"/>
      <c r="C67" s="30"/>
      <c r="D67" s="30"/>
      <c r="E67" s="30"/>
      <c r="F67" s="30"/>
      <c r="G67" s="30"/>
      <c r="H67" s="30"/>
      <c r="I67" s="30"/>
      <c r="J67" s="30"/>
      <c r="K67"/>
      <c r="L67" s="212"/>
      <c r="M67" s="213"/>
      <c r="N67" s="35"/>
    </row>
    <row r="68" spans="2:14" ht="15" customHeight="1">
      <c r="B68" s="30"/>
      <c r="C68" s="30"/>
      <c r="D68" s="30"/>
      <c r="E68" s="30"/>
      <c r="F68" s="30"/>
      <c r="G68" s="30"/>
      <c r="H68" s="30"/>
      <c r="I68" s="30"/>
      <c r="J68" s="30"/>
      <c r="K68"/>
      <c r="L68" s="204"/>
      <c r="M68" s="93"/>
      <c r="N68" s="35"/>
    </row>
    <row r="69" spans="2:14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42"/>
      <c r="L69" s="212"/>
      <c r="M69" s="213"/>
      <c r="N69" s="35"/>
    </row>
    <row r="70" spans="2:14" ht="15" customHeight="1">
      <c r="B70" s="30"/>
      <c r="C70" s="30"/>
      <c r="D70" s="30"/>
      <c r="E70" s="30"/>
      <c r="F70" s="30"/>
      <c r="G70" s="30"/>
      <c r="H70" s="30"/>
      <c r="I70" s="30"/>
      <c r="J70" s="30"/>
      <c r="K70"/>
      <c r="L70" s="204"/>
      <c r="M70" s="93"/>
      <c r="N70" s="35"/>
    </row>
    <row r="71" spans="2:14" ht="15" customHeight="1">
      <c r="B71" s="30"/>
      <c r="C71" s="30"/>
      <c r="D71" s="30"/>
      <c r="E71" s="30"/>
      <c r="F71" s="30"/>
      <c r="G71" s="30"/>
      <c r="H71" s="30"/>
      <c r="I71" s="30"/>
      <c r="J71" s="30"/>
      <c r="K71"/>
      <c r="L71" s="204"/>
      <c r="M71" s="93"/>
      <c r="N71" s="35"/>
    </row>
    <row r="72" spans="2:14" ht="15" customHeight="1">
      <c r="B72" s="30"/>
      <c r="C72" s="30"/>
      <c r="D72" s="30"/>
      <c r="E72" s="30"/>
      <c r="F72" s="30"/>
      <c r="G72" s="30"/>
      <c r="H72" s="30"/>
      <c r="I72" s="30"/>
      <c r="J72" s="30"/>
      <c r="K72"/>
      <c r="L72" s="212"/>
      <c r="M72" s="213"/>
      <c r="N72" s="35"/>
    </row>
    <row r="73" spans="2:14" ht="15" customHeight="1">
      <c r="B73" s="30"/>
      <c r="C73" s="30"/>
      <c r="D73" s="30"/>
      <c r="E73" s="30"/>
      <c r="F73" s="30"/>
      <c r="G73" s="30"/>
      <c r="H73" s="30"/>
      <c r="I73" s="30"/>
      <c r="J73" s="30"/>
      <c r="K73"/>
      <c r="L73" s="93"/>
      <c r="M73" s="93"/>
      <c r="N73" s="35"/>
    </row>
    <row r="74" spans="2:14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4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4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4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4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4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4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W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3">
      <c r="A1" s="7">
        <v>17</v>
      </c>
      <c r="B1" s="26" t="s">
        <v>12</v>
      </c>
      <c r="C1" s="20"/>
      <c r="D1" s="20"/>
      <c r="E1" s="20"/>
      <c r="F1" s="20"/>
      <c r="G1" s="20"/>
      <c r="H1" s="1024" t="s">
        <v>24</v>
      </c>
      <c r="I1" s="1025"/>
      <c r="K1" s="1" t="s">
        <v>33</v>
      </c>
      <c r="L1" s="47" t="str">
        <f>VLOOKUP(A1,'Point Grid'!$L$8:$T$54,9,FALSE)</f>
        <v>Pricing - Chap 14: Implementation</v>
      </c>
      <c r="M1"/>
      <c r="N1"/>
      <c r="O1"/>
      <c r="P1"/>
      <c r="Q1"/>
      <c r="R1"/>
      <c r="S1"/>
      <c r="T1"/>
      <c r="U1"/>
    </row>
    <row r="2" spans="1:23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3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2" t="s">
        <v>2</v>
      </c>
      <c r="L3" s="476" t="s">
        <v>294</v>
      </c>
      <c r="M3" s="476"/>
      <c r="N3" s="393" t="s">
        <v>295</v>
      </c>
      <c r="O3" s="467"/>
      <c r="P3" s="467"/>
      <c r="Q3" s="467"/>
      <c r="R3" s="467"/>
      <c r="S3" s="467"/>
      <c r="T3" s="467"/>
      <c r="U3" s="467"/>
    </row>
    <row r="4" spans="1:23">
      <c r="A4" s="9">
        <f>INDEX('Point Grid'!B:B,MATCH(A1,'Point Grid'!A:A,0))</f>
        <v>3.5</v>
      </c>
      <c r="B4" s="17"/>
      <c r="C4" s="17"/>
      <c r="D4" s="17"/>
      <c r="E4" s="17"/>
      <c r="F4" s="17"/>
      <c r="G4" s="17"/>
      <c r="H4" s="17"/>
      <c r="I4" s="18"/>
      <c r="J4" s="30"/>
      <c r="K4" s="42"/>
      <c r="L4" s="204"/>
      <c r="M4" s="93" t="s">
        <v>155</v>
      </c>
      <c r="N4" s="467"/>
      <c r="O4" s="467"/>
      <c r="P4" s="467"/>
      <c r="Q4" s="467"/>
      <c r="R4" s="467"/>
      <c r="S4" s="467"/>
      <c r="T4" s="467"/>
      <c r="U4" s="467"/>
    </row>
    <row r="5" spans="1:23">
      <c r="A5" s="16"/>
      <c r="B5" s="17"/>
      <c r="C5" s="17"/>
      <c r="D5" s="17"/>
      <c r="E5" s="17"/>
      <c r="F5" s="17"/>
      <c r="G5" s="17"/>
      <c r="H5" s="17"/>
      <c r="I5" s="18"/>
      <c r="J5" s="30"/>
      <c r="L5" s="204"/>
      <c r="M5" s="93" t="s">
        <v>156</v>
      </c>
      <c r="N5" s="467"/>
      <c r="O5" s="467"/>
      <c r="P5" s="467"/>
      <c r="Q5" s="467"/>
      <c r="R5" s="467"/>
      <c r="S5" s="467"/>
      <c r="T5" s="467"/>
      <c r="U5" s="467"/>
    </row>
    <row r="6" spans="1:23">
      <c r="A6" s="25" t="s">
        <v>2</v>
      </c>
      <c r="B6" s="17" t="s">
        <v>292</v>
      </c>
      <c r="C6" s="17"/>
      <c r="D6" s="17"/>
      <c r="E6" s="17"/>
      <c r="F6" s="17"/>
      <c r="G6" s="17"/>
      <c r="H6" s="17"/>
      <c r="I6" s="18"/>
      <c r="J6" s="30"/>
      <c r="L6" s="204"/>
      <c r="M6" s="93" t="s">
        <v>157</v>
      </c>
      <c r="N6" s="467"/>
      <c r="O6" s="467"/>
      <c r="P6" s="467"/>
      <c r="Q6" s="467"/>
      <c r="R6" s="467"/>
      <c r="S6" s="467"/>
      <c r="T6" s="467"/>
      <c r="U6" s="467"/>
    </row>
    <row r="7" spans="1:23" ht="15.75" thickBot="1">
      <c r="A7" s="9">
        <f>INDEX('Point Grid'!$C$8:$I$54,MATCH($A$1,'Point Grid'!$A$8:$A$54,0),MATCH(A6,'Point Grid'!$C$7:$I$7,0))</f>
        <v>0.5</v>
      </c>
      <c r="B7" s="17" t="s">
        <v>293</v>
      </c>
      <c r="C7" s="17"/>
      <c r="D7" s="17"/>
      <c r="E7" s="17"/>
      <c r="F7" s="17"/>
      <c r="G7" s="17"/>
      <c r="H7" s="17"/>
      <c r="I7" s="18"/>
      <c r="J7" s="30"/>
      <c r="L7" s="467"/>
      <c r="M7" s="467"/>
      <c r="N7" s="467"/>
      <c r="O7" s="467"/>
      <c r="P7" s="467"/>
      <c r="Q7" s="467"/>
      <c r="R7" s="467"/>
      <c r="S7" s="467"/>
      <c r="T7" s="467"/>
      <c r="U7" s="467"/>
    </row>
    <row r="8" spans="1:23" ht="15.75" thickBot="1">
      <c r="A8" s="5"/>
      <c r="B8" s="17"/>
      <c r="C8" s="17"/>
      <c r="D8" s="17"/>
      <c r="E8" s="17"/>
      <c r="F8" s="17"/>
      <c r="G8" s="17"/>
      <c r="H8" s="17"/>
      <c r="I8" s="18"/>
      <c r="J8" s="30"/>
      <c r="L8" s="467"/>
      <c r="M8" s="467"/>
      <c r="N8" s="467"/>
      <c r="O8" s="467"/>
      <c r="P8" s="467"/>
      <c r="Q8" s="467"/>
      <c r="R8" s="467"/>
      <c r="S8" s="467"/>
      <c r="T8" s="467"/>
      <c r="U8" s="467"/>
    </row>
    <row r="9" spans="1:23">
      <c r="A9" s="25"/>
      <c r="B9" s="17"/>
      <c r="C9" s="17"/>
      <c r="D9" s="17"/>
      <c r="E9" s="17"/>
      <c r="F9" s="17"/>
      <c r="G9" s="17"/>
      <c r="H9" s="17"/>
      <c r="I9" s="18"/>
      <c r="J9" s="30"/>
      <c r="K9" s="479" t="s">
        <v>3</v>
      </c>
      <c r="L9" s="128" t="s">
        <v>99</v>
      </c>
      <c r="M9" s="478" t="s">
        <v>583</v>
      </c>
      <c r="N9" s="478"/>
      <c r="O9" s="478"/>
      <c r="P9" s="478"/>
      <c r="Q9" s="478"/>
      <c r="R9" s="478"/>
      <c r="S9" s="478"/>
      <c r="T9" s="478"/>
      <c r="U9" s="478"/>
      <c r="V9" s="478"/>
      <c r="W9" s="478"/>
    </row>
    <row r="10" spans="1:23">
      <c r="A10" s="25" t="s">
        <v>3</v>
      </c>
      <c r="B10" s="118" t="s">
        <v>582</v>
      </c>
      <c r="C10" s="118"/>
      <c r="D10" s="118"/>
      <c r="E10" s="118"/>
      <c r="F10" s="118"/>
      <c r="G10" s="118"/>
      <c r="H10" s="118"/>
      <c r="I10" s="18"/>
      <c r="J10" s="30"/>
      <c r="K10" s="467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</row>
    <row r="11" spans="1:23" ht="15.75" thickBot="1">
      <c r="A11" s="9">
        <f>INDEX('Point Grid'!$C$8:$I$54,MATCH($A$1,'Point Grid'!$A$8:$A$54,0),MATCH(A10,'Point Grid'!$C$7:$I$7,0))</f>
        <v>3</v>
      </c>
      <c r="B11" s="118"/>
      <c r="C11" s="118"/>
      <c r="D11" s="118"/>
      <c r="E11" s="118"/>
      <c r="F11" s="118"/>
      <c r="G11" s="118"/>
      <c r="H11" s="118"/>
      <c r="I11" s="18"/>
      <c r="J11" s="30"/>
      <c r="K11" s="467"/>
      <c r="L11" s="425"/>
      <c r="M11" s="427" t="s">
        <v>90</v>
      </c>
      <c r="N11" s="427" t="s">
        <v>91</v>
      </c>
      <c r="O11" s="427" t="s">
        <v>92</v>
      </c>
      <c r="P11" s="427" t="s">
        <v>93</v>
      </c>
      <c r="Q11" s="427" t="s">
        <v>94</v>
      </c>
      <c r="R11" s="427" t="s">
        <v>95</v>
      </c>
      <c r="S11" s="427" t="s">
        <v>584</v>
      </c>
      <c r="T11" s="427" t="s">
        <v>585</v>
      </c>
      <c r="U11" s="427" t="s">
        <v>586</v>
      </c>
      <c r="V11" s="425"/>
      <c r="W11" s="425"/>
    </row>
    <row r="12" spans="1:23" ht="15.75" thickBot="1">
      <c r="A12" s="5"/>
      <c r="B12" s="604" t="s">
        <v>578</v>
      </c>
      <c r="C12" s="605"/>
      <c r="D12" s="605"/>
      <c r="E12" s="605"/>
      <c r="F12" s="605"/>
      <c r="G12" s="606"/>
      <c r="H12" s="607">
        <v>0.08</v>
      </c>
      <c r="I12" s="18"/>
      <c r="J12" s="30"/>
      <c r="K12" s="467"/>
      <c r="L12" s="425"/>
      <c r="M12" s="103" t="s">
        <v>133</v>
      </c>
      <c r="N12" s="104" t="s">
        <v>139</v>
      </c>
      <c r="O12" s="104" t="s">
        <v>581</v>
      </c>
      <c r="P12" s="105" t="s">
        <v>138</v>
      </c>
      <c r="Q12" s="616" t="s">
        <v>587</v>
      </c>
      <c r="R12" s="617" t="s">
        <v>588</v>
      </c>
      <c r="S12" s="104" t="s">
        <v>589</v>
      </c>
      <c r="T12" s="105" t="s">
        <v>590</v>
      </c>
      <c r="U12" s="105" t="s">
        <v>591</v>
      </c>
      <c r="V12" s="425"/>
      <c r="W12" s="425"/>
    </row>
    <row r="13" spans="1:23">
      <c r="A13" s="25"/>
      <c r="B13" s="608" t="s">
        <v>579</v>
      </c>
      <c r="C13" s="609"/>
      <c r="D13" s="609"/>
      <c r="E13" s="609"/>
      <c r="F13" s="609"/>
      <c r="G13" s="610"/>
      <c r="H13" s="611">
        <v>0.15</v>
      </c>
      <c r="I13" s="18"/>
      <c r="J13" s="30"/>
      <c r="K13" s="467"/>
      <c r="L13" s="425"/>
      <c r="M13" s="94" t="s">
        <v>130</v>
      </c>
      <c r="N13" s="597">
        <f t="shared" ref="N13:P15" si="0">C19</f>
        <v>135000</v>
      </c>
      <c r="O13" s="598">
        <f t="shared" si="0"/>
        <v>0.66</v>
      </c>
      <c r="P13" s="531">
        <f t="shared" si="0"/>
        <v>0.89</v>
      </c>
      <c r="Q13" s="618">
        <f>P13/O13-1</f>
        <v>0.3484848484848484</v>
      </c>
      <c r="R13" s="559">
        <f>1/(1+Q16)</f>
        <v>0.94778916553959947</v>
      </c>
      <c r="S13" s="217">
        <f>H12</f>
        <v>0.08</v>
      </c>
      <c r="T13" s="619">
        <f>(1+Q13)*R13*(1+S13)-1</f>
        <v>0.38032567563130759</v>
      </c>
      <c r="U13" s="446">
        <f>N13*(1+T13)</f>
        <v>186343.96621022653</v>
      </c>
      <c r="V13" s="480"/>
      <c r="W13" s="425"/>
    </row>
    <row r="14" spans="1:23">
      <c r="A14" s="25"/>
      <c r="B14" s="150"/>
      <c r="C14" s="150"/>
      <c r="D14" s="150"/>
      <c r="E14" s="150"/>
      <c r="F14" s="150"/>
      <c r="G14" s="150"/>
      <c r="H14" s="150"/>
      <c r="I14" s="18"/>
      <c r="J14" s="30"/>
      <c r="K14" s="467"/>
      <c r="L14" s="425"/>
      <c r="M14" s="94" t="s">
        <v>131</v>
      </c>
      <c r="N14" s="597">
        <f t="shared" si="0"/>
        <v>734000</v>
      </c>
      <c r="O14" s="598">
        <f t="shared" si="0"/>
        <v>1</v>
      </c>
      <c r="P14" s="531">
        <f t="shared" si="0"/>
        <v>1</v>
      </c>
      <c r="Q14" s="618">
        <f>P14/O14-1</f>
        <v>0</v>
      </c>
      <c r="R14" s="559">
        <f>1/(1+Q16)</f>
        <v>0.94778916553959947</v>
      </c>
      <c r="S14" s="217">
        <f>H12</f>
        <v>0.08</v>
      </c>
      <c r="T14" s="619">
        <f>(1+Q14)*R14*(1+S14)-1</f>
        <v>2.3612298782767382E-2</v>
      </c>
      <c r="U14" s="446">
        <f>N14*(1+T14)</f>
        <v>751331.42730655125</v>
      </c>
      <c r="V14" s="425"/>
      <c r="W14" s="425"/>
    </row>
    <row r="15" spans="1:23">
      <c r="A15" s="25"/>
      <c r="B15" s="118"/>
      <c r="C15" s="118"/>
      <c r="D15" s="118"/>
      <c r="E15" s="118"/>
      <c r="F15" s="118"/>
      <c r="G15" s="118"/>
      <c r="H15" s="118"/>
      <c r="I15" s="18"/>
      <c r="J15" s="30"/>
      <c r="K15" s="467"/>
      <c r="L15" s="425"/>
      <c r="M15" s="97" t="s">
        <v>132</v>
      </c>
      <c r="N15" s="599">
        <f t="shared" si="0"/>
        <v>174000</v>
      </c>
      <c r="O15" s="600">
        <f t="shared" si="0"/>
        <v>1.17</v>
      </c>
      <c r="P15" s="532">
        <f t="shared" si="0"/>
        <v>1.24</v>
      </c>
      <c r="Q15" s="620">
        <f>P15/O15-1</f>
        <v>5.9829059829059839E-2</v>
      </c>
      <c r="R15" s="564">
        <f>1/(1+Q16)</f>
        <v>0.94778916553959947</v>
      </c>
      <c r="S15" s="218">
        <f>H12</f>
        <v>0.08</v>
      </c>
      <c r="T15" s="621">
        <f>(1+Q15)*R15*(1+S15)-1</f>
        <v>8.485406024840314E-2</v>
      </c>
      <c r="U15" s="445">
        <f>N15*(1+T15)</f>
        <v>188764.60648322216</v>
      </c>
      <c r="V15" s="425"/>
      <c r="W15" s="425"/>
    </row>
    <row r="16" spans="1:23">
      <c r="A16" s="25"/>
      <c r="B16" s="149" t="s">
        <v>580</v>
      </c>
      <c r="C16" s="118"/>
      <c r="D16" s="118"/>
      <c r="E16" s="118"/>
      <c r="F16" s="118"/>
      <c r="G16" s="118"/>
      <c r="H16" s="118"/>
      <c r="I16" s="18"/>
      <c r="J16" s="30"/>
      <c r="K16" s="467"/>
      <c r="L16" s="425"/>
      <c r="M16" s="97" t="s">
        <v>521</v>
      </c>
      <c r="N16" s="601">
        <f>SUM(N13:N15)</f>
        <v>1043000</v>
      </c>
      <c r="O16" s="602" t="s">
        <v>225</v>
      </c>
      <c r="P16" s="603" t="s">
        <v>225</v>
      </c>
      <c r="Q16" s="622">
        <f>SUMPRODUCT(Q13:Q15,N13:N15)/SUM(N13:N15)</f>
        <v>5.508697119435374E-2</v>
      </c>
      <c r="R16" s="623">
        <f>1/(1+Q16)</f>
        <v>0.94778916553959947</v>
      </c>
      <c r="S16" s="218">
        <f>H12</f>
        <v>0.08</v>
      </c>
      <c r="T16" s="624">
        <f>(1+Q16)*R16*(1+S16)-1</f>
        <v>8.0000000000000071E-2</v>
      </c>
      <c r="U16" s="625">
        <f>N16*(1+T16)</f>
        <v>1126440</v>
      </c>
      <c r="V16" s="425"/>
      <c r="W16" s="425"/>
    </row>
    <row r="17" spans="1:23">
      <c r="A17" s="22"/>
      <c r="B17" s="118"/>
      <c r="C17" s="118"/>
      <c r="D17" s="118"/>
      <c r="E17" s="118"/>
      <c r="F17" s="118"/>
      <c r="G17" s="118"/>
      <c r="H17" s="118"/>
      <c r="I17" s="18"/>
      <c r="J17" s="30"/>
      <c r="K17" s="467"/>
      <c r="L17" s="425"/>
      <c r="M17" s="425"/>
      <c r="N17" s="425"/>
      <c r="O17" s="425"/>
      <c r="P17" s="425"/>
      <c r="Q17" s="626" t="s">
        <v>592</v>
      </c>
      <c r="R17" s="425"/>
      <c r="S17" s="425"/>
      <c r="T17" s="425"/>
      <c r="U17" s="425"/>
      <c r="V17" s="425"/>
      <c r="W17" s="425"/>
    </row>
    <row r="18" spans="1:23" ht="15" customHeight="1">
      <c r="A18" s="22"/>
      <c r="B18" s="203" t="s">
        <v>133</v>
      </c>
      <c r="C18" s="517" t="s">
        <v>139</v>
      </c>
      <c r="D18" s="517" t="s">
        <v>581</v>
      </c>
      <c r="E18" s="499" t="s">
        <v>138</v>
      </c>
      <c r="F18" s="118"/>
      <c r="G18" s="118"/>
      <c r="H18" s="118"/>
      <c r="I18" s="18"/>
      <c r="J18" s="30"/>
      <c r="K18" s="467"/>
      <c r="L18" s="425"/>
      <c r="M18" s="427" t="s">
        <v>94</v>
      </c>
      <c r="N18" s="425" t="s">
        <v>593</v>
      </c>
      <c r="O18" s="425"/>
      <c r="P18" s="425"/>
      <c r="Q18" s="425"/>
      <c r="R18" s="425"/>
      <c r="S18" s="425"/>
      <c r="T18" s="425"/>
      <c r="U18" s="425"/>
      <c r="V18" s="425"/>
      <c r="W18" s="425"/>
    </row>
    <row r="19" spans="1:23" ht="15" customHeight="1">
      <c r="A19" s="22"/>
      <c r="B19" s="198" t="s">
        <v>130</v>
      </c>
      <c r="C19" s="120">
        <v>135000</v>
      </c>
      <c r="D19" s="612">
        <v>0.66</v>
      </c>
      <c r="E19" s="160">
        <v>0.89</v>
      </c>
      <c r="F19" s="118"/>
      <c r="G19" s="118"/>
      <c r="H19" s="118"/>
      <c r="I19" s="18"/>
      <c r="J19" s="30"/>
      <c r="K19" s="467"/>
      <c r="L19" s="425"/>
      <c r="M19" s="480" t="s">
        <v>594</v>
      </c>
      <c r="N19" s="425" t="s">
        <v>595</v>
      </c>
      <c r="O19" s="425"/>
      <c r="P19" s="425"/>
      <c r="Q19" s="425"/>
      <c r="R19" s="425"/>
      <c r="S19" s="425"/>
      <c r="T19" s="425"/>
      <c r="U19" s="425"/>
      <c r="V19" s="425"/>
      <c r="W19" s="425"/>
    </row>
    <row r="20" spans="1:23" ht="15" customHeight="1">
      <c r="A20" s="22"/>
      <c r="B20" s="198" t="s">
        <v>131</v>
      </c>
      <c r="C20" s="120">
        <v>734000</v>
      </c>
      <c r="D20" s="612">
        <v>1</v>
      </c>
      <c r="E20" s="160">
        <v>1</v>
      </c>
      <c r="F20" s="118"/>
      <c r="G20" s="118"/>
      <c r="H20" s="118"/>
      <c r="I20" s="18"/>
      <c r="J20" s="30"/>
      <c r="K20" s="467"/>
      <c r="L20" s="425"/>
      <c r="M20" s="242" t="s">
        <v>95</v>
      </c>
      <c r="N20" s="183" t="s">
        <v>596</v>
      </c>
      <c r="O20" s="183"/>
      <c r="P20" s="627" t="s">
        <v>597</v>
      </c>
      <c r="Q20" s="183"/>
      <c r="R20" s="627" t="s">
        <v>598</v>
      </c>
      <c r="S20" s="147"/>
      <c r="T20" s="425"/>
      <c r="U20" s="425"/>
      <c r="V20" s="425"/>
      <c r="W20" s="425"/>
    </row>
    <row r="21" spans="1:23" ht="15" customHeight="1">
      <c r="A21" s="22"/>
      <c r="B21" s="155" t="s">
        <v>132</v>
      </c>
      <c r="C21" s="125">
        <v>174000</v>
      </c>
      <c r="D21" s="613">
        <v>1.17</v>
      </c>
      <c r="E21" s="163">
        <v>1.24</v>
      </c>
      <c r="F21" s="118"/>
      <c r="G21" s="118"/>
      <c r="H21" s="118"/>
      <c r="I21" s="18"/>
      <c r="J21" s="30"/>
      <c r="K21" s="467"/>
      <c r="L21" s="425"/>
      <c r="M21" s="427" t="s">
        <v>584</v>
      </c>
      <c r="N21" s="425" t="s">
        <v>599</v>
      </c>
      <c r="O21" s="425"/>
      <c r="P21" s="425"/>
      <c r="Q21" s="425"/>
      <c r="R21" s="425"/>
      <c r="S21" s="425"/>
      <c r="T21" s="425"/>
      <c r="U21" s="425"/>
      <c r="V21" s="425"/>
      <c r="W21" s="425"/>
    </row>
    <row r="22" spans="1:23" ht="15" customHeight="1">
      <c r="A22" s="22"/>
      <c r="B22" s="155" t="s">
        <v>521</v>
      </c>
      <c r="C22" s="614">
        <v>1043000</v>
      </c>
      <c r="D22" s="615" t="s">
        <v>225</v>
      </c>
      <c r="E22" s="520" t="s">
        <v>225</v>
      </c>
      <c r="F22" s="118"/>
      <c r="G22" s="118"/>
      <c r="H22" s="118"/>
      <c r="I22" s="18"/>
      <c r="J22" s="30"/>
      <c r="K22" s="467"/>
      <c r="L22" s="425"/>
      <c r="M22" s="427" t="s">
        <v>585</v>
      </c>
      <c r="N22" s="425" t="s">
        <v>600</v>
      </c>
      <c r="O22" s="425"/>
      <c r="P22" s="425"/>
      <c r="Q22" s="425"/>
      <c r="R22" s="425"/>
      <c r="S22" s="425"/>
      <c r="T22" s="425"/>
      <c r="U22" s="425"/>
      <c r="V22" s="425"/>
      <c r="W22" s="425"/>
    </row>
    <row r="23" spans="1:23" ht="15" customHeight="1">
      <c r="A23" s="22"/>
      <c r="B23" s="17"/>
      <c r="C23" s="100"/>
      <c r="D23" s="100"/>
      <c r="E23" s="100"/>
      <c r="F23" s="100"/>
      <c r="G23" s="100"/>
      <c r="H23" s="17"/>
      <c r="I23" s="18"/>
      <c r="J23" s="30"/>
      <c r="K23" s="467"/>
      <c r="L23" s="425"/>
      <c r="M23" s="427" t="s">
        <v>586</v>
      </c>
      <c r="N23" s="425" t="s">
        <v>601</v>
      </c>
      <c r="O23" s="425"/>
      <c r="P23" s="425"/>
      <c r="Q23" s="425"/>
      <c r="R23" s="425"/>
      <c r="S23" s="425"/>
      <c r="T23" s="425"/>
      <c r="U23" s="425"/>
      <c r="V23" s="425"/>
      <c r="W23" s="425"/>
    </row>
    <row r="24" spans="1:23" ht="15" customHeight="1" thickBot="1">
      <c r="A24" s="24"/>
      <c r="B24" s="31"/>
      <c r="C24" s="31"/>
      <c r="D24" s="31"/>
      <c r="E24" s="31"/>
      <c r="F24" s="31"/>
      <c r="G24" s="31"/>
      <c r="H24" s="31"/>
      <c r="I24" s="32"/>
      <c r="J24" s="30"/>
      <c r="K24" s="467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</row>
    <row r="25" spans="1:23" ht="15" customHeight="1">
      <c r="J25" s="30"/>
      <c r="K25" s="467"/>
      <c r="L25" s="182" t="s">
        <v>158</v>
      </c>
      <c r="M25" s="425" t="s">
        <v>602</v>
      </c>
      <c r="N25" s="425"/>
      <c r="O25" s="425"/>
      <c r="P25" s="425"/>
      <c r="Q25" s="425"/>
      <c r="R25" s="425"/>
      <c r="S25" s="425"/>
      <c r="T25" s="628">
        <f>H13</f>
        <v>0.15</v>
      </c>
      <c r="U25" s="425" t="s">
        <v>603</v>
      </c>
      <c r="V25" s="425"/>
      <c r="W25" s="425"/>
    </row>
    <row r="26" spans="1:23" ht="15" customHeight="1">
      <c r="J26" s="30"/>
      <c r="K26" s="467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</row>
    <row r="27" spans="1:23" ht="15" customHeight="1">
      <c r="J27" s="30"/>
      <c r="K27" s="467"/>
      <c r="L27" s="425"/>
      <c r="M27" s="138" t="s">
        <v>604</v>
      </c>
      <c r="N27" s="480" t="s">
        <v>148</v>
      </c>
      <c r="O27" s="139" t="s">
        <v>588</v>
      </c>
      <c r="P27" s="480" t="s">
        <v>148</v>
      </c>
      <c r="Q27" s="480" t="s">
        <v>605</v>
      </c>
      <c r="R27" s="480" t="s">
        <v>34</v>
      </c>
      <c r="S27" s="133" t="s">
        <v>606</v>
      </c>
      <c r="T27" s="425"/>
      <c r="U27" s="425"/>
      <c r="V27" s="425"/>
      <c r="W27" s="425"/>
    </row>
    <row r="28" spans="1:23" ht="15" customHeight="1">
      <c r="J28" s="30"/>
      <c r="K28" s="467"/>
      <c r="L28" s="425"/>
      <c r="M28" s="478" t="str">
        <f>"R / "&amp;O13</f>
        <v>R / 0.66</v>
      </c>
      <c r="N28" s="480" t="s">
        <v>148</v>
      </c>
      <c r="O28" s="629">
        <f>R16</f>
        <v>0.94778916553959947</v>
      </c>
      <c r="P28" s="480" t="s">
        <v>148</v>
      </c>
      <c r="Q28" s="133">
        <f>1+H12</f>
        <v>1.08</v>
      </c>
      <c r="R28" s="480" t="s">
        <v>34</v>
      </c>
      <c r="S28" s="133">
        <f>1+H13</f>
        <v>1.1499999999999999</v>
      </c>
      <c r="T28" s="401" t="s">
        <v>479</v>
      </c>
      <c r="U28" s="630" t="s">
        <v>38</v>
      </c>
      <c r="V28" s="104" t="s">
        <v>34</v>
      </c>
      <c r="W28" s="631">
        <f>S28/(O28*Q28)*O13</f>
        <v>0.74149167697825424</v>
      </c>
    </row>
    <row r="29" spans="1:23" ht="15" customHeight="1">
      <c r="J29" s="30"/>
      <c r="K29" s="467"/>
      <c r="L29" s="425"/>
      <c r="M29" s="425"/>
      <c r="N29" s="425"/>
      <c r="O29" s="425"/>
      <c r="P29" s="425"/>
      <c r="Q29" s="425"/>
      <c r="R29" s="425"/>
      <c r="S29" s="425"/>
      <c r="T29" s="425"/>
      <c r="U29" s="425"/>
      <c r="V29" s="425"/>
      <c r="W29" s="632" t="s">
        <v>607</v>
      </c>
    </row>
    <row r="30" spans="1:23" ht="15" customHeight="1">
      <c r="B30" s="30"/>
      <c r="C30" s="30"/>
      <c r="D30" s="30"/>
      <c r="E30" s="30"/>
      <c r="F30" s="30"/>
      <c r="G30" s="30"/>
      <c r="H30" s="30"/>
      <c r="I30" s="30"/>
      <c r="J30" s="30"/>
      <c r="K30" s="467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</row>
    <row r="31" spans="1:23" ht="15" customHeight="1">
      <c r="B31" s="30"/>
      <c r="C31" s="30"/>
      <c r="D31" s="30"/>
      <c r="E31" s="30"/>
      <c r="F31" s="30"/>
      <c r="G31" s="30"/>
      <c r="H31" s="30"/>
      <c r="I31" s="30"/>
      <c r="J31" s="30"/>
      <c r="K31" s="467"/>
      <c r="L31" s="182" t="s">
        <v>191</v>
      </c>
      <c r="M31" s="425" t="s">
        <v>608</v>
      </c>
      <c r="N31" s="425"/>
      <c r="O31" s="425"/>
      <c r="P31" s="425"/>
      <c r="Q31" s="425"/>
      <c r="R31" s="425"/>
      <c r="S31" s="425"/>
      <c r="T31" s="425"/>
      <c r="U31" s="425"/>
      <c r="V31" s="425"/>
      <c r="W31" s="425"/>
    </row>
    <row r="32" spans="1:23" ht="15" customHeight="1">
      <c r="B32" s="30"/>
      <c r="C32" s="30"/>
      <c r="D32" s="30"/>
      <c r="E32" s="30"/>
      <c r="F32" s="30"/>
      <c r="G32" s="30"/>
      <c r="H32" s="30"/>
      <c r="I32" s="30"/>
      <c r="J32" s="30"/>
      <c r="K32" s="467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</row>
    <row r="33" spans="2:23" ht="15" customHeight="1">
      <c r="B33" s="30"/>
      <c r="C33" s="30"/>
      <c r="D33" s="30"/>
      <c r="E33" s="30"/>
      <c r="F33" s="30"/>
      <c r="G33" s="30"/>
      <c r="H33" s="30"/>
      <c r="I33" s="30"/>
      <c r="J33" s="30"/>
      <c r="K33" s="467"/>
      <c r="L33" s="425"/>
      <c r="M33" s="138"/>
      <c r="N33" s="138" t="s">
        <v>609</v>
      </c>
      <c r="O33" s="480" t="s">
        <v>34</v>
      </c>
      <c r="P33" s="131" t="s">
        <v>586</v>
      </c>
      <c r="Q33" s="480" t="s">
        <v>148</v>
      </c>
      <c r="R33" s="480" t="s">
        <v>38</v>
      </c>
      <c r="S33" s="131" t="s">
        <v>36</v>
      </c>
      <c r="T33" s="131" t="s">
        <v>93</v>
      </c>
      <c r="U33" s="425"/>
      <c r="V33" s="425"/>
      <c r="W33" s="425"/>
    </row>
    <row r="34" spans="2:23" ht="15" customHeight="1">
      <c r="B34" s="30"/>
      <c r="C34" s="30"/>
      <c r="D34" s="30"/>
      <c r="E34" s="30"/>
      <c r="F34" s="30"/>
      <c r="G34" s="30"/>
      <c r="H34" s="30"/>
      <c r="I34" s="30"/>
      <c r="J34" s="30"/>
      <c r="K34" s="467"/>
      <c r="L34" s="425"/>
      <c r="M34" s="425"/>
      <c r="N34" s="425"/>
      <c r="O34" s="480" t="s">
        <v>34</v>
      </c>
      <c r="P34" s="480">
        <f>U13</f>
        <v>186343.96621022653</v>
      </c>
      <c r="Q34" s="480" t="s">
        <v>148</v>
      </c>
      <c r="R34" s="633">
        <f>W28</f>
        <v>0.74149167697825424</v>
      </c>
      <c r="S34" s="634" t="s">
        <v>36</v>
      </c>
      <c r="T34" s="633">
        <f>P13</f>
        <v>0.89</v>
      </c>
      <c r="U34" s="425"/>
      <c r="V34" s="425"/>
      <c r="W34" s="425"/>
    </row>
    <row r="35" spans="2:23" ht="15" customHeight="1">
      <c r="B35" s="30"/>
      <c r="C35" s="30"/>
      <c r="D35" s="30"/>
      <c r="E35" s="30"/>
      <c r="F35" s="30"/>
      <c r="G35" s="30"/>
      <c r="H35" s="30"/>
      <c r="I35" s="30"/>
      <c r="J35" s="30"/>
      <c r="K35" s="467"/>
      <c r="L35" s="425"/>
      <c r="M35" s="425"/>
      <c r="N35" s="425"/>
      <c r="O35" s="480" t="s">
        <v>34</v>
      </c>
      <c r="P35" s="635">
        <f>P34*R34/T34</f>
        <v>155250</v>
      </c>
      <c r="Q35" s="425"/>
      <c r="R35" s="425"/>
      <c r="S35" s="425"/>
      <c r="T35" s="425"/>
      <c r="U35" s="425"/>
      <c r="V35" s="425"/>
      <c r="W35" s="425"/>
    </row>
    <row r="36" spans="2:23" ht="15" customHeight="1">
      <c r="B36" s="30"/>
      <c r="C36" s="30"/>
      <c r="D36" s="30"/>
      <c r="E36" s="30"/>
      <c r="F36" s="30"/>
      <c r="G36" s="30"/>
      <c r="H36" s="30"/>
      <c r="I36" s="30"/>
      <c r="J36" s="30"/>
      <c r="K36" s="467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</row>
    <row r="37" spans="2:23" ht="15" customHeight="1">
      <c r="B37" s="30"/>
      <c r="C37" s="30"/>
      <c r="D37" s="30"/>
      <c r="E37" s="30"/>
      <c r="F37" s="30"/>
      <c r="G37" s="30"/>
      <c r="H37" s="30"/>
      <c r="I37" s="30"/>
      <c r="J37" s="30"/>
      <c r="K37" s="467"/>
      <c r="L37" s="425"/>
      <c r="M37" s="425"/>
      <c r="N37" s="425" t="s">
        <v>610</v>
      </c>
      <c r="O37" s="480" t="s">
        <v>34</v>
      </c>
      <c r="P37" s="480">
        <f>P34</f>
        <v>186343.96621022653</v>
      </c>
      <c r="Q37" s="480" t="s">
        <v>104</v>
      </c>
      <c r="R37" s="635">
        <f>P35</f>
        <v>155250</v>
      </c>
      <c r="S37" s="480" t="s">
        <v>34</v>
      </c>
      <c r="T37" s="210">
        <f>P37-R37</f>
        <v>31093.966210226528</v>
      </c>
      <c r="U37" s="134" t="s">
        <v>611</v>
      </c>
      <c r="V37" s="425"/>
      <c r="W37" s="425"/>
    </row>
    <row r="38" spans="2:23" ht="15" customHeight="1">
      <c r="B38" s="30"/>
      <c r="C38" s="30"/>
      <c r="D38" s="30"/>
      <c r="E38" s="30"/>
      <c r="F38" s="30"/>
      <c r="G38" s="30"/>
      <c r="H38" s="30"/>
      <c r="I38" s="30"/>
      <c r="J38" s="30"/>
      <c r="K38" s="467"/>
      <c r="L38" s="425"/>
      <c r="M38" s="425"/>
      <c r="N38" s="425"/>
      <c r="O38" s="425"/>
      <c r="P38" s="425"/>
      <c r="Q38" s="425"/>
      <c r="R38" s="425"/>
      <c r="S38" s="425"/>
      <c r="T38" s="425"/>
      <c r="U38" s="425"/>
      <c r="V38" s="425"/>
      <c r="W38" s="425"/>
    </row>
    <row r="39" spans="2:23" ht="15" customHeight="1">
      <c r="B39" s="30"/>
      <c r="C39" s="30"/>
      <c r="D39" s="30"/>
      <c r="E39" s="30"/>
      <c r="F39" s="30"/>
      <c r="G39" s="30"/>
      <c r="H39" s="30"/>
      <c r="I39" s="30"/>
      <c r="J39" s="30"/>
      <c r="K39" s="467"/>
      <c r="L39" s="430" t="s">
        <v>612</v>
      </c>
      <c r="M39" s="425" t="s">
        <v>613</v>
      </c>
      <c r="N39" s="425"/>
      <c r="O39" s="425"/>
      <c r="P39" s="425"/>
      <c r="Q39" s="425"/>
      <c r="R39" s="425"/>
      <c r="S39" s="425"/>
      <c r="T39" s="425"/>
      <c r="U39" s="425"/>
      <c r="V39" s="425"/>
      <c r="W39" s="425"/>
    </row>
    <row r="40" spans="2:23" ht="15" customHeight="1">
      <c r="B40" s="30"/>
      <c r="C40" s="30"/>
      <c r="D40" s="30"/>
      <c r="E40" s="30"/>
      <c r="F40" s="30"/>
      <c r="G40" s="30"/>
      <c r="H40" s="30"/>
      <c r="I40" s="30"/>
      <c r="J40" s="30"/>
      <c r="K40" s="467"/>
      <c r="L40" s="425"/>
      <c r="M40" s="425"/>
      <c r="N40" s="425"/>
      <c r="O40" s="425"/>
      <c r="P40" s="425"/>
      <c r="Q40" s="425"/>
      <c r="R40" s="425"/>
      <c r="S40" s="425"/>
      <c r="T40" s="425"/>
      <c r="U40" s="425"/>
      <c r="V40" s="425"/>
      <c r="W40" s="425"/>
    </row>
    <row r="41" spans="2:23" ht="15" customHeight="1">
      <c r="B41" s="30"/>
      <c r="C41" s="30"/>
      <c r="D41" s="30"/>
      <c r="E41" s="30"/>
      <c r="F41" s="30"/>
      <c r="G41" s="30"/>
      <c r="H41" s="30"/>
      <c r="I41" s="30"/>
      <c r="J41" s="30"/>
      <c r="K41" s="467"/>
      <c r="L41" s="425"/>
      <c r="M41" s="425"/>
      <c r="N41" s="138" t="s">
        <v>614</v>
      </c>
      <c r="O41" s="480" t="s">
        <v>34</v>
      </c>
      <c r="P41" s="480">
        <f>U14</f>
        <v>751331.42730655125</v>
      </c>
      <c r="Q41" s="480" t="s">
        <v>35</v>
      </c>
      <c r="R41" s="480">
        <f>U15</f>
        <v>188764.60648322216</v>
      </c>
      <c r="S41" s="480" t="s">
        <v>34</v>
      </c>
      <c r="T41" s="454">
        <f>P41+R41</f>
        <v>940096.03378977347</v>
      </c>
      <c r="U41" s="425"/>
      <c r="V41" s="425"/>
      <c r="W41" s="425"/>
    </row>
    <row r="42" spans="2:23" ht="15" customHeight="1">
      <c r="B42" s="30"/>
      <c r="C42" s="30"/>
      <c r="D42" s="30"/>
      <c r="E42" s="30"/>
      <c r="F42" s="30"/>
      <c r="G42" s="30"/>
      <c r="H42" s="30"/>
      <c r="I42" s="30"/>
      <c r="J42" s="30"/>
      <c r="K42" s="467"/>
      <c r="L42" s="425"/>
      <c r="M42" s="425"/>
      <c r="N42" s="478"/>
      <c r="O42" s="478"/>
      <c r="P42" s="478"/>
      <c r="Q42" s="478"/>
      <c r="R42" s="425"/>
      <c r="S42" s="425"/>
      <c r="T42" s="425"/>
      <c r="U42" s="425"/>
      <c r="V42" s="425"/>
      <c r="W42" s="425"/>
    </row>
    <row r="43" spans="2:23" ht="15" customHeight="1">
      <c r="B43" s="30"/>
      <c r="C43" s="30"/>
      <c r="D43" s="30"/>
      <c r="E43" s="30"/>
      <c r="F43" s="30"/>
      <c r="G43" s="30"/>
      <c r="H43" s="30"/>
      <c r="I43" s="30"/>
      <c r="J43" s="30"/>
      <c r="K43"/>
      <c r="L43" s="425"/>
      <c r="M43" s="425"/>
      <c r="N43" s="138" t="s">
        <v>615</v>
      </c>
      <c r="O43" s="480" t="s">
        <v>34</v>
      </c>
      <c r="P43" s="210">
        <f>T37</f>
        <v>31093.966210226528</v>
      </c>
      <c r="Q43" s="131" t="s">
        <v>36</v>
      </c>
      <c r="R43" s="354">
        <f>T41</f>
        <v>940096.03378977347</v>
      </c>
      <c r="S43" s="480" t="s">
        <v>34</v>
      </c>
      <c r="T43" s="636">
        <f>P43/R43</f>
        <v>3.3075308364910981E-2</v>
      </c>
      <c r="U43" s="134" t="s">
        <v>616</v>
      </c>
      <c r="V43" s="425"/>
      <c r="W43" s="425"/>
    </row>
    <row r="44" spans="2:23" ht="15" customHeight="1">
      <c r="J44" s="30"/>
      <c r="K44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V44" s="425"/>
      <c r="W44" s="425"/>
    </row>
    <row r="45" spans="2:23" ht="15" customHeight="1">
      <c r="J45" s="30"/>
      <c r="K45"/>
      <c r="L45" s="430" t="s">
        <v>230</v>
      </c>
      <c r="M45" s="425" t="s">
        <v>617</v>
      </c>
      <c r="N45" s="425"/>
      <c r="O45" s="425"/>
      <c r="P45" s="425"/>
      <c r="Q45" s="425"/>
      <c r="R45" s="425"/>
      <c r="S45" s="425"/>
      <c r="T45" s="425"/>
      <c r="U45" s="425"/>
      <c r="V45" s="425"/>
      <c r="W45" s="425"/>
    </row>
    <row r="46" spans="2:23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 s="425"/>
      <c r="M46" s="425"/>
      <c r="N46" s="425"/>
      <c r="O46" s="425"/>
      <c r="P46" s="425"/>
      <c r="Q46" s="425"/>
      <c r="R46" s="425"/>
      <c r="S46" s="425"/>
      <c r="T46" s="425"/>
      <c r="U46" s="425"/>
      <c r="V46" s="425"/>
      <c r="W46" s="425"/>
    </row>
    <row r="47" spans="2:23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 s="425"/>
      <c r="M47" s="425"/>
      <c r="N47" s="425"/>
      <c r="O47" s="138" t="s">
        <v>618</v>
      </c>
      <c r="P47" s="480" t="s">
        <v>34</v>
      </c>
      <c r="Q47" s="637" t="s">
        <v>38</v>
      </c>
      <c r="R47" s="131" t="s">
        <v>36</v>
      </c>
      <c r="S47" s="129" t="s">
        <v>619</v>
      </c>
      <c r="T47" s="480"/>
      <c r="U47" s="478"/>
      <c r="V47" s="425"/>
      <c r="W47" s="425"/>
    </row>
    <row r="48" spans="2:23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 s="425"/>
      <c r="M48" s="425"/>
      <c r="N48" s="425"/>
      <c r="O48" s="425"/>
      <c r="P48" s="480" t="s">
        <v>34</v>
      </c>
      <c r="Q48" s="638">
        <f>W28</f>
        <v>0.74149167697825424</v>
      </c>
      <c r="R48" s="131" t="s">
        <v>36</v>
      </c>
      <c r="S48" s="639">
        <f>1+T43</f>
        <v>1.0330753083649109</v>
      </c>
      <c r="T48" s="425"/>
      <c r="U48" s="425"/>
      <c r="V48" s="425"/>
      <c r="W48" s="425"/>
    </row>
    <row r="49" spans="2:23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 s="425"/>
      <c r="M49" s="425"/>
      <c r="N49" s="425"/>
      <c r="O49" s="425"/>
      <c r="P49" s="480" t="s">
        <v>34</v>
      </c>
      <c r="Q49" s="640">
        <f>Q48/S48</f>
        <v>0.71775181438790014</v>
      </c>
      <c r="R49" s="134" t="s">
        <v>620</v>
      </c>
      <c r="S49" s="425"/>
      <c r="T49" s="425"/>
      <c r="U49" s="425"/>
      <c r="V49" s="425"/>
      <c r="W49" s="425"/>
    </row>
    <row r="50" spans="2:23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 s="425"/>
      <c r="M50" s="425"/>
      <c r="N50" s="425"/>
      <c r="O50" s="425"/>
      <c r="P50" s="425"/>
      <c r="Q50" s="425"/>
      <c r="R50" s="425"/>
      <c r="S50" s="425"/>
      <c r="T50" s="425"/>
      <c r="U50" s="425"/>
      <c r="V50" s="425"/>
      <c r="W50" s="425"/>
    </row>
    <row r="51" spans="2:23" ht="15" customHeight="1">
      <c r="B51" s="30"/>
      <c r="C51" s="30"/>
      <c r="D51" s="30"/>
      <c r="E51" s="30"/>
      <c r="F51" s="30"/>
      <c r="G51" s="30"/>
      <c r="H51" s="30"/>
      <c r="I51" s="30"/>
      <c r="J51" s="30"/>
      <c r="L51" s="425"/>
      <c r="M51" s="425"/>
      <c r="N51" s="148"/>
      <c r="O51" s="425"/>
      <c r="P51" s="425"/>
      <c r="Q51" s="425"/>
      <c r="R51" s="425"/>
      <c r="S51" s="425"/>
      <c r="T51" s="425"/>
      <c r="U51" s="425"/>
      <c r="V51" s="425"/>
      <c r="W51" s="425"/>
    </row>
    <row r="52" spans="2:23" ht="15" customHeight="1">
      <c r="B52" s="30"/>
      <c r="C52" s="30"/>
      <c r="D52" s="30"/>
      <c r="E52" s="30"/>
      <c r="F52" s="30"/>
      <c r="G52" s="30"/>
      <c r="H52" s="30"/>
      <c r="I52" s="30"/>
      <c r="J52" s="30"/>
      <c r="L52" s="425"/>
      <c r="M52" s="302" t="s">
        <v>485</v>
      </c>
      <c r="N52" s="148" t="s">
        <v>621</v>
      </c>
      <c r="O52" s="425"/>
      <c r="P52" s="425"/>
      <c r="Q52" s="425"/>
      <c r="R52" s="425"/>
      <c r="S52" s="425"/>
      <c r="T52" s="425"/>
      <c r="U52" s="425"/>
      <c r="V52" s="425"/>
      <c r="W52" s="425"/>
    </row>
    <row r="53" spans="2:23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3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3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3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3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3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3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3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3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3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3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3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3" width="9.140625" style="21" customWidth="1"/>
    <col min="14" max="16384" width="9.140625" style="21"/>
  </cols>
  <sheetData>
    <row r="1" spans="1:28">
      <c r="A1" s="7">
        <v>18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1024" t="s">
        <v>24</v>
      </c>
      <c r="M1" s="1025"/>
      <c r="O1" s="1" t="s">
        <v>33</v>
      </c>
      <c r="P1" s="47" t="str">
        <f>VLOOKUP(A1,'Point Grid'!$L$8:$T$54,9,FALSE)</f>
        <v>Pricing - Chap 16: Claims-Made Policies</v>
      </c>
      <c r="Q1"/>
      <c r="R1"/>
      <c r="S1"/>
      <c r="T1"/>
      <c r="U1"/>
      <c r="V1"/>
      <c r="W1"/>
      <c r="X1"/>
      <c r="Y1"/>
    </row>
    <row r="2" spans="1:28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1"/>
      <c r="P2"/>
      <c r="Q2"/>
      <c r="R2"/>
      <c r="S2"/>
      <c r="T2"/>
      <c r="U2"/>
      <c r="V2"/>
      <c r="W2"/>
      <c r="X2"/>
      <c r="Y2"/>
      <c r="Z2"/>
      <c r="AA2"/>
      <c r="AB2"/>
    </row>
    <row r="3" spans="1:28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 s="42"/>
      <c r="P3"/>
      <c r="Q3"/>
      <c r="R3"/>
      <c r="S3"/>
      <c r="T3"/>
      <c r="U3"/>
      <c r="V3"/>
      <c r="W3"/>
      <c r="X3"/>
      <c r="Y3"/>
      <c r="Z3"/>
      <c r="AA3"/>
      <c r="AB3"/>
    </row>
    <row r="4" spans="1:28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0"/>
      <c r="O4" s="42"/>
      <c r="P4"/>
      <c r="Q4"/>
      <c r="R4"/>
      <c r="S4"/>
      <c r="T4"/>
      <c r="U4"/>
      <c r="V4"/>
      <c r="W4"/>
      <c r="X4"/>
      <c r="Y4"/>
      <c r="Z4"/>
      <c r="AA4"/>
      <c r="AB4"/>
    </row>
    <row r="5" spans="1:28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0"/>
      <c r="O5" s="42"/>
      <c r="P5"/>
      <c r="Q5"/>
      <c r="R5"/>
      <c r="S5"/>
      <c r="T5"/>
      <c r="U5"/>
      <c r="V5"/>
      <c r="W5"/>
      <c r="X5"/>
      <c r="Y5"/>
      <c r="Z5"/>
      <c r="AA5"/>
      <c r="AB5"/>
    </row>
    <row r="6" spans="1:28">
      <c r="A6" s="25" t="s">
        <v>2</v>
      </c>
      <c r="B6" s="118" t="s">
        <v>297</v>
      </c>
      <c r="C6" s="118"/>
      <c r="D6" s="118"/>
      <c r="E6" s="118"/>
      <c r="F6" s="267">
        <v>2021</v>
      </c>
      <c r="G6" s="118" t="s">
        <v>298</v>
      </c>
      <c r="H6" s="118"/>
      <c r="I6" s="118"/>
      <c r="J6" s="267">
        <v>2023</v>
      </c>
      <c r="K6" s="100"/>
      <c r="L6" s="100"/>
      <c r="M6" s="18"/>
      <c r="N6" s="30"/>
      <c r="O6" s="130" t="s">
        <v>2</v>
      </c>
      <c r="P6" s="102" t="s">
        <v>306</v>
      </c>
      <c r="Q6" s="102"/>
      <c r="R6" s="394">
        <f>F6</f>
        <v>2021</v>
      </c>
      <c r="S6" s="102" t="s">
        <v>298</v>
      </c>
      <c r="T6" s="102"/>
      <c r="U6" s="102"/>
      <c r="V6" s="394">
        <f>J6</f>
        <v>2023</v>
      </c>
      <c r="W6" s="102" t="s">
        <v>307</v>
      </c>
      <c r="X6" s="102"/>
      <c r="Y6" s="102"/>
      <c r="Z6" s="102"/>
      <c r="AA6" s="102"/>
      <c r="AB6"/>
    </row>
    <row r="7" spans="1:28" ht="15.75" thickBot="1">
      <c r="A7" s="9">
        <f>INDEX('Point Grid'!$C$8:$I$54,MATCH($A$1,'Point Grid'!$A$8:$A$54,0),MATCH(A6,'Point Grid'!$C$7:$I$7,0))</f>
        <v>0.5</v>
      </c>
      <c r="B7" s="150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8"/>
      <c r="N7" s="30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/>
    </row>
    <row r="8" spans="1:28" ht="15.75" thickBot="1">
      <c r="A8" s="5"/>
      <c r="B8" s="150"/>
      <c r="C8" s="195"/>
      <c r="D8" s="100"/>
      <c r="E8" s="100"/>
      <c r="F8" s="100"/>
      <c r="G8" s="100"/>
      <c r="H8" s="100"/>
      <c r="I8" s="100"/>
      <c r="J8" s="100"/>
      <c r="K8" s="100"/>
      <c r="L8" s="100"/>
      <c r="M8" s="18"/>
      <c r="N8" s="30"/>
      <c r="O8" s="102"/>
      <c r="P8" s="130" t="s">
        <v>300</v>
      </c>
      <c r="Q8" s="96"/>
      <c r="R8" s="130" t="s">
        <v>308</v>
      </c>
      <c r="S8" s="102"/>
      <c r="T8" s="102"/>
      <c r="U8" s="102"/>
      <c r="V8" s="102"/>
      <c r="W8" s="102"/>
      <c r="X8" s="102"/>
      <c r="Y8" s="102"/>
      <c r="Z8" s="102"/>
      <c r="AA8" s="102"/>
      <c r="AB8"/>
    </row>
    <row r="9" spans="1:28">
      <c r="A9" s="25"/>
      <c r="B9" s="151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8"/>
      <c r="N9" s="30"/>
      <c r="O9" s="102"/>
      <c r="P9" s="98" t="s">
        <v>302</v>
      </c>
      <c r="Q9" s="99" t="s">
        <v>309</v>
      </c>
      <c r="R9" s="98" t="s">
        <v>310</v>
      </c>
      <c r="S9" s="102"/>
      <c r="T9" s="112"/>
      <c r="U9" s="112"/>
      <c r="V9" s="112"/>
      <c r="W9" s="112"/>
      <c r="X9" s="112"/>
      <c r="Y9" s="112"/>
      <c r="Z9" s="102"/>
      <c r="AA9" s="102"/>
      <c r="AB9"/>
    </row>
    <row r="10" spans="1:28">
      <c r="A10" s="25" t="s">
        <v>3</v>
      </c>
      <c r="B10" s="118" t="s">
        <v>297</v>
      </c>
      <c r="C10" s="118"/>
      <c r="D10" s="118"/>
      <c r="E10" s="118"/>
      <c r="F10" s="267">
        <v>2022</v>
      </c>
      <c r="G10" s="118" t="s">
        <v>299</v>
      </c>
      <c r="H10" s="118"/>
      <c r="I10" s="118"/>
      <c r="J10" s="267">
        <v>2025</v>
      </c>
      <c r="K10" s="118"/>
      <c r="L10" s="118"/>
      <c r="M10" s="18"/>
      <c r="N10" s="30"/>
      <c r="O10" s="102"/>
      <c r="P10" s="176">
        <f>F6</f>
        <v>2021</v>
      </c>
      <c r="Q10" s="396">
        <v>0</v>
      </c>
      <c r="R10" s="102">
        <f>IF(AND(P10 &lt;= B21, P10 &lt;= J6),VLOOKUP(P10,B17:G21,Q10+2,FALSE), 0)</f>
        <v>68850</v>
      </c>
      <c r="S10" s="131" t="s">
        <v>311</v>
      </c>
      <c r="T10" s="397" t="s">
        <v>312</v>
      </c>
      <c r="U10" s="379"/>
      <c r="V10" s="176" t="str">
        <f>"(" &amp; P10 &amp; ", " &amp; Q10 &amp; ")"</f>
        <v>(2021, 0)</v>
      </c>
      <c r="W10" s="192" t="str">
        <f>IF(AND(P10 &lt;= B21, P10 &lt;= J6), "", " &lt;== not applicable")</f>
        <v/>
      </c>
      <c r="X10" s="102"/>
      <c r="Y10" s="102"/>
      <c r="Z10" s="102"/>
      <c r="AA10" s="102"/>
      <c r="AB10"/>
    </row>
    <row r="11" spans="1:28" ht="15.75" thickBot="1">
      <c r="A11" s="9">
        <f>INDEX('Point Grid'!$C$8:$I$54,MATCH($A$1,'Point Grid'!$A$8:$A$54,0),MATCH(A10,'Point Grid'!$C$7:$I$7,0))</f>
        <v>0.5</v>
      </c>
      <c r="B11" s="151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8"/>
      <c r="N11" s="30"/>
      <c r="O11" s="102"/>
      <c r="P11" s="176">
        <f>P10+1</f>
        <v>2022</v>
      </c>
      <c r="Q11" s="396">
        <f>Q10+1</f>
        <v>1</v>
      </c>
      <c r="R11" s="102">
        <f>IF(AND(P11 &lt;= B21, P11 &lt;= J6),VLOOKUP(P11,B17:G21,Q11+2,FALSE), 0)</f>
        <v>45490</v>
      </c>
      <c r="S11" s="131" t="s">
        <v>311</v>
      </c>
      <c r="T11" s="397" t="s">
        <v>312</v>
      </c>
      <c r="U11" s="379"/>
      <c r="V11" s="176" t="str">
        <f>"(" &amp; P11 &amp; ", " &amp; Q11 &amp; ")"</f>
        <v>(2022, 1)</v>
      </c>
      <c r="W11" s="192" t="str">
        <f>IF(AND(P11 &lt;= B21, P11 &lt;= J6), "", " &lt;== not applicable")</f>
        <v/>
      </c>
      <c r="X11" s="102"/>
      <c r="Y11" s="102"/>
      <c r="Z11" s="102"/>
      <c r="AA11" s="102"/>
      <c r="AB11"/>
    </row>
    <row r="12" spans="1:28" ht="15.75" thickBot="1">
      <c r="A12" s="5"/>
      <c r="B12" s="151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8"/>
      <c r="N12" s="30"/>
      <c r="O12" s="102"/>
      <c r="P12" s="176">
        <f t="shared" ref="P12:Q14" si="0">P11+1</f>
        <v>2023</v>
      </c>
      <c r="Q12" s="396">
        <f t="shared" si="0"/>
        <v>2</v>
      </c>
      <c r="R12" s="102">
        <f>IF(AND(P12 &lt;= B21, P12 &lt;= J6),VLOOKUP(P12,B17:G21,Q12+2,FALSE), 0)</f>
        <v>38930</v>
      </c>
      <c r="S12" s="131" t="s">
        <v>311</v>
      </c>
      <c r="T12" s="397" t="s">
        <v>312</v>
      </c>
      <c r="U12" s="379"/>
      <c r="V12" s="176" t="str">
        <f>"(" &amp; P12 &amp; ", " &amp; Q12 &amp; ")"</f>
        <v>(2023, 2)</v>
      </c>
      <c r="W12" s="192" t="str">
        <f>IF(AND(P12 &lt;= B21, P12 &lt;= J6), "", " &lt;== not applicable")</f>
        <v/>
      </c>
      <c r="X12" s="102"/>
      <c r="Y12" s="102"/>
      <c r="Z12" s="102"/>
      <c r="AA12" s="102"/>
      <c r="AB12"/>
    </row>
    <row r="13" spans="1:28">
      <c r="A13" s="25"/>
      <c r="B13" s="100" t="s">
        <v>332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8"/>
      <c r="N13" s="30"/>
      <c r="O13" s="102"/>
      <c r="P13" s="176">
        <f t="shared" si="0"/>
        <v>2024</v>
      </c>
      <c r="Q13" s="396">
        <f t="shared" si="0"/>
        <v>3</v>
      </c>
      <c r="R13" s="102">
        <f>IF(AND(P13 &lt;= B21, P13 &lt;= J6),VLOOKUP(P13,B17:G21,Q13+2,FALSE), 0)</f>
        <v>0</v>
      </c>
      <c r="S13" s="131" t="s">
        <v>311</v>
      </c>
      <c r="T13" s="397" t="s">
        <v>312</v>
      </c>
      <c r="U13" s="379"/>
      <c r="V13" s="176" t="str">
        <f>"(" &amp; P13 &amp; ", " &amp; Q13 &amp; ")"</f>
        <v>(2024, 3)</v>
      </c>
      <c r="W13" s="192" t="str">
        <f>IF(AND(P13 &lt;= B21, P13 &lt;= J6), "", " &lt;== not applicable")</f>
        <v xml:space="preserve"> &lt;== not applicable</v>
      </c>
      <c r="X13" s="102"/>
      <c r="Y13" s="102"/>
      <c r="Z13" s="102"/>
      <c r="AA13" s="102"/>
      <c r="AB13"/>
    </row>
    <row r="14" spans="1:28">
      <c r="A14" s="25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8"/>
      <c r="N14" s="30"/>
      <c r="O14" s="102"/>
      <c r="P14" s="176">
        <f t="shared" si="0"/>
        <v>2025</v>
      </c>
      <c r="Q14" s="396">
        <f t="shared" si="0"/>
        <v>4</v>
      </c>
      <c r="R14" s="102">
        <f>IF(AND(P14 &lt;= B21, P14 &lt;= J6),VLOOKUP(P14,B17:G21,Q14+2,FALSE), 0)</f>
        <v>0</v>
      </c>
      <c r="S14" s="131" t="s">
        <v>311</v>
      </c>
      <c r="T14" s="397" t="s">
        <v>312</v>
      </c>
      <c r="U14" s="379"/>
      <c r="V14" s="176" t="str">
        <f>"(" &amp; P14 &amp; ", " &amp; Q14 &amp; ")"</f>
        <v>(2025, 4)</v>
      </c>
      <c r="W14" s="192" t="str">
        <f>IF(AND(P14 &lt;= B21, P14 &lt;= J6), "", " &lt;== not applicable")</f>
        <v xml:space="preserve"> &lt;== not applicable</v>
      </c>
      <c r="X14" s="102"/>
      <c r="Y14" s="102"/>
      <c r="Z14" s="102"/>
      <c r="AA14" s="102"/>
      <c r="AB14"/>
    </row>
    <row r="15" spans="1:28">
      <c r="A15" s="25"/>
      <c r="B15" s="152" t="s">
        <v>300</v>
      </c>
      <c r="C15" s="344" t="s">
        <v>301</v>
      </c>
      <c r="D15" s="344"/>
      <c r="E15" s="344"/>
      <c r="F15" s="344"/>
      <c r="G15" s="209"/>
      <c r="H15" s="118"/>
      <c r="I15" s="118"/>
      <c r="J15" s="118"/>
      <c r="K15" s="118"/>
      <c r="L15" s="100"/>
      <c r="M15" s="18"/>
      <c r="N15" s="30"/>
      <c r="O15" s="102"/>
      <c r="P15" s="106"/>
      <c r="Q15" s="398" t="s">
        <v>313</v>
      </c>
      <c r="R15" s="399">
        <f>SUM(R10:R14)</f>
        <v>153270</v>
      </c>
      <c r="S15" s="134"/>
      <c r="T15" s="106"/>
      <c r="U15" s="106"/>
      <c r="V15" s="106"/>
      <c r="W15" s="106"/>
      <c r="X15" s="106"/>
      <c r="Y15" s="106"/>
      <c r="Z15" s="102"/>
      <c r="AA15" s="102"/>
      <c r="AB15"/>
    </row>
    <row r="16" spans="1:28">
      <c r="A16" s="100"/>
      <c r="B16" s="155" t="s">
        <v>302</v>
      </c>
      <c r="C16" s="201">
        <v>0</v>
      </c>
      <c r="D16" s="201">
        <v>1</v>
      </c>
      <c r="E16" s="201">
        <v>2</v>
      </c>
      <c r="F16" s="201">
        <v>3</v>
      </c>
      <c r="G16" s="202">
        <v>4</v>
      </c>
      <c r="H16" s="118"/>
      <c r="I16" s="118"/>
      <c r="J16" s="118"/>
      <c r="K16" s="118"/>
      <c r="L16" s="100"/>
      <c r="M16" s="18"/>
      <c r="N16" s="30"/>
      <c r="O16" s="102"/>
      <c r="P16" s="102"/>
      <c r="Q16" s="102"/>
      <c r="R16" s="134" t="s">
        <v>314</v>
      </c>
      <c r="S16" s="102"/>
      <c r="T16" s="102"/>
      <c r="U16" s="102"/>
      <c r="V16" s="102"/>
      <c r="W16" s="102"/>
      <c r="X16" s="102"/>
      <c r="Y16" s="102"/>
      <c r="Z16" s="102"/>
      <c r="AA16" s="102"/>
      <c r="AB16"/>
    </row>
    <row r="17" spans="1:28">
      <c r="A17" s="100"/>
      <c r="B17" s="159">
        <v>2021</v>
      </c>
      <c r="C17" s="120">
        <v>68850</v>
      </c>
      <c r="D17" s="120">
        <v>56100</v>
      </c>
      <c r="E17" s="120">
        <v>51000</v>
      </c>
      <c r="F17" s="120">
        <v>53550</v>
      </c>
      <c r="G17" s="121">
        <v>25500</v>
      </c>
      <c r="H17" s="118"/>
      <c r="I17" s="118"/>
      <c r="J17" s="118"/>
      <c r="K17" s="118"/>
      <c r="L17" s="100"/>
      <c r="M17" s="18"/>
      <c r="N17" s="30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102"/>
      <c r="AB17"/>
    </row>
    <row r="18" spans="1:28" ht="15" customHeight="1">
      <c r="A18" s="100"/>
      <c r="B18" s="159">
        <v>2022</v>
      </c>
      <c r="C18" s="120">
        <v>37460</v>
      </c>
      <c r="D18" s="120">
        <v>45490</v>
      </c>
      <c r="E18" s="120">
        <v>64220</v>
      </c>
      <c r="F18" s="120">
        <v>66900</v>
      </c>
      <c r="G18" s="121">
        <v>53520</v>
      </c>
      <c r="H18" s="118"/>
      <c r="I18" s="118"/>
      <c r="J18" s="118"/>
      <c r="K18" s="118"/>
      <c r="L18" s="100"/>
      <c r="M18" s="18"/>
      <c r="N18" s="30"/>
      <c r="O18" s="130" t="s">
        <v>3</v>
      </c>
      <c r="P18" s="102" t="s">
        <v>306</v>
      </c>
      <c r="Q18" s="102"/>
      <c r="R18" s="394">
        <f>F10</f>
        <v>2022</v>
      </c>
      <c r="S18" s="102" t="s">
        <v>315</v>
      </c>
      <c r="T18" s="102"/>
      <c r="U18" s="102"/>
      <c r="V18" s="394">
        <f>J10</f>
        <v>2025</v>
      </c>
      <c r="W18" s="102" t="s">
        <v>316</v>
      </c>
      <c r="X18" s="102"/>
      <c r="Y18" s="102"/>
      <c r="Z18" s="102"/>
      <c r="AA18" s="102"/>
      <c r="AB18"/>
    </row>
    <row r="19" spans="1:28" ht="15" customHeight="1">
      <c r="A19" s="25"/>
      <c r="B19" s="159">
        <v>2023</v>
      </c>
      <c r="C19" s="120">
        <v>69530</v>
      </c>
      <c r="D19" s="120">
        <v>44500</v>
      </c>
      <c r="E19" s="120">
        <v>38930</v>
      </c>
      <c r="F19" s="120">
        <v>55620</v>
      </c>
      <c r="G19" s="121">
        <v>69530</v>
      </c>
      <c r="H19" s="118"/>
      <c r="I19" s="118"/>
      <c r="J19" s="118"/>
      <c r="K19" s="118"/>
      <c r="L19" s="100"/>
      <c r="M19" s="18"/>
      <c r="N19" s="30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/>
    </row>
    <row r="20" spans="1:28" ht="15" customHeight="1">
      <c r="A20" s="25"/>
      <c r="B20" s="159">
        <v>2024</v>
      </c>
      <c r="C20" s="120">
        <v>50560</v>
      </c>
      <c r="D20" s="120">
        <v>61200</v>
      </c>
      <c r="E20" s="120">
        <v>69190</v>
      </c>
      <c r="F20" s="120">
        <v>21290</v>
      </c>
      <c r="G20" s="121">
        <v>63860</v>
      </c>
      <c r="H20" s="266"/>
      <c r="I20" s="118"/>
      <c r="J20" s="118"/>
      <c r="K20" s="118"/>
      <c r="L20" s="100"/>
      <c r="M20" s="18"/>
      <c r="N20" s="30"/>
      <c r="O20" s="102"/>
      <c r="P20" s="35" t="s">
        <v>317</v>
      </c>
      <c r="Q20" s="35"/>
      <c r="R20" s="35"/>
      <c r="S20" s="400" t="s">
        <v>305</v>
      </c>
      <c r="T20" s="395">
        <f>K24</f>
        <v>2022</v>
      </c>
      <c r="U20" s="401" t="s">
        <v>311</v>
      </c>
      <c r="V20" s="134" t="s">
        <v>318</v>
      </c>
      <c r="W20" s="102"/>
      <c r="X20" s="102"/>
      <c r="Y20" s="102"/>
      <c r="Z20" s="102"/>
      <c r="AA20" s="102"/>
      <c r="AB20"/>
    </row>
    <row r="21" spans="1:28" ht="15" customHeight="1">
      <c r="A21" s="25"/>
      <c r="B21" s="161">
        <v>2025</v>
      </c>
      <c r="C21" s="125">
        <v>56400</v>
      </c>
      <c r="D21" s="125">
        <v>64860</v>
      </c>
      <c r="E21" s="125">
        <v>42300</v>
      </c>
      <c r="F21" s="125">
        <v>73320</v>
      </c>
      <c r="G21" s="126">
        <v>45120</v>
      </c>
      <c r="H21" s="118"/>
      <c r="I21" s="118"/>
      <c r="J21" s="118"/>
      <c r="K21" s="118"/>
      <c r="L21" s="100"/>
      <c r="M21" s="18"/>
      <c r="N21" s="30"/>
      <c r="O21" s="102"/>
      <c r="P21" s="35" t="s">
        <v>319</v>
      </c>
      <c r="Q21" s="35"/>
      <c r="R21" s="35"/>
      <c r="S21" s="400" t="s">
        <v>305</v>
      </c>
      <c r="T21" s="395">
        <f>K25</f>
        <v>2022</v>
      </c>
      <c r="U21" s="402" t="s">
        <v>311</v>
      </c>
      <c r="V21" s="403" t="s">
        <v>320</v>
      </c>
      <c r="W21" s="102"/>
      <c r="X21" s="102"/>
      <c r="Y21" s="102"/>
      <c r="Z21" s="102"/>
      <c r="AA21" s="102"/>
      <c r="AB21"/>
    </row>
    <row r="22" spans="1:28" ht="15" customHeight="1">
      <c r="A22" s="25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27"/>
      <c r="M22" s="18"/>
      <c r="N22" s="30"/>
      <c r="O22" s="102"/>
      <c r="P22" s="35"/>
      <c r="Q22" s="35"/>
      <c r="R22" s="35"/>
      <c r="S22" s="35"/>
      <c r="T22" s="102"/>
      <c r="U22" s="102"/>
      <c r="V22" s="403" t="s">
        <v>321</v>
      </c>
      <c r="W22" s="102"/>
      <c r="X22" s="102"/>
      <c r="Y22" s="102"/>
      <c r="Z22" s="102"/>
      <c r="AA22" s="102"/>
      <c r="AB22"/>
    </row>
    <row r="23" spans="1:28" ht="15" customHeight="1">
      <c r="A23" s="25"/>
      <c r="B23" s="405" t="s">
        <v>283</v>
      </c>
      <c r="C23" s="118" t="s">
        <v>303</v>
      </c>
      <c r="D23" s="118"/>
      <c r="E23" s="118"/>
      <c r="F23" s="118"/>
      <c r="G23" s="118"/>
      <c r="H23" s="118"/>
      <c r="I23" s="118"/>
      <c r="J23" s="118"/>
      <c r="K23" s="118"/>
      <c r="L23" s="27"/>
      <c r="M23" s="18"/>
      <c r="N23" s="30"/>
      <c r="O23" s="102"/>
      <c r="P23" s="35" t="s">
        <v>322</v>
      </c>
      <c r="Q23" s="35"/>
      <c r="R23" s="35"/>
      <c r="S23" s="35"/>
      <c r="T23" s="102"/>
      <c r="U23" s="102"/>
      <c r="V23" s="102"/>
      <c r="W23" s="102"/>
      <c r="X23" s="102"/>
      <c r="Y23" s="102"/>
      <c r="Z23" s="102"/>
      <c r="AA23" s="102"/>
      <c r="AB23"/>
    </row>
    <row r="24" spans="1:28" ht="15" customHeight="1">
      <c r="A24" s="25"/>
      <c r="B24" s="405" t="s">
        <v>283</v>
      </c>
      <c r="C24" s="118" t="s">
        <v>304</v>
      </c>
      <c r="D24" s="118"/>
      <c r="E24" s="118"/>
      <c r="F24" s="118"/>
      <c r="G24" s="118"/>
      <c r="H24" s="118"/>
      <c r="I24" s="118"/>
      <c r="J24" s="170" t="s">
        <v>305</v>
      </c>
      <c r="K24" s="175">
        <v>2022</v>
      </c>
      <c r="L24" s="27"/>
      <c r="M24" s="18"/>
      <c r="N24" s="30"/>
      <c r="O24" s="102"/>
      <c r="P24" s="35"/>
      <c r="Q24" s="35"/>
      <c r="R24" s="35"/>
      <c r="S24" s="35"/>
      <c r="T24" s="102"/>
      <c r="U24" s="102"/>
      <c r="V24" s="102"/>
      <c r="W24" s="102"/>
      <c r="X24" s="102"/>
      <c r="Y24" s="102"/>
      <c r="Z24" s="102"/>
      <c r="AA24" s="102"/>
      <c r="AB24"/>
    </row>
    <row r="25" spans="1:28" ht="15" customHeight="1">
      <c r="A25" s="25"/>
      <c r="B25" s="118"/>
      <c r="C25" s="118"/>
      <c r="D25" s="118"/>
      <c r="E25" s="118"/>
      <c r="F25" s="118"/>
      <c r="G25" s="118"/>
      <c r="H25" s="118"/>
      <c r="I25" s="206" t="s">
        <v>333</v>
      </c>
      <c r="J25" s="170" t="s">
        <v>305</v>
      </c>
      <c r="K25" s="175">
        <v>2022</v>
      </c>
      <c r="L25" s="27"/>
      <c r="M25" s="18"/>
      <c r="N25" s="30"/>
      <c r="O25" s="102"/>
      <c r="P25" s="35"/>
      <c r="Q25" s="35"/>
      <c r="R25" s="35"/>
      <c r="S25" s="35"/>
      <c r="T25" s="102"/>
      <c r="U25" s="102"/>
      <c r="V25" s="102"/>
      <c r="W25" s="102"/>
      <c r="X25" s="102"/>
      <c r="Y25" s="102"/>
      <c r="Z25" s="102"/>
      <c r="AA25" s="102"/>
      <c r="AB25"/>
    </row>
    <row r="26" spans="1:28" ht="15" customHeight="1">
      <c r="A26" s="25"/>
      <c r="B26" s="1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18"/>
      <c r="N26" s="30"/>
      <c r="O26" s="102"/>
      <c r="P26" s="130" t="s">
        <v>300</v>
      </c>
      <c r="Q26" s="96"/>
      <c r="R26" s="130" t="s">
        <v>308</v>
      </c>
      <c r="S26" s="102"/>
      <c r="T26" s="102"/>
      <c r="U26" s="102"/>
      <c r="V26" s="102"/>
      <c r="W26" s="102"/>
      <c r="X26" s="102"/>
      <c r="Y26" s="102"/>
      <c r="Z26" s="102"/>
      <c r="AA26" s="102"/>
      <c r="AB26"/>
    </row>
    <row r="27" spans="1:28" ht="15" customHeight="1">
      <c r="A27" s="25"/>
      <c r="B27" s="1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18"/>
      <c r="N27" s="30"/>
      <c r="O27" s="102"/>
      <c r="P27" s="98" t="s">
        <v>302</v>
      </c>
      <c r="Q27" s="99" t="s">
        <v>309</v>
      </c>
      <c r="R27" s="98" t="s">
        <v>310</v>
      </c>
      <c r="S27" s="102"/>
      <c r="T27" s="112"/>
      <c r="U27" s="112"/>
      <c r="V27" s="112"/>
      <c r="W27" s="112"/>
      <c r="X27" s="112"/>
      <c r="Y27" s="112"/>
      <c r="Z27" s="102"/>
      <c r="AA27" s="102"/>
    </row>
    <row r="28" spans="1:28" ht="15" customHeight="1">
      <c r="A28" s="25"/>
      <c r="B28" s="1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18"/>
      <c r="N28" s="30"/>
      <c r="O28" s="102"/>
      <c r="P28" s="176">
        <f>R18</f>
        <v>2022</v>
      </c>
      <c r="Q28" s="396">
        <v>0</v>
      </c>
      <c r="R28" s="102">
        <f>IF(P28+Q28 &lt; V18,IFERROR(VLOOKUP(P28,B17:G21,Q28+2,FALSE),0),0)</f>
        <v>37460</v>
      </c>
      <c r="S28" s="131" t="s">
        <v>311</v>
      </c>
      <c r="T28" s="397" t="s">
        <v>323</v>
      </c>
      <c r="U28" s="379"/>
      <c r="V28" s="176" t="str">
        <f>"(" &amp; P28 &amp; ", " &amp; Q28 &amp; ")"</f>
        <v>(2022, 0)</v>
      </c>
      <c r="W28" s="192" t="str">
        <f>IF(P28+Q28 &gt;= V18," &lt;== prior to retroactive date (don't include)","")</f>
        <v/>
      </c>
      <c r="X28" s="102"/>
      <c r="Y28" s="102"/>
      <c r="Z28" s="102"/>
      <c r="AA28" s="102"/>
    </row>
    <row r="29" spans="1:28" ht="15" customHeight="1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30"/>
      <c r="O29" s="102"/>
      <c r="P29" s="176">
        <f>R18</f>
        <v>2022</v>
      </c>
      <c r="Q29" s="396">
        <f>Q28+1</f>
        <v>1</v>
      </c>
      <c r="R29" s="102">
        <f>IF(P29+Q29 &lt; V18,IFERROR(VLOOKUP(P29,B17:G21,Q29+2,FALSE),0),0)</f>
        <v>45490</v>
      </c>
      <c r="S29" s="131" t="s">
        <v>311</v>
      </c>
      <c r="T29" s="397" t="s">
        <v>323</v>
      </c>
      <c r="U29" s="379"/>
      <c r="V29" s="176" t="str">
        <f>"(" &amp; P29 &amp; ", " &amp; Q29 &amp; ")"</f>
        <v>(2022, 1)</v>
      </c>
      <c r="W29" s="192" t="str">
        <f>IF(P29+Q29 &gt;= V18," &lt;== prior to retroactive date (don't include)","")</f>
        <v/>
      </c>
      <c r="X29" s="102"/>
      <c r="Y29" s="102"/>
      <c r="Z29" s="102"/>
      <c r="AA29" s="102"/>
    </row>
    <row r="30" spans="1:28" ht="15" customHeight="1" thickBot="1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30"/>
      <c r="O30" s="102"/>
      <c r="P30" s="176">
        <f>R18</f>
        <v>2022</v>
      </c>
      <c r="Q30" s="396">
        <f>Q29+1</f>
        <v>2</v>
      </c>
      <c r="R30" s="102">
        <f>IF(P30+Q30 &lt; V18,IFERROR(VLOOKUP(P30,B17:G21,Q30+2,FALSE),0),0)</f>
        <v>64220</v>
      </c>
      <c r="S30" s="131" t="s">
        <v>311</v>
      </c>
      <c r="T30" s="397" t="s">
        <v>323</v>
      </c>
      <c r="U30" s="379"/>
      <c r="V30" s="176" t="str">
        <f>"(" &amp; P30 &amp; ", " &amp; Q30 &amp; ")"</f>
        <v>(2022, 2)</v>
      </c>
      <c r="W30" s="192" t="str">
        <f>IF(P30+Q30 &gt;= V18," &lt;== prior to retroactive date (don't include)","")</f>
        <v/>
      </c>
      <c r="X30" s="102"/>
      <c r="Y30" s="102"/>
      <c r="Z30" s="102"/>
      <c r="AA30" s="102"/>
    </row>
    <row r="31" spans="1:28" ht="15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02"/>
      <c r="P31" s="176">
        <f>R18</f>
        <v>2022</v>
      </c>
      <c r="Q31" s="396">
        <f>Q30+1</f>
        <v>3</v>
      </c>
      <c r="R31" s="102">
        <f>IF(P31+Q31 &lt; V18,IFERROR(VLOOKUP(P31,B17:G21,Q31+2,FALSE),0),0)</f>
        <v>0</v>
      </c>
      <c r="S31" s="131" t="s">
        <v>311</v>
      </c>
      <c r="T31" s="397" t="s">
        <v>323</v>
      </c>
      <c r="U31" s="379"/>
      <c r="V31" s="176" t="str">
        <f>"(" &amp; P31 &amp; ", " &amp; Q31 &amp; ")"</f>
        <v>(2022, 3)</v>
      </c>
      <c r="W31" s="192" t="str">
        <f>IF(P31+Q31 &gt;= V18," &lt;== prior to retroactive date (don't include)","")</f>
        <v xml:space="preserve"> &lt;== prior to retroactive date (don't include)</v>
      </c>
      <c r="X31" s="102"/>
      <c r="Y31" s="102"/>
      <c r="Z31" s="102"/>
      <c r="AA31" s="102"/>
    </row>
    <row r="32" spans="1:28" ht="15" customHeight="1">
      <c r="N32" s="30"/>
      <c r="O32" s="102"/>
      <c r="P32" s="176">
        <f>R18</f>
        <v>2022</v>
      </c>
      <c r="Q32" s="396">
        <f>Q31+1</f>
        <v>4</v>
      </c>
      <c r="R32" s="102">
        <f>IF(P32+Q32 &lt; V18,IFERROR(VLOOKUP(P32,B17:G21,Q32+2,FALSE),0),0)</f>
        <v>0</v>
      </c>
      <c r="S32" s="131" t="s">
        <v>311</v>
      </c>
      <c r="T32" s="397" t="s">
        <v>323</v>
      </c>
      <c r="U32" s="379"/>
      <c r="V32" s="176" t="str">
        <f>"(" &amp; P32 &amp; ", " &amp; Q32 &amp; ")"</f>
        <v>(2022, 4)</v>
      </c>
      <c r="W32" s="192" t="str">
        <f>IF(P32+Q32 &gt;= V18," &lt;== prior to retroactive date (don't include)","")</f>
        <v xml:space="preserve"> &lt;== prior to retroactive date (don't include)</v>
      </c>
      <c r="X32" s="102"/>
      <c r="Y32" s="102"/>
      <c r="Z32" s="102"/>
      <c r="AA32" s="102"/>
    </row>
    <row r="33" spans="2:27" ht="15" customHeight="1">
      <c r="N33" s="30"/>
      <c r="O33" s="102"/>
      <c r="P33" s="106"/>
      <c r="Q33" s="398" t="s">
        <v>313</v>
      </c>
      <c r="R33" s="399">
        <f>SUM(R28:R32)</f>
        <v>147170</v>
      </c>
      <c r="S33" s="134"/>
      <c r="T33" s="106"/>
      <c r="U33" s="106"/>
      <c r="V33" s="106"/>
      <c r="W33" s="106"/>
      <c r="X33" s="106"/>
      <c r="Y33" s="106"/>
      <c r="Z33" s="102"/>
      <c r="AA33" s="102"/>
    </row>
    <row r="34" spans="2:27" ht="15" customHeight="1">
      <c r="N34" s="30"/>
      <c r="O34" s="102"/>
      <c r="P34" s="102"/>
      <c r="Q34" s="102"/>
      <c r="R34" s="134" t="s">
        <v>324</v>
      </c>
      <c r="S34" s="102"/>
      <c r="T34" s="102"/>
      <c r="U34" s="102"/>
      <c r="V34" s="102"/>
      <c r="W34" s="102"/>
      <c r="X34" s="102"/>
      <c r="Y34" s="102"/>
      <c r="Z34" s="102"/>
      <c r="AA34" s="102"/>
    </row>
    <row r="35" spans="2:27" ht="15" customHeight="1">
      <c r="N35" s="30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</row>
    <row r="36" spans="2:27" ht="15" customHeight="1">
      <c r="N36" s="30"/>
      <c r="O36" s="102"/>
      <c r="P36" s="404" t="s">
        <v>325</v>
      </c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</row>
    <row r="37" spans="2:27" ht="15" customHeight="1">
      <c r="N37" s="30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</row>
    <row r="38" spans="2:27" ht="15" customHeight="1">
      <c r="N38" s="30"/>
      <c r="O38" s="102"/>
      <c r="P38" s="141" t="s">
        <v>326</v>
      </c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</row>
    <row r="39" spans="2:27" ht="15" customHeight="1">
      <c r="N39" s="30"/>
      <c r="O39" s="102"/>
      <c r="P39" s="102" t="s">
        <v>327</v>
      </c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</row>
    <row r="40" spans="2:27" ht="15" customHeight="1">
      <c r="N40" s="30"/>
      <c r="O40" s="102"/>
      <c r="P40" s="102" t="s">
        <v>328</v>
      </c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</row>
    <row r="41" spans="2:27" ht="15" customHeight="1">
      <c r="N41" s="30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</row>
    <row r="42" spans="2:27" ht="15" customHeight="1">
      <c r="N42" s="30"/>
      <c r="O42" s="102"/>
      <c r="P42" s="141" t="s">
        <v>329</v>
      </c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</row>
    <row r="43" spans="2:27" ht="15" customHeight="1">
      <c r="N43" s="30"/>
      <c r="O43" s="102"/>
      <c r="P43" s="102" t="s">
        <v>330</v>
      </c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</row>
    <row r="44" spans="2:27" ht="15" customHeight="1">
      <c r="N44" s="30"/>
      <c r="O44" s="102"/>
      <c r="P44" s="102" t="s">
        <v>331</v>
      </c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</row>
    <row r="45" spans="2:27" ht="15" customHeight="1">
      <c r="N45" s="30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</row>
    <row r="46" spans="2:27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</row>
    <row r="47" spans="2:27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/>
      <c r="P47"/>
      <c r="Q47"/>
      <c r="R47"/>
      <c r="S47"/>
      <c r="T47"/>
      <c r="U47"/>
      <c r="V47"/>
      <c r="W47"/>
      <c r="X47"/>
      <c r="Y47"/>
    </row>
    <row r="48" spans="2:27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/>
      <c r="P48"/>
      <c r="Q48"/>
      <c r="R48"/>
      <c r="S48"/>
      <c r="T48"/>
      <c r="U48"/>
      <c r="V48"/>
      <c r="W48"/>
      <c r="X48"/>
      <c r="Y48"/>
    </row>
    <row r="49" spans="2:25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/>
      <c r="P49"/>
      <c r="Q49"/>
      <c r="R49"/>
      <c r="S49"/>
      <c r="T49"/>
      <c r="U49"/>
      <c r="V49"/>
      <c r="W49"/>
      <c r="X49"/>
      <c r="Y49"/>
    </row>
    <row r="50" spans="2:25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/>
      <c r="P50"/>
      <c r="Q50"/>
      <c r="R50"/>
      <c r="S50"/>
      <c r="T50"/>
      <c r="U50"/>
      <c r="V50"/>
      <c r="W50"/>
      <c r="X50"/>
      <c r="Y50"/>
    </row>
    <row r="51" spans="2:25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2:25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2:25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2:25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2:25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2:25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2:25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2:25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25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25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2:25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2:25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2:25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2:25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14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2:14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2:14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14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14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14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14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4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14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</sheetData>
  <mergeCells count="1">
    <mergeCell ref="L1:M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19</v>
      </c>
      <c r="B1" s="26" t="s">
        <v>12</v>
      </c>
      <c r="C1" s="20"/>
      <c r="D1" s="20"/>
      <c r="E1" s="20"/>
      <c r="F1" s="20"/>
      <c r="G1" s="20"/>
      <c r="H1" s="1024" t="s">
        <v>24</v>
      </c>
      <c r="I1" s="1025"/>
      <c r="K1" s="1" t="s">
        <v>33</v>
      </c>
      <c r="L1" s="47" t="str">
        <f>VLOOKUP(A1,'Point Grid'!$L$8:$T$54,9,FALSE)</f>
        <v>Reserving - Chap 1: Overview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2" t="s">
        <v>2</v>
      </c>
      <c r="L3" s="476" t="s">
        <v>624</v>
      </c>
      <c r="M3" s="467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0.75</v>
      </c>
      <c r="B4" s="17"/>
      <c r="C4" s="17"/>
      <c r="D4" s="17"/>
      <c r="E4" s="17"/>
      <c r="F4" s="17"/>
      <c r="G4" s="17"/>
      <c r="H4" s="17"/>
      <c r="I4" s="18"/>
      <c r="J4" s="30"/>
      <c r="K4" s="42"/>
      <c r="L4" s="467" t="s">
        <v>623</v>
      </c>
      <c r="M4" s="467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2"/>
      <c r="L5" s="467" t="s">
        <v>625</v>
      </c>
      <c r="M5" s="467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634</v>
      </c>
      <c r="C6" s="17"/>
      <c r="D6" s="17"/>
      <c r="E6" s="17"/>
      <c r="F6" s="17"/>
      <c r="G6" s="17"/>
      <c r="H6" s="17"/>
      <c r="I6" s="18"/>
      <c r="J6" s="30"/>
      <c r="K6" s="42"/>
      <c r="L6" s="467" t="s">
        <v>626</v>
      </c>
      <c r="M6" s="467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0.75</v>
      </c>
      <c r="B7" s="17" t="s">
        <v>622</v>
      </c>
      <c r="C7" s="17"/>
      <c r="D7" s="17"/>
      <c r="E7" s="17"/>
      <c r="F7" s="17"/>
      <c r="G7" s="17"/>
      <c r="H7" s="17"/>
      <c r="I7" s="18"/>
      <c r="J7" s="30"/>
      <c r="K7" s="42"/>
      <c r="L7" s="467" t="s">
        <v>627</v>
      </c>
      <c r="M7" s="467"/>
      <c r="N7"/>
      <c r="O7"/>
      <c r="P7"/>
      <c r="Q7"/>
      <c r="R7"/>
      <c r="S7"/>
      <c r="T7"/>
      <c r="U7"/>
    </row>
    <row r="8" spans="1:21" ht="15.75" thickBot="1">
      <c r="A8" s="5"/>
      <c r="B8" s="17" t="s">
        <v>635</v>
      </c>
      <c r="C8" s="17"/>
      <c r="D8" s="17"/>
      <c r="E8" s="27"/>
      <c r="F8" s="27"/>
      <c r="G8" s="27"/>
      <c r="H8" s="27"/>
      <c r="I8" s="18"/>
      <c r="J8" s="30"/>
      <c r="K8"/>
      <c r="L8" s="467" t="s">
        <v>628</v>
      </c>
      <c r="M8" s="467"/>
      <c r="N8"/>
      <c r="O8"/>
      <c r="P8"/>
      <c r="Q8"/>
      <c r="R8"/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0"/>
      <c r="K9" s="42"/>
      <c r="L9" s="467" t="s">
        <v>629</v>
      </c>
      <c r="M9" s="467"/>
      <c r="N9"/>
      <c r="O9"/>
      <c r="P9"/>
      <c r="Q9"/>
      <c r="R9"/>
      <c r="S9"/>
    </row>
    <row r="10" spans="1:21">
      <c r="A10" s="25"/>
      <c r="B10" s="17"/>
      <c r="C10" s="17"/>
      <c r="D10" s="17"/>
      <c r="E10" s="17"/>
      <c r="F10" s="17"/>
      <c r="G10" s="17"/>
      <c r="H10" s="17"/>
      <c r="I10" s="18"/>
      <c r="J10" s="30"/>
      <c r="K10"/>
      <c r="L10" s="478" t="s">
        <v>630</v>
      </c>
      <c r="M10"/>
      <c r="N10"/>
      <c r="O10"/>
      <c r="P10"/>
      <c r="Q10"/>
      <c r="R10"/>
      <c r="S10"/>
      <c r="T10"/>
      <c r="U10"/>
    </row>
    <row r="11" spans="1:21">
      <c r="A11" s="25"/>
      <c r="B11" s="17"/>
      <c r="C11" s="17"/>
      <c r="D11" s="17"/>
      <c r="E11" s="17"/>
      <c r="F11" s="17"/>
      <c r="G11" s="17"/>
      <c r="H11" s="17"/>
      <c r="I11" s="18"/>
      <c r="J11" s="30"/>
      <c r="K11"/>
      <c r="L11" s="478" t="s">
        <v>631</v>
      </c>
      <c r="M11"/>
      <c r="N11"/>
      <c r="O11"/>
      <c r="P11"/>
      <c r="Q11"/>
      <c r="R11"/>
      <c r="S11"/>
      <c r="T11"/>
      <c r="U11"/>
    </row>
    <row r="12" spans="1:21">
      <c r="A12" s="25"/>
      <c r="B12" s="17"/>
      <c r="C12" s="17"/>
      <c r="D12" s="17"/>
      <c r="E12" s="17"/>
      <c r="F12" s="17"/>
      <c r="G12" s="17"/>
      <c r="H12" s="17"/>
      <c r="I12" s="18"/>
      <c r="J12" s="30"/>
      <c r="K12"/>
      <c r="L12" s="478" t="s">
        <v>632</v>
      </c>
      <c r="M12"/>
      <c r="N12"/>
      <c r="O12"/>
      <c r="P12"/>
      <c r="Q12"/>
      <c r="R12"/>
      <c r="S12"/>
      <c r="T12"/>
      <c r="U12"/>
    </row>
    <row r="13" spans="1:21">
      <c r="A13" s="25"/>
      <c r="B13" s="17"/>
      <c r="C13" s="17"/>
      <c r="D13" s="17"/>
      <c r="E13" s="17"/>
      <c r="F13" s="17"/>
      <c r="G13" s="17"/>
      <c r="H13" s="17"/>
      <c r="I13" s="18"/>
      <c r="J13" s="30"/>
      <c r="K13" s="42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17"/>
      <c r="C14" s="17"/>
      <c r="D14" s="17"/>
      <c r="E14" s="17"/>
      <c r="F14" s="17"/>
      <c r="G14" s="17"/>
      <c r="H14" s="17"/>
      <c r="I14" s="18"/>
      <c r="J14" s="30"/>
      <c r="K14"/>
      <c r="L14" s="420" t="s">
        <v>633</v>
      </c>
      <c r="M14"/>
      <c r="N14"/>
      <c r="O14"/>
      <c r="P14"/>
      <c r="Q14"/>
      <c r="R14"/>
      <c r="S14"/>
      <c r="T14"/>
      <c r="U14"/>
    </row>
    <row r="15" spans="1:21">
      <c r="A15" s="25"/>
      <c r="B15" s="17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17"/>
      <c r="C16" s="17"/>
      <c r="D16" s="17"/>
      <c r="E16" s="17"/>
      <c r="F16" s="17"/>
      <c r="G16" s="17"/>
      <c r="H16" s="17"/>
      <c r="I16" s="18"/>
      <c r="J16" s="30"/>
      <c r="K16" s="42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17"/>
      <c r="C17" s="17"/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17"/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17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17"/>
      <c r="C20" s="17"/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17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17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17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17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17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17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2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2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Y153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2" width="11.140625" style="21" customWidth="1"/>
    <col min="13" max="16384" width="9.140625" style="21"/>
  </cols>
  <sheetData>
    <row r="1" spans="1:51">
      <c r="A1" s="7">
        <v>20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1024" t="s">
        <v>24</v>
      </c>
      <c r="L1" s="1025"/>
      <c r="N1" s="1" t="s">
        <v>33</v>
      </c>
      <c r="O1" s="47" t="str">
        <f>VLOOKUP(A1,'Point Grid'!$L$8:$T$54,9,FALSE)</f>
        <v>Reserving - Chap 5: Triangles</v>
      </c>
      <c r="P1"/>
      <c r="Q1"/>
      <c r="R1"/>
      <c r="S1"/>
      <c r="T1"/>
      <c r="U1"/>
      <c r="V1"/>
      <c r="W1"/>
      <c r="X1"/>
    </row>
    <row r="2" spans="1:51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N2" s="1"/>
      <c r="O2"/>
      <c r="P2" s="467"/>
      <c r="Q2" s="467"/>
      <c r="R2" s="467"/>
      <c r="S2" s="467"/>
      <c r="T2" s="467"/>
      <c r="U2" s="467"/>
      <c r="V2" s="467"/>
      <c r="W2" s="467"/>
      <c r="X2" s="467"/>
      <c r="Y2" s="467"/>
    </row>
    <row r="3" spans="1:51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30"/>
      <c r="N3" s="235" t="s">
        <v>2</v>
      </c>
      <c r="O3" s="128" t="s">
        <v>99</v>
      </c>
      <c r="P3" s="467" t="s">
        <v>640</v>
      </c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30"/>
      <c r="O4" s="467"/>
      <c r="P4" s="476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30"/>
      <c r="O5" s="467"/>
      <c r="P5" s="476" t="s">
        <v>641</v>
      </c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>
      <c r="A6" s="25" t="s">
        <v>2</v>
      </c>
      <c r="B6" s="60" t="s">
        <v>653</v>
      </c>
      <c r="C6" s="60"/>
      <c r="D6" s="60"/>
      <c r="E6" s="60"/>
      <c r="F6" s="60"/>
      <c r="G6" s="60"/>
      <c r="H6" s="60"/>
      <c r="I6" s="60"/>
      <c r="J6" s="60"/>
      <c r="K6" s="60"/>
      <c r="L6" s="18"/>
      <c r="M6" s="30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ht="15.75" thickBot="1">
      <c r="A7" s="9">
        <f>INDEX('Point Grid'!$C$8:$I$54,MATCH($A$1,'Point Grid'!$A$8:$A$54,0),MATCH(A6,'Point Grid'!$C$7:$I$7,0))</f>
        <v>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18"/>
      <c r="M7" s="30"/>
      <c r="O7" s="467"/>
      <c r="P7" s="467"/>
      <c r="Q7" s="365"/>
      <c r="R7" s="641">
        <f>E9</f>
        <v>2020</v>
      </c>
      <c r="S7" s="642"/>
      <c r="T7" s="641">
        <f>G9</f>
        <v>2021</v>
      </c>
      <c r="U7" s="642"/>
      <c r="V7" s="641">
        <f>I9</f>
        <v>2022</v>
      </c>
      <c r="W7" s="353"/>
      <c r="X7" s="467"/>
      <c r="Y7" s="467"/>
      <c r="Z7" s="467"/>
      <c r="AA7" s="46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ht="15.75" thickBot="1">
      <c r="A8" s="5"/>
      <c r="B8" s="60"/>
      <c r="C8" s="60"/>
      <c r="D8" s="60"/>
      <c r="E8" s="60"/>
      <c r="F8" s="60"/>
      <c r="G8" s="60"/>
      <c r="H8" s="60"/>
      <c r="I8" s="60"/>
      <c r="J8" s="60"/>
      <c r="K8" s="60"/>
      <c r="L8" s="18"/>
      <c r="M8" s="30"/>
      <c r="O8" s="467"/>
      <c r="P8" s="467"/>
      <c r="Q8" s="365"/>
      <c r="R8" s="467"/>
      <c r="S8" s="358" t="s">
        <v>281</v>
      </c>
      <c r="T8" s="467"/>
      <c r="U8" s="358" t="s">
        <v>281</v>
      </c>
      <c r="V8" s="467"/>
      <c r="W8" s="479" t="s">
        <v>281</v>
      </c>
      <c r="X8" s="467"/>
      <c r="Y8" s="467"/>
      <c r="Z8" s="467"/>
      <c r="AA8" s="467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ht="15" customHeight="1">
      <c r="A9" s="25"/>
      <c r="B9" s="60"/>
      <c r="C9" s="60"/>
      <c r="D9" s="383"/>
      <c r="E9" s="643">
        <v>2020</v>
      </c>
      <c r="F9" s="644"/>
      <c r="G9" s="643">
        <v>2021</v>
      </c>
      <c r="H9" s="644"/>
      <c r="I9" s="643">
        <v>2022</v>
      </c>
      <c r="J9" s="366"/>
      <c r="K9" s="60"/>
      <c r="L9" s="18"/>
      <c r="M9" s="30"/>
      <c r="O9" s="467"/>
      <c r="P9" s="467"/>
      <c r="Q9" s="365"/>
      <c r="R9" s="479" t="s">
        <v>636</v>
      </c>
      <c r="S9" s="358" t="s">
        <v>637</v>
      </c>
      <c r="T9" s="479" t="s">
        <v>636</v>
      </c>
      <c r="U9" s="358" t="s">
        <v>637</v>
      </c>
      <c r="V9" s="479" t="s">
        <v>636</v>
      </c>
      <c r="W9" s="479" t="s">
        <v>637</v>
      </c>
      <c r="X9" s="467"/>
      <c r="Y9" s="467"/>
      <c r="Z9" s="467"/>
      <c r="AA9" s="467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ht="15" customHeight="1">
      <c r="A10" s="25"/>
      <c r="B10" s="60"/>
      <c r="C10" s="60"/>
      <c r="D10" s="383"/>
      <c r="E10" s="60"/>
      <c r="F10" s="369" t="s">
        <v>281</v>
      </c>
      <c r="G10" s="60"/>
      <c r="H10" s="369" t="s">
        <v>281</v>
      </c>
      <c r="I10" s="60"/>
      <c r="J10" s="367" t="s">
        <v>281</v>
      </c>
      <c r="K10" s="60"/>
      <c r="L10" s="18"/>
      <c r="M10" s="30"/>
      <c r="O10" s="467"/>
      <c r="P10" s="61" t="s">
        <v>83</v>
      </c>
      <c r="Q10" s="285" t="s">
        <v>639</v>
      </c>
      <c r="R10" s="61" t="s">
        <v>166</v>
      </c>
      <c r="S10" s="285" t="s">
        <v>166</v>
      </c>
      <c r="T10" s="61" t="s">
        <v>166</v>
      </c>
      <c r="U10" s="285" t="s">
        <v>166</v>
      </c>
      <c r="V10" s="61" t="s">
        <v>166</v>
      </c>
      <c r="W10" s="61" t="s">
        <v>166</v>
      </c>
      <c r="X10" s="467"/>
      <c r="Y10" s="467"/>
      <c r="Z10" s="467"/>
      <c r="AA10" s="467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15" customHeight="1">
      <c r="A11" s="25"/>
      <c r="B11" s="60"/>
      <c r="C11" s="60"/>
      <c r="D11" s="383"/>
      <c r="E11" s="367" t="s">
        <v>636</v>
      </c>
      <c r="F11" s="369" t="s">
        <v>637</v>
      </c>
      <c r="G11" s="367" t="s">
        <v>636</v>
      </c>
      <c r="H11" s="369" t="s">
        <v>637</v>
      </c>
      <c r="I11" s="367" t="s">
        <v>636</v>
      </c>
      <c r="J11" s="367" t="s">
        <v>637</v>
      </c>
      <c r="K11" s="60"/>
      <c r="L11" s="18"/>
      <c r="M11" s="30"/>
      <c r="O11" s="467"/>
      <c r="P11" s="479">
        <f>C13</f>
        <v>2020</v>
      </c>
      <c r="Q11" s="358" t="s">
        <v>642</v>
      </c>
      <c r="R11" s="192">
        <f>SUMIF(C13:C36,P11,E13:E36)</f>
        <v>1000</v>
      </c>
      <c r="S11" s="647">
        <f>SUMIF(C13:C36,P11,F13:F36)</f>
        <v>1300</v>
      </c>
      <c r="T11" s="428">
        <f>SUMIF(C13:C36,P11,G13:G36)</f>
        <v>2900</v>
      </c>
      <c r="U11" s="648">
        <f>SUMIF(C13:C36,P11,H13:H36)</f>
        <v>200</v>
      </c>
      <c r="V11" s="380">
        <f>SUMIF(C13:C36,P11,I13:I36)</f>
        <v>1600</v>
      </c>
      <c r="W11" s="649">
        <f>SUMIF(C13:C36,P11,J13:J36)</f>
        <v>200</v>
      </c>
      <c r="X11" s="467"/>
      <c r="Y11" s="467"/>
      <c r="Z11" s="467"/>
      <c r="AA11" s="467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ht="15" customHeight="1">
      <c r="A12" s="25"/>
      <c r="B12" s="231" t="s">
        <v>638</v>
      </c>
      <c r="C12" s="231" t="s">
        <v>83</v>
      </c>
      <c r="D12" s="368" t="s">
        <v>639</v>
      </c>
      <c r="E12" s="231" t="s">
        <v>166</v>
      </c>
      <c r="F12" s="368" t="s">
        <v>166</v>
      </c>
      <c r="G12" s="231" t="s">
        <v>166</v>
      </c>
      <c r="H12" s="368" t="s">
        <v>166</v>
      </c>
      <c r="I12" s="231" t="s">
        <v>166</v>
      </c>
      <c r="J12" s="231" t="s">
        <v>166</v>
      </c>
      <c r="K12" s="60"/>
      <c r="L12" s="18"/>
      <c r="M12" s="30"/>
      <c r="O12" s="467"/>
      <c r="P12" s="479">
        <f>P11+1</f>
        <v>2021</v>
      </c>
      <c r="Q12" s="358" t="s">
        <v>642</v>
      </c>
      <c r="R12" s="477">
        <f>SUMIF(C13:C36,P12,E13:E36)</f>
        <v>0</v>
      </c>
      <c r="S12" s="650">
        <f>SUMIF(C13:C36,P12,F13:F36)</f>
        <v>0</v>
      </c>
      <c r="T12" s="428">
        <f>SUMIF(C13:C36,P12,G13:G36)</f>
        <v>1400</v>
      </c>
      <c r="U12" s="648">
        <f>SUMIF(C13:C36,P12,H13:H36)</f>
        <v>900</v>
      </c>
      <c r="V12" s="380">
        <f>SUMIF(C13:C36,P12,I13:I36)</f>
        <v>2400</v>
      </c>
      <c r="W12" s="649">
        <f>SUMIF(C13:C36,P12,J13:J36)</f>
        <v>400</v>
      </c>
      <c r="X12" s="467"/>
      <c r="Y12" s="467"/>
      <c r="Z12" s="467"/>
      <c r="AA12" s="467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ht="15" customHeight="1">
      <c r="A13" s="25"/>
      <c r="B13" s="367">
        <v>1</v>
      </c>
      <c r="C13" s="367">
        <v>2020</v>
      </c>
      <c r="D13" s="369">
        <v>2020</v>
      </c>
      <c r="E13" s="645">
        <v>500</v>
      </c>
      <c r="F13" s="122">
        <v>600</v>
      </c>
      <c r="G13" s="645">
        <v>800</v>
      </c>
      <c r="H13" s="122">
        <v>0</v>
      </c>
      <c r="I13" s="645">
        <v>0</v>
      </c>
      <c r="J13" s="645">
        <v>0</v>
      </c>
      <c r="K13" s="60"/>
      <c r="L13" s="18"/>
      <c r="M13" s="30"/>
      <c r="O13" s="467"/>
      <c r="P13" s="479">
        <f>P12+1</f>
        <v>2022</v>
      </c>
      <c r="Q13" s="358" t="s">
        <v>642</v>
      </c>
      <c r="R13" s="477">
        <f>SUMIF(C13:C36,P13,E13:E36)</f>
        <v>0</v>
      </c>
      <c r="S13" s="650">
        <f>SUMIF(C13:C36,P13,F13:F36)</f>
        <v>0</v>
      </c>
      <c r="T13" s="477">
        <f>SUMIF(C13:C36,P13,G13:G36)</f>
        <v>0</v>
      </c>
      <c r="U13" s="650">
        <f>SUMIF(C13:C36,P13,H13:H36)</f>
        <v>0</v>
      </c>
      <c r="V13" s="380">
        <f>SUMIF(C13:C36,P13,I13:I36)</f>
        <v>1100</v>
      </c>
      <c r="W13" s="649">
        <f>SUMIF(C13:C36,P13,J13:J36)</f>
        <v>400</v>
      </c>
      <c r="X13" s="467"/>
      <c r="Y13" s="467"/>
      <c r="Z13" s="467"/>
      <c r="AA13" s="467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ht="15" customHeight="1">
      <c r="A14" s="25"/>
      <c r="B14" s="367">
        <v>2</v>
      </c>
      <c r="C14" s="367">
        <v>2020</v>
      </c>
      <c r="D14" s="369">
        <v>2020</v>
      </c>
      <c r="E14" s="645">
        <v>500</v>
      </c>
      <c r="F14" s="122">
        <v>700</v>
      </c>
      <c r="G14" s="645">
        <v>600</v>
      </c>
      <c r="H14" s="122">
        <v>0</v>
      </c>
      <c r="I14" s="645">
        <v>0</v>
      </c>
      <c r="J14" s="645">
        <v>0</v>
      </c>
      <c r="K14" s="60"/>
      <c r="L14" s="18"/>
      <c r="M14" s="30"/>
      <c r="O14" s="467"/>
      <c r="P14" s="479">
        <f>P13+1</f>
        <v>2023</v>
      </c>
      <c r="Q14" s="358" t="s">
        <v>642</v>
      </c>
      <c r="R14" s="477">
        <f>SUMIF(C13:C36,P14,E13:E36)</f>
        <v>0</v>
      </c>
      <c r="S14" s="650">
        <f>SUMIF(C13:C36,P14,F13:F36)</f>
        <v>0</v>
      </c>
      <c r="T14" s="477">
        <f>SUMIF(C13:C36,P14,G13:G36)</f>
        <v>0</v>
      </c>
      <c r="U14" s="650">
        <f>SUMIF(C13:C36,P14,H13:H36)</f>
        <v>0</v>
      </c>
      <c r="V14" s="228">
        <f>SUMIF(C13:C36,P14,I13:I36)</f>
        <v>0</v>
      </c>
      <c r="W14" s="477">
        <f>SUMIF(C13:C36,P14,J13:J36)</f>
        <v>0</v>
      </c>
      <c r="X14" s="467"/>
      <c r="Y14" s="467"/>
      <c r="Z14" s="467"/>
      <c r="AA14" s="467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ht="15" customHeight="1">
      <c r="A15" s="25"/>
      <c r="B15" s="367">
        <v>3</v>
      </c>
      <c r="C15" s="367">
        <v>2020</v>
      </c>
      <c r="D15" s="369">
        <v>2021</v>
      </c>
      <c r="E15" s="645" t="s">
        <v>104</v>
      </c>
      <c r="F15" s="122" t="s">
        <v>104</v>
      </c>
      <c r="G15" s="645">
        <v>700</v>
      </c>
      <c r="H15" s="122">
        <v>200</v>
      </c>
      <c r="I15" s="645">
        <v>800</v>
      </c>
      <c r="J15" s="645">
        <v>100</v>
      </c>
      <c r="K15" s="60"/>
      <c r="L15" s="18"/>
      <c r="M15" s="30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ht="15" customHeight="1">
      <c r="A16" s="25"/>
      <c r="B16" s="367">
        <v>4</v>
      </c>
      <c r="C16" s="367">
        <v>2020</v>
      </c>
      <c r="D16" s="369">
        <v>2021</v>
      </c>
      <c r="E16" s="645" t="s">
        <v>104</v>
      </c>
      <c r="F16" s="122" t="s">
        <v>104</v>
      </c>
      <c r="G16" s="645">
        <v>800</v>
      </c>
      <c r="H16" s="122">
        <v>0</v>
      </c>
      <c r="I16" s="645">
        <v>0</v>
      </c>
      <c r="J16" s="645">
        <v>0</v>
      </c>
      <c r="K16" s="60"/>
      <c r="L16" s="18"/>
      <c r="M16" s="30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ht="15" customHeight="1">
      <c r="A17" s="25"/>
      <c r="B17" s="231">
        <v>5</v>
      </c>
      <c r="C17" s="231">
        <v>2020</v>
      </c>
      <c r="D17" s="368">
        <v>2022</v>
      </c>
      <c r="E17" s="646" t="s">
        <v>104</v>
      </c>
      <c r="F17" s="136" t="s">
        <v>104</v>
      </c>
      <c r="G17" s="646" t="s">
        <v>104</v>
      </c>
      <c r="H17" s="136" t="s">
        <v>104</v>
      </c>
      <c r="I17" s="646">
        <v>800</v>
      </c>
      <c r="J17" s="646">
        <v>100</v>
      </c>
      <c r="K17" s="60"/>
      <c r="L17" s="18"/>
      <c r="M17" s="30"/>
      <c r="O17" s="128" t="s">
        <v>100</v>
      </c>
      <c r="P17" s="467" t="s">
        <v>643</v>
      </c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ht="15" customHeight="1">
      <c r="A18" s="25"/>
      <c r="B18" s="367">
        <v>6</v>
      </c>
      <c r="C18" s="367">
        <v>2021</v>
      </c>
      <c r="D18" s="369">
        <v>2021</v>
      </c>
      <c r="E18" s="645" t="s">
        <v>104</v>
      </c>
      <c r="F18" s="122" t="s">
        <v>104</v>
      </c>
      <c r="G18" s="645">
        <v>600</v>
      </c>
      <c r="H18" s="122">
        <v>300</v>
      </c>
      <c r="I18" s="645">
        <v>700</v>
      </c>
      <c r="J18" s="645">
        <v>200</v>
      </c>
      <c r="K18" s="60"/>
      <c r="L18" s="18"/>
      <c r="M18" s="30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ht="15" customHeight="1">
      <c r="A19" s="25"/>
      <c r="B19" s="367">
        <v>7</v>
      </c>
      <c r="C19" s="367">
        <v>2021</v>
      </c>
      <c r="D19" s="369">
        <v>2021</v>
      </c>
      <c r="E19" s="645" t="s">
        <v>104</v>
      </c>
      <c r="F19" s="122" t="s">
        <v>104</v>
      </c>
      <c r="G19" s="645">
        <v>500</v>
      </c>
      <c r="H19" s="122">
        <v>400</v>
      </c>
      <c r="I19" s="645">
        <v>900</v>
      </c>
      <c r="J19" s="645">
        <v>100</v>
      </c>
      <c r="K19" s="60"/>
      <c r="L19" s="18"/>
      <c r="M19" s="30"/>
      <c r="O19" s="467"/>
      <c r="P19" s="651" t="s">
        <v>644</v>
      </c>
      <c r="Q19" s="651"/>
      <c r="R19" s="651"/>
      <c r="S19" s="651"/>
      <c r="T19" s="467"/>
      <c r="U19" s="651" t="s">
        <v>637</v>
      </c>
      <c r="V19" s="651"/>
      <c r="W19" s="651"/>
      <c r="X19" s="651"/>
      <c r="Y19" s="467"/>
      <c r="Z19" s="467"/>
      <c r="AA19" s="47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ht="15" customHeight="1">
      <c r="A20" s="25"/>
      <c r="B20" s="231">
        <v>8</v>
      </c>
      <c r="C20" s="231">
        <v>2021</v>
      </c>
      <c r="D20" s="368">
        <v>2021</v>
      </c>
      <c r="E20" s="646" t="s">
        <v>104</v>
      </c>
      <c r="F20" s="136" t="s">
        <v>104</v>
      </c>
      <c r="G20" s="646">
        <v>300</v>
      </c>
      <c r="H20" s="136">
        <v>200</v>
      </c>
      <c r="I20" s="646">
        <v>800</v>
      </c>
      <c r="J20" s="646">
        <v>100</v>
      </c>
      <c r="K20" s="60"/>
      <c r="L20" s="18"/>
      <c r="M20" s="30"/>
      <c r="O20" s="467"/>
      <c r="P20" s="285" t="s">
        <v>83</v>
      </c>
      <c r="Q20" s="652">
        <v>12</v>
      </c>
      <c r="R20" s="652">
        <f>Q20+12</f>
        <v>24</v>
      </c>
      <c r="S20" s="652">
        <f>R20+12</f>
        <v>36</v>
      </c>
      <c r="T20" s="479"/>
      <c r="U20" s="285" t="s">
        <v>83</v>
      </c>
      <c r="V20" s="652">
        <v>12</v>
      </c>
      <c r="W20" s="652">
        <f>V20+12</f>
        <v>24</v>
      </c>
      <c r="X20" s="652">
        <f>W20+12</f>
        <v>36</v>
      </c>
      <c r="Y20" s="467"/>
      <c r="Z20" s="467"/>
      <c r="AA20" s="467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ht="15" customHeight="1">
      <c r="A21" s="25"/>
      <c r="B21" s="367">
        <v>9</v>
      </c>
      <c r="C21" s="367">
        <v>2022</v>
      </c>
      <c r="D21" s="369">
        <v>2022</v>
      </c>
      <c r="E21" s="645" t="s">
        <v>104</v>
      </c>
      <c r="F21" s="122" t="s">
        <v>104</v>
      </c>
      <c r="G21" s="645" t="s">
        <v>104</v>
      </c>
      <c r="H21" s="122" t="s">
        <v>104</v>
      </c>
      <c r="I21" s="645">
        <v>800</v>
      </c>
      <c r="J21" s="645">
        <v>200</v>
      </c>
      <c r="K21" s="60"/>
      <c r="L21" s="18"/>
      <c r="M21" s="30"/>
      <c r="O21" s="467"/>
      <c r="P21" s="653">
        <f>P11</f>
        <v>2020</v>
      </c>
      <c r="Q21" s="192">
        <f>R11</f>
        <v>1000</v>
      </c>
      <c r="R21" s="428">
        <f>T11</f>
        <v>2900</v>
      </c>
      <c r="S21" s="380">
        <f>V11</f>
        <v>1600</v>
      </c>
      <c r="T21" s="467"/>
      <c r="U21" s="653">
        <f>P21</f>
        <v>2020</v>
      </c>
      <c r="V21" s="654">
        <f>S11</f>
        <v>1300</v>
      </c>
      <c r="W21" s="224">
        <f>U11</f>
        <v>200</v>
      </c>
      <c r="X21" s="649">
        <f>W11</f>
        <v>200</v>
      </c>
      <c r="Y21" s="467"/>
      <c r="Z21" s="467"/>
      <c r="AA21" s="467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ht="15" customHeight="1">
      <c r="A22" s="25"/>
      <c r="B22" s="367">
        <v>10</v>
      </c>
      <c r="C22" s="367">
        <v>2022</v>
      </c>
      <c r="D22" s="369">
        <v>2022</v>
      </c>
      <c r="E22" s="645" t="s">
        <v>104</v>
      </c>
      <c r="F22" s="122" t="s">
        <v>104</v>
      </c>
      <c r="G22" s="645" t="s">
        <v>104</v>
      </c>
      <c r="H22" s="122" t="s">
        <v>104</v>
      </c>
      <c r="I22" s="645">
        <v>300</v>
      </c>
      <c r="J22" s="645">
        <v>200</v>
      </c>
      <c r="K22" s="60"/>
      <c r="L22" s="18"/>
      <c r="M22" s="30"/>
      <c r="O22" s="467"/>
      <c r="P22" s="653">
        <f>P12</f>
        <v>2021</v>
      </c>
      <c r="Q22" s="428">
        <f>T12</f>
        <v>1400</v>
      </c>
      <c r="R22" s="380">
        <f>V12</f>
        <v>2400</v>
      </c>
      <c r="S22" s="477"/>
      <c r="T22" s="467"/>
      <c r="U22" s="653">
        <f>P22</f>
        <v>2021</v>
      </c>
      <c r="V22" s="224">
        <f>U12</f>
        <v>900</v>
      </c>
      <c r="W22" s="649">
        <f>W12</f>
        <v>400</v>
      </c>
      <c r="X22" s="477"/>
      <c r="Y22" s="467"/>
      <c r="Z22" s="467"/>
      <c r="AA22" s="467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ht="15" customHeight="1">
      <c r="A23" s="22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30"/>
      <c r="O23" s="467"/>
      <c r="P23" s="653">
        <f>P13</f>
        <v>2022</v>
      </c>
      <c r="Q23" s="380">
        <f>V13</f>
        <v>1100</v>
      </c>
      <c r="R23" s="477"/>
      <c r="S23" s="477"/>
      <c r="T23" s="467"/>
      <c r="U23" s="653">
        <f>P23</f>
        <v>2022</v>
      </c>
      <c r="V23" s="649">
        <f>W13</f>
        <v>400</v>
      </c>
      <c r="W23" s="477"/>
      <c r="X23" s="477"/>
      <c r="Y23" s="467"/>
      <c r="Z23" s="467"/>
      <c r="AA23" s="467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ht="15" customHeight="1">
      <c r="A24" s="2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30"/>
      <c r="O24" s="467"/>
      <c r="P24" s="653">
        <f>P14</f>
        <v>2023</v>
      </c>
      <c r="Q24" s="477"/>
      <c r="R24" s="477"/>
      <c r="S24" s="477"/>
      <c r="T24" s="467"/>
      <c r="U24" s="653">
        <f>P24</f>
        <v>2023</v>
      </c>
      <c r="V24" s="477"/>
      <c r="W24" s="477"/>
      <c r="X24" s="477"/>
      <c r="Y24" s="467"/>
      <c r="Z24" s="467"/>
      <c r="AA24" s="467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15" customHeight="1" thickBot="1">
      <c r="A25" s="24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  <c r="M25" s="30"/>
      <c r="O25" s="467"/>
      <c r="P25" s="467"/>
      <c r="Q25" s="467"/>
      <c r="R25" s="467"/>
      <c r="S25" s="467"/>
      <c r="T25" s="467"/>
      <c r="U25" s="467"/>
      <c r="V25" s="467"/>
      <c r="W25" s="467"/>
      <c r="X25" s="467"/>
      <c r="Y25" s="467"/>
      <c r="Z25" s="467"/>
      <c r="AA25" s="467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5" customHeight="1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O26" s="132" t="s">
        <v>150</v>
      </c>
      <c r="P26" s="467" t="s">
        <v>645</v>
      </c>
      <c r="Q26" s="467"/>
      <c r="R26" s="467"/>
      <c r="S26" s="467"/>
      <c r="T26" s="467"/>
      <c r="U26" s="467"/>
      <c r="V26" s="467"/>
      <c r="W26" s="467"/>
      <c r="X26" s="467"/>
      <c r="Y26" s="467"/>
      <c r="Z26" s="467"/>
      <c r="AA26" s="467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5" customHeight="1">
      <c r="M27" s="30"/>
      <c r="O27" s="429" t="s">
        <v>646</v>
      </c>
      <c r="P27" s="467"/>
      <c r="Q27" s="467"/>
      <c r="R27" s="467"/>
      <c r="S27" s="467"/>
      <c r="T27" s="467"/>
      <c r="U27" s="467"/>
      <c r="V27" s="467"/>
      <c r="W27" s="467"/>
      <c r="X27" s="467"/>
      <c r="Y27" s="467"/>
      <c r="Z27" s="467"/>
      <c r="AA27" s="46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5" customHeight="1">
      <c r="M28" s="30"/>
      <c r="O28" s="429" t="s">
        <v>647</v>
      </c>
      <c r="P28" s="655" t="s">
        <v>648</v>
      </c>
      <c r="Q28" s="655"/>
      <c r="R28" s="655"/>
      <c r="S28" s="655"/>
      <c r="T28" s="467"/>
      <c r="U28" s="467"/>
      <c r="V28" s="467"/>
      <c r="W28" s="467"/>
      <c r="X28" s="467"/>
      <c r="Y28" s="467"/>
      <c r="Z28" s="467"/>
      <c r="AA28" s="467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5" customHeight="1">
      <c r="M29" s="30"/>
      <c r="O29" s="467"/>
      <c r="P29" s="285" t="s">
        <v>83</v>
      </c>
      <c r="Q29" s="652">
        <v>12</v>
      </c>
      <c r="R29" s="652">
        <f>Q29+12</f>
        <v>24</v>
      </c>
      <c r="S29" s="652">
        <f>R29+12</f>
        <v>36</v>
      </c>
      <c r="T29" s="479"/>
      <c r="U29" s="467"/>
      <c r="V29" s="467"/>
      <c r="W29" s="467"/>
      <c r="X29" s="467"/>
      <c r="Y29" s="467"/>
      <c r="Z29" s="467"/>
      <c r="AA29" s="467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ht="15" customHeight="1">
      <c r="M30" s="30"/>
      <c r="O30" s="467"/>
      <c r="P30" s="653">
        <f>P21</f>
        <v>2020</v>
      </c>
      <c r="Q30" s="228">
        <f>SUM(Q21:Q21)</f>
        <v>1000</v>
      </c>
      <c r="R30" s="428">
        <f>SUM(Q21:R21)</f>
        <v>3900</v>
      </c>
      <c r="S30" s="380">
        <f>SUM(Q21:S21)</f>
        <v>5500</v>
      </c>
      <c r="T30" s="269" t="s">
        <v>649</v>
      </c>
      <c r="U30" s="222">
        <f>R30</f>
        <v>3900</v>
      </c>
      <c r="V30" s="479" t="s">
        <v>34</v>
      </c>
      <c r="W30" s="205">
        <f>Q21</f>
        <v>1000</v>
      </c>
      <c r="X30" s="479" t="s">
        <v>35</v>
      </c>
      <c r="Y30" s="222">
        <f>R21</f>
        <v>2900</v>
      </c>
      <c r="Z30" s="467"/>
      <c r="AA30" s="467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ht="15" customHeight="1">
      <c r="M31" s="30"/>
      <c r="O31" s="467"/>
      <c r="P31" s="653">
        <f>P22</f>
        <v>2021</v>
      </c>
      <c r="Q31" s="477">
        <f>SUM(Q22:Q22)</f>
        <v>1400</v>
      </c>
      <c r="R31" s="477">
        <f>SUM(Q22:R22)</f>
        <v>3800</v>
      </c>
      <c r="S31" s="477"/>
      <c r="T31" s="269"/>
      <c r="U31" s="656">
        <f>S30</f>
        <v>5500</v>
      </c>
      <c r="V31" s="479" t="s">
        <v>34</v>
      </c>
      <c r="W31" s="205">
        <f>W30</f>
        <v>1000</v>
      </c>
      <c r="X31" s="479" t="s">
        <v>35</v>
      </c>
      <c r="Y31" s="222">
        <f>Y30</f>
        <v>2900</v>
      </c>
      <c r="Z31" s="479" t="s">
        <v>35</v>
      </c>
      <c r="AA31" s="656">
        <f>S21</f>
        <v>1600</v>
      </c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ht="15" customHeight="1">
      <c r="M32" s="30"/>
      <c r="O32" s="467"/>
      <c r="P32" s="653">
        <f>P23</f>
        <v>2022</v>
      </c>
      <c r="Q32" s="477">
        <f>SUM(Q23:Q23)</f>
        <v>1100</v>
      </c>
      <c r="R32" s="477"/>
      <c r="S32" s="477"/>
      <c r="T32" s="477"/>
      <c r="U32" s="467"/>
      <c r="V32" s="467"/>
      <c r="W32" s="467"/>
      <c r="X32" s="467"/>
      <c r="Y32" s="467"/>
      <c r="Z32" s="467"/>
      <c r="AA32" s="467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15" customHeight="1">
      <c r="M33" s="30"/>
      <c r="O33" s="467"/>
      <c r="P33" s="653">
        <f>P24</f>
        <v>2023</v>
      </c>
      <c r="Q33" s="477"/>
      <c r="R33" s="477"/>
      <c r="S33" s="477"/>
      <c r="T33" s="477"/>
      <c r="U33" s="467"/>
      <c r="V33" s="467"/>
      <c r="W33" s="467"/>
      <c r="X33" s="467"/>
      <c r="Y33" s="467"/>
      <c r="Z33" s="467"/>
      <c r="AA33" s="467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15" customHeight="1">
      <c r="M34" s="30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15" customHeight="1">
      <c r="M35" s="30"/>
      <c r="O35" s="132" t="s">
        <v>209</v>
      </c>
      <c r="P35" s="467" t="s">
        <v>650</v>
      </c>
      <c r="Q35" s="467"/>
      <c r="R35" s="240"/>
      <c r="S35" s="467"/>
      <c r="T35" s="240" t="s">
        <v>651</v>
      </c>
      <c r="U35" s="240"/>
      <c r="V35" s="467"/>
      <c r="W35" s="467"/>
      <c r="X35" s="467"/>
      <c r="Y35" s="467"/>
      <c r="Z35" s="467"/>
      <c r="AA35" s="467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15" customHeight="1">
      <c r="M36" s="30"/>
      <c r="O36" s="429" t="s">
        <v>646</v>
      </c>
      <c r="P36" s="467"/>
      <c r="Q36" s="467"/>
      <c r="R36" s="240"/>
      <c r="S36" s="467"/>
      <c r="T36" s="467"/>
      <c r="U36" s="467"/>
      <c r="V36" s="467"/>
      <c r="W36" s="467"/>
      <c r="X36" s="467"/>
      <c r="Y36" s="467"/>
      <c r="Z36" s="467"/>
      <c r="AA36" s="467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15" customHeight="1">
      <c r="M37" s="30"/>
      <c r="O37" s="429" t="s">
        <v>647</v>
      </c>
      <c r="P37" s="655" t="s">
        <v>652</v>
      </c>
      <c r="Q37" s="655"/>
      <c r="R37" s="655"/>
      <c r="S37" s="655"/>
      <c r="T37" s="467"/>
      <c r="U37" s="467"/>
      <c r="V37" s="467"/>
      <c r="W37" s="467"/>
      <c r="X37" s="467"/>
      <c r="Y37" s="467"/>
      <c r="Z37" s="467"/>
      <c r="AA37" s="46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15" customHeight="1">
      <c r="M38" s="30"/>
      <c r="O38" s="467"/>
      <c r="P38" s="285" t="s">
        <v>83</v>
      </c>
      <c r="Q38" s="652">
        <v>12</v>
      </c>
      <c r="R38" s="652">
        <f>Q38+12</f>
        <v>24</v>
      </c>
      <c r="S38" s="652">
        <f>R38+12</f>
        <v>36</v>
      </c>
      <c r="T38" s="467"/>
      <c r="U38" s="467"/>
      <c r="V38" s="467"/>
      <c r="W38" s="467"/>
      <c r="X38" s="467"/>
      <c r="Y38" s="467"/>
      <c r="Z38" s="467"/>
      <c r="AA38" s="467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15" customHeight="1">
      <c r="M39" s="30"/>
      <c r="O39" s="467"/>
      <c r="P39" s="653">
        <f>P30</f>
        <v>2020</v>
      </c>
      <c r="Q39" s="228">
        <f>Q30+V21</f>
        <v>2300</v>
      </c>
      <c r="R39" s="228">
        <f>R30+W21</f>
        <v>4100</v>
      </c>
      <c r="S39" s="228">
        <f>S30+X21</f>
        <v>5700</v>
      </c>
      <c r="T39" s="467"/>
      <c r="U39" s="467"/>
      <c r="V39" s="467"/>
      <c r="W39" s="467"/>
      <c r="X39" s="467"/>
      <c r="Y39" s="467"/>
      <c r="Z39" s="467"/>
      <c r="AA39" s="467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15" customHeight="1">
      <c r="M40" s="30"/>
      <c r="O40" s="467"/>
      <c r="P40" s="653">
        <f>P31</f>
        <v>2021</v>
      </c>
      <c r="Q40" s="477">
        <f>Q31+V22</f>
        <v>2300</v>
      </c>
      <c r="R40" s="477">
        <f>R31+W22</f>
        <v>4200</v>
      </c>
      <c r="S40" s="477"/>
      <c r="T40" s="467"/>
      <c r="U40" s="467"/>
      <c r="V40" s="467"/>
      <c r="W40" s="467"/>
      <c r="X40" s="467"/>
      <c r="Y40" s="467"/>
      <c r="Z40" s="467"/>
      <c r="AA40" s="467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1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O41" s="467"/>
      <c r="P41" s="653">
        <f>P32</f>
        <v>2022</v>
      </c>
      <c r="Q41" s="477">
        <f>Q32+V23</f>
        <v>1500</v>
      </c>
      <c r="R41" s="477"/>
      <c r="S41" s="477"/>
      <c r="T41" s="467"/>
      <c r="U41" s="467"/>
      <c r="V41" s="467"/>
      <c r="W41" s="467"/>
      <c r="X41" s="467"/>
      <c r="Y41" s="467"/>
      <c r="Z41" s="467"/>
      <c r="AA41" s="467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15" customHeight="1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O42" s="467"/>
      <c r="P42" s="653">
        <f>P33</f>
        <v>2023</v>
      </c>
      <c r="Q42" s="477"/>
      <c r="R42" s="477"/>
      <c r="S42" s="477"/>
      <c r="T42" s="467"/>
      <c r="U42" s="467"/>
      <c r="V42" s="467"/>
      <c r="W42" s="467"/>
      <c r="X42" s="467"/>
      <c r="Y42" s="467"/>
      <c r="Z42" s="467"/>
      <c r="AA42" s="467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15" customHeight="1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1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92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15" customHeight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92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92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92"/>
      <c r="O47" s="467"/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92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92"/>
      <c r="O49" s="467"/>
      <c r="P49" s="467"/>
      <c r="Q49" s="467"/>
      <c r="R49" s="467"/>
      <c r="S49" s="467"/>
      <c r="T49" s="467"/>
      <c r="U49" s="467"/>
      <c r="V49" s="467"/>
      <c r="W49" s="467"/>
      <c r="X49" s="467"/>
      <c r="Y49" s="467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92"/>
      <c r="O50" s="467"/>
      <c r="P50" s="467"/>
      <c r="Q50" s="467"/>
      <c r="R50" s="467"/>
      <c r="S50" s="467"/>
      <c r="T50" s="467"/>
      <c r="U50" s="467"/>
      <c r="V50" s="467"/>
      <c r="W50" s="467"/>
      <c r="X50" s="467"/>
      <c r="Y50" s="467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92"/>
      <c r="O51" s="467"/>
      <c r="P51" s="467"/>
      <c r="Q51" s="467"/>
      <c r="R51" s="467"/>
      <c r="S51" s="467"/>
      <c r="T51" s="467"/>
      <c r="U51" s="467"/>
      <c r="V51" s="467"/>
      <c r="W51" s="467"/>
      <c r="X51" s="467"/>
      <c r="Y51" s="467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92"/>
      <c r="O52" s="467"/>
      <c r="P52" s="467"/>
      <c r="Q52" s="467"/>
      <c r="R52" s="467"/>
      <c r="S52" s="467"/>
      <c r="T52" s="467"/>
      <c r="U52" s="467"/>
      <c r="V52" s="467"/>
      <c r="W52" s="467"/>
      <c r="X52" s="467"/>
      <c r="Y52" s="467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92"/>
      <c r="O53" s="467"/>
      <c r="P53" s="467"/>
      <c r="Q53" s="467"/>
      <c r="R53" s="467"/>
      <c r="S53" s="467"/>
      <c r="T53" s="467"/>
      <c r="U53" s="467"/>
      <c r="V53" s="467"/>
      <c r="W53" s="467"/>
      <c r="X53" s="467"/>
      <c r="Y53" s="467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92"/>
      <c r="O54" s="467"/>
      <c r="P54" s="467"/>
      <c r="Q54" s="467"/>
      <c r="R54" s="467"/>
      <c r="S54" s="467"/>
      <c r="T54" s="467"/>
      <c r="U54" s="467"/>
      <c r="V54" s="467"/>
      <c r="W54" s="467"/>
      <c r="X54" s="467"/>
      <c r="Y54" s="467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92"/>
      <c r="O55" s="467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2:51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92"/>
      <c r="O56" s="467"/>
      <c r="P56" s="467"/>
      <c r="Q56" s="467"/>
      <c r="R56" s="467"/>
      <c r="S56" s="467"/>
      <c r="T56" s="467"/>
      <c r="U56" s="467"/>
      <c r="V56" s="467"/>
      <c r="W56" s="467"/>
      <c r="X56" s="467"/>
      <c r="Y56" s="467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2:51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92"/>
      <c r="O57" s="467"/>
      <c r="P57" s="467"/>
      <c r="Q57" s="467"/>
      <c r="R57" s="467"/>
      <c r="S57" s="467"/>
      <c r="T57" s="467"/>
      <c r="U57" s="467"/>
      <c r="V57" s="467"/>
      <c r="W57" s="467"/>
      <c r="X57" s="467"/>
      <c r="Y57" s="46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2:51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92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2:51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92"/>
      <c r="O59" s="467"/>
      <c r="P59" s="467"/>
      <c r="Q59" s="467"/>
      <c r="R59" s="467"/>
      <c r="S59" s="467"/>
      <c r="T59" s="467"/>
      <c r="U59" s="467"/>
      <c r="V59" s="467"/>
      <c r="W59" s="467"/>
      <c r="X59" s="467"/>
      <c r="Y59" s="467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2:51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92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2:51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92"/>
      <c r="O61" s="467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2:51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92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2:51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92"/>
      <c r="O63" s="467"/>
      <c r="P63" s="467"/>
      <c r="Q63" s="467"/>
      <c r="R63" s="467"/>
      <c r="S63" s="467"/>
      <c r="T63" s="467"/>
      <c r="U63" s="467"/>
      <c r="V63" s="467"/>
      <c r="W63" s="467"/>
      <c r="X63" s="467"/>
      <c r="Y63" s="467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2:51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92"/>
      <c r="O64" s="467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2:51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/>
      <c r="O65" s="467"/>
      <c r="P65" s="467"/>
      <c r="Q65" s="467"/>
      <c r="R65" s="467"/>
      <c r="S65" s="467"/>
      <c r="T65" s="467"/>
      <c r="U65" s="467"/>
      <c r="V65" s="467"/>
      <c r="W65" s="467"/>
      <c r="X65" s="467"/>
      <c r="Y65" s="467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2:51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/>
      <c r="O66" s="467"/>
      <c r="P66" s="467"/>
      <c r="Q66" s="467"/>
      <c r="R66" s="467"/>
      <c r="S66" s="467"/>
      <c r="T66" s="467"/>
      <c r="U66" s="467"/>
      <c r="V66" s="467"/>
      <c r="W66" s="467"/>
      <c r="X66" s="467"/>
      <c r="Y66" s="467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2:51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/>
      <c r="O67" s="467"/>
      <c r="P67" s="467"/>
      <c r="Q67" s="467"/>
      <c r="R67" s="467"/>
      <c r="S67" s="467"/>
      <c r="T67" s="467"/>
      <c r="U67" s="467"/>
      <c r="V67" s="467"/>
      <c r="W67" s="467"/>
      <c r="X67" s="467"/>
      <c r="Y67" s="4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2:51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/>
      <c r="O68" s="467"/>
      <c r="P68" s="467"/>
      <c r="Q68" s="467"/>
      <c r="R68" s="467"/>
      <c r="S68" s="467"/>
      <c r="T68" s="467"/>
      <c r="U68" s="467"/>
      <c r="V68" s="467"/>
      <c r="W68" s="467"/>
      <c r="X68" s="467"/>
      <c r="Y68" s="467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2:51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/>
      <c r="O69" s="467"/>
      <c r="P69" s="467"/>
      <c r="Q69" s="467"/>
      <c r="R69" s="467"/>
      <c r="S69" s="467"/>
      <c r="T69" s="467"/>
      <c r="U69" s="467"/>
      <c r="V69" s="467"/>
      <c r="W69" s="467"/>
      <c r="X69" s="467"/>
      <c r="Y69" s="467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2:51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/>
      <c r="O70" s="467"/>
      <c r="P70" s="467"/>
      <c r="Q70" s="467"/>
      <c r="R70" s="467"/>
      <c r="S70" s="467"/>
      <c r="T70" s="467"/>
      <c r="U70" s="467"/>
      <c r="V70" s="467"/>
      <c r="W70" s="467"/>
      <c r="X70" s="467"/>
      <c r="Y70" s="467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2:51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/>
      <c r="O71" s="467"/>
      <c r="P71" s="467"/>
      <c r="Q71" s="467"/>
      <c r="R71" s="467"/>
      <c r="S71" s="467"/>
      <c r="T71" s="467"/>
      <c r="U71" s="467"/>
      <c r="V71" s="467"/>
      <c r="W71" s="467"/>
      <c r="X71" s="467"/>
      <c r="Y71" s="467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2:51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/>
      <c r="O72" s="467"/>
      <c r="P72" s="467"/>
      <c r="Q72" s="467"/>
      <c r="R72" s="467"/>
      <c r="S72" s="467"/>
      <c r="T72" s="467"/>
      <c r="U72" s="467"/>
      <c r="V72" s="467"/>
      <c r="W72" s="467"/>
      <c r="X72" s="467"/>
      <c r="Y72" s="467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2:51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/>
      <c r="O73" s="467"/>
      <c r="P73" s="467"/>
      <c r="Q73" s="467"/>
      <c r="R73" s="467"/>
      <c r="S73" s="467"/>
      <c r="T73" s="467"/>
      <c r="U73" s="467"/>
      <c r="V73" s="467"/>
      <c r="W73" s="467"/>
      <c r="X73" s="467"/>
      <c r="Y73" s="467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2:51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/>
      <c r="O74" s="467"/>
      <c r="P74" s="467"/>
      <c r="Q74" s="467"/>
      <c r="R74" s="467"/>
      <c r="S74" s="467"/>
      <c r="T74" s="467"/>
      <c r="U74" s="467"/>
      <c r="V74" s="467"/>
      <c r="W74" s="467"/>
      <c r="X74" s="467"/>
      <c r="Y74" s="467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2:51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/>
      <c r="O75"/>
      <c r="P75"/>
      <c r="Q75"/>
      <c r="R75"/>
      <c r="S75"/>
      <c r="T75"/>
      <c r="U75"/>
      <c r="V75"/>
      <c r="W75"/>
      <c r="X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2:51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/>
      <c r="O76"/>
      <c r="P76"/>
      <c r="Q76"/>
      <c r="R76"/>
      <c r="S76"/>
      <c r="T76"/>
      <c r="U76"/>
      <c r="V76"/>
      <c r="W76"/>
      <c r="X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2:51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/>
      <c r="O77"/>
      <c r="P77"/>
      <c r="Q77"/>
      <c r="R77"/>
      <c r="S77"/>
      <c r="T77"/>
      <c r="U77"/>
      <c r="V77"/>
      <c r="W77"/>
      <c r="X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2:51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/>
      <c r="O78"/>
      <c r="P78"/>
      <c r="Q78"/>
      <c r="R78"/>
      <c r="S78"/>
      <c r="T78"/>
      <c r="U78"/>
      <c r="V78"/>
      <c r="W78"/>
      <c r="X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2:51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/>
      <c r="O79"/>
      <c r="P79"/>
      <c r="Q79"/>
      <c r="R79"/>
      <c r="S79"/>
      <c r="T79"/>
      <c r="U79"/>
      <c r="V79"/>
      <c r="W79"/>
      <c r="X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2:51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/>
      <c r="O80"/>
      <c r="P80"/>
      <c r="Q80"/>
      <c r="R80"/>
      <c r="S80"/>
      <c r="T80"/>
      <c r="U80"/>
      <c r="V80"/>
      <c r="W80"/>
      <c r="X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  <row r="81" spans="2:51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/>
      <c r="O81"/>
      <c r="P81"/>
      <c r="Q81"/>
      <c r="R81"/>
      <c r="S81"/>
      <c r="T81"/>
      <c r="U81"/>
      <c r="V81"/>
      <c r="W81"/>
      <c r="X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</row>
    <row r="82" spans="2:51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/>
      <c r="O82"/>
      <c r="P82"/>
      <c r="Q82"/>
      <c r="R82"/>
      <c r="S82"/>
      <c r="T82"/>
      <c r="U82"/>
      <c r="V82"/>
      <c r="W82"/>
      <c r="X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2:51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/>
      <c r="O83"/>
      <c r="P83"/>
      <c r="Q83"/>
      <c r="R83"/>
      <c r="S83"/>
      <c r="T83"/>
      <c r="U83"/>
      <c r="V83"/>
      <c r="W83"/>
      <c r="X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2:51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/>
      <c r="O84"/>
      <c r="P84"/>
      <c r="Q84"/>
      <c r="R84"/>
      <c r="S84"/>
      <c r="T84"/>
      <c r="U84"/>
      <c r="V84"/>
      <c r="W84"/>
      <c r="X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2:51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42"/>
      <c r="O85" s="1"/>
      <c r="P85"/>
      <c r="Q85"/>
      <c r="R85"/>
      <c r="S85"/>
      <c r="T85"/>
      <c r="U85"/>
      <c r="V85"/>
      <c r="W85"/>
      <c r="X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2:51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/>
      <c r="O86"/>
      <c r="P86"/>
      <c r="Q86"/>
      <c r="R86"/>
      <c r="S86"/>
      <c r="T86"/>
      <c r="U86"/>
      <c r="V86"/>
      <c r="W86"/>
      <c r="X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2:51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42"/>
      <c r="O87"/>
      <c r="P87"/>
      <c r="Q87"/>
      <c r="R87"/>
      <c r="S87"/>
      <c r="T87"/>
      <c r="U87"/>
      <c r="V87"/>
      <c r="W87"/>
      <c r="X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2:51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/>
      <c r="O88"/>
      <c r="P88"/>
      <c r="Q88"/>
      <c r="R88"/>
      <c r="S88"/>
      <c r="T88"/>
      <c r="U88"/>
      <c r="V88"/>
      <c r="W88"/>
      <c r="X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2:51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/>
      <c r="O89"/>
      <c r="P89"/>
      <c r="Q89"/>
      <c r="R89"/>
      <c r="S89"/>
      <c r="T89"/>
      <c r="U89"/>
      <c r="V89"/>
      <c r="W89"/>
      <c r="X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2:51" ht="15" customHeight="1">
      <c r="M90" s="30"/>
      <c r="N90"/>
      <c r="O90"/>
      <c r="P90"/>
      <c r="Q90"/>
      <c r="R90"/>
      <c r="S90"/>
      <c r="T90"/>
      <c r="U90"/>
      <c r="V90"/>
      <c r="W90"/>
      <c r="X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2:51" ht="15" customHeight="1">
      <c r="M91" s="30"/>
      <c r="N91"/>
      <c r="O91"/>
      <c r="P91"/>
      <c r="Q91"/>
      <c r="R91"/>
      <c r="S91"/>
      <c r="T91"/>
      <c r="U91"/>
      <c r="V91"/>
      <c r="W91"/>
      <c r="X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2:51" ht="15" customHeight="1">
      <c r="M92" s="30"/>
      <c r="N92"/>
      <c r="O92"/>
      <c r="P92"/>
      <c r="Q92"/>
      <c r="R92"/>
      <c r="S92"/>
      <c r="T92"/>
      <c r="U92"/>
      <c r="V92"/>
      <c r="W92"/>
      <c r="X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2:51" ht="15" customHeight="1">
      <c r="M93" s="30"/>
      <c r="N93"/>
      <c r="O93"/>
      <c r="P93"/>
      <c r="Q93"/>
      <c r="R93"/>
      <c r="S93"/>
      <c r="T93"/>
      <c r="U93"/>
      <c r="V93"/>
      <c r="W93"/>
      <c r="X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2:51" ht="15" customHeight="1">
      <c r="M94" s="30"/>
      <c r="N94"/>
      <c r="O94"/>
      <c r="P94"/>
      <c r="Q94"/>
      <c r="R94"/>
      <c r="S94"/>
      <c r="T94"/>
      <c r="U94"/>
      <c r="V94"/>
      <c r="W94"/>
      <c r="X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</row>
    <row r="95" spans="2:51" ht="15" customHeight="1">
      <c r="M95" s="30"/>
      <c r="N95"/>
      <c r="O95"/>
      <c r="P95"/>
      <c r="Q95"/>
      <c r="R95"/>
      <c r="S95"/>
      <c r="T95"/>
      <c r="U95"/>
      <c r="V95"/>
      <c r="W95"/>
      <c r="X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</row>
    <row r="96" spans="2:51" ht="15" customHeight="1">
      <c r="M96" s="30"/>
      <c r="N96"/>
      <c r="O96"/>
      <c r="P96"/>
      <c r="Q96"/>
      <c r="R96"/>
      <c r="S96"/>
      <c r="T96"/>
      <c r="U96"/>
      <c r="V96"/>
      <c r="W96"/>
      <c r="X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2:51" ht="15" customHeight="1">
      <c r="M97" s="30"/>
      <c r="N97"/>
      <c r="O97"/>
      <c r="P97"/>
      <c r="Q97"/>
      <c r="R97"/>
      <c r="S97"/>
      <c r="T97"/>
      <c r="U97"/>
      <c r="V97"/>
      <c r="W97"/>
      <c r="X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2:51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/>
      <c r="O98"/>
      <c r="P98"/>
      <c r="Q98"/>
      <c r="R98"/>
      <c r="S98"/>
      <c r="T98"/>
      <c r="U98"/>
      <c r="V98"/>
      <c r="W98"/>
      <c r="X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2:51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/>
      <c r="O99"/>
      <c r="P99"/>
      <c r="Q99"/>
      <c r="R99"/>
      <c r="S99"/>
      <c r="T99"/>
      <c r="U99"/>
      <c r="V99"/>
      <c r="W99"/>
      <c r="X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2:51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/>
      <c r="O100"/>
      <c r="P100"/>
      <c r="Q100"/>
      <c r="R100"/>
      <c r="S100"/>
      <c r="T100"/>
      <c r="U100"/>
      <c r="V100"/>
      <c r="W100"/>
      <c r="X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</row>
    <row r="101" spans="2:51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/>
      <c r="O101"/>
      <c r="P101"/>
      <c r="Q101"/>
      <c r="R101"/>
      <c r="S101"/>
      <c r="T101"/>
      <c r="U101"/>
      <c r="V101"/>
      <c r="W101"/>
      <c r="X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</row>
    <row r="102" spans="2:51" ht="1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/>
      <c r="O102"/>
      <c r="P102"/>
      <c r="Q102"/>
      <c r="R102"/>
      <c r="S102"/>
      <c r="T102"/>
      <c r="U102"/>
      <c r="V102"/>
      <c r="W102"/>
      <c r="X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</row>
    <row r="103" spans="2:51" ht="1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</row>
    <row r="104" spans="2:51" ht="1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</row>
    <row r="105" spans="2:51" ht="1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</row>
    <row r="106" spans="2:51" ht="1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</row>
    <row r="107" spans="2:51" ht="1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</row>
    <row r="108" spans="2:51" ht="1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</row>
    <row r="109" spans="2:51" ht="1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2:51" ht="1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</row>
    <row r="111" spans="2:51" ht="1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</row>
    <row r="112" spans="2:51" ht="1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</row>
    <row r="113" spans="2:51" ht="1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</row>
    <row r="114" spans="2:51" ht="1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</row>
    <row r="115" spans="2:51" ht="1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</row>
    <row r="116" spans="2:51" ht="1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</row>
    <row r="117" spans="2:51" ht="1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8" spans="2:51" ht="1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</row>
    <row r="119" spans="2:51" ht="1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  <row r="120" spans="2:51" ht="1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</row>
    <row r="121" spans="2:51" ht="1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2:51" ht="1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  <row r="123" spans="2:51" ht="15" customHeight="1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</row>
    <row r="124" spans="2:51" ht="15" customHeight="1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2:51" ht="15" customHeight="1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</row>
    <row r="126" spans="2:51" ht="15" customHeight="1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</row>
    <row r="127" spans="2:51" ht="15" customHeight="1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</row>
    <row r="128" spans="2:51" ht="15" customHeight="1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</row>
    <row r="129" spans="2:51" ht="15" customHeight="1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</row>
    <row r="130" spans="2:51" ht="15" customHeight="1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</row>
    <row r="131" spans="2:51" ht="15" customHeight="1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2:51" ht="15" customHeight="1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2:51" ht="15" customHeight="1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2:51" ht="15" customHeight="1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2:51" ht="15" customHeight="1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2:51" ht="15" customHeight="1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2:51" ht="15" customHeight="1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2:51" ht="15" customHeight="1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2:51" ht="1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2:51" ht="1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2:51" ht="15" customHeight="1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2:51" ht="15" customHeight="1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2:51" ht="15" customHeight="1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2:51" ht="15" customHeight="1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2:51" ht="1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</row>
    <row r="146" spans="2:51" ht="15" customHeight="1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</row>
    <row r="147" spans="2:51" ht="15" customHeight="1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</row>
    <row r="148" spans="2:51" ht="15" customHeight="1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</row>
    <row r="149" spans="2:51" ht="15" customHeight="1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</row>
    <row r="150" spans="2:51" ht="15" customHeight="1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</row>
    <row r="151" spans="2:51" ht="15" customHeight="1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</row>
    <row r="152" spans="2:51" ht="15" customHeight="1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3" spans="2:51" ht="15" customHeight="1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</sheetData>
  <mergeCells count="1">
    <mergeCell ref="K1:L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M120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2" width="11.140625" style="21" customWidth="1"/>
    <col min="13" max="14" width="9.140625" style="21"/>
    <col min="15" max="15" width="11.85546875" style="21" customWidth="1"/>
    <col min="16" max="16" width="12.7109375" style="21" customWidth="1"/>
    <col min="17" max="17" width="9.140625" style="21" customWidth="1"/>
    <col min="18" max="16384" width="9.140625" style="21"/>
  </cols>
  <sheetData>
    <row r="1" spans="1:37" ht="15" customHeight="1">
      <c r="A1" s="7">
        <v>21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1024" t="s">
        <v>24</v>
      </c>
      <c r="L1" s="1025"/>
      <c r="N1" s="1" t="s">
        <v>33</v>
      </c>
      <c r="O1" s="47" t="str">
        <f>VLOOKUP(A1,'Point Grid'!$L$8:$T$54,9,FALSE)</f>
        <v>Reserving - Chap 7: Development Method</v>
      </c>
      <c r="P1"/>
      <c r="Q1"/>
      <c r="R1"/>
      <c r="S1"/>
      <c r="T1"/>
      <c r="U1"/>
      <c r="V1"/>
      <c r="W1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</row>
    <row r="2" spans="1:37" ht="15" customHeight="1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N2" s="1"/>
      <c r="O2"/>
      <c r="P2"/>
      <c r="Q2"/>
      <c r="R2"/>
      <c r="S2"/>
      <c r="T2"/>
      <c r="U2"/>
      <c r="V2"/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</row>
    <row r="3" spans="1:37" ht="15" customHeight="1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30"/>
      <c r="N3" s="479" t="s">
        <v>2</v>
      </c>
      <c r="O3" s="467" t="s">
        <v>654</v>
      </c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</row>
    <row r="4" spans="1:37" ht="15" customHeight="1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30"/>
      <c r="N4" s="479"/>
      <c r="O4" s="478" t="s">
        <v>667</v>
      </c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  <c r="AK4" s="467"/>
    </row>
    <row r="5" spans="1:37" ht="1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30"/>
      <c r="N5" s="479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</row>
    <row r="6" spans="1:37" ht="15" customHeight="1">
      <c r="A6" s="25" t="s">
        <v>2</v>
      </c>
      <c r="B6" s="17" t="s">
        <v>655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30"/>
      <c r="N6" s="479"/>
      <c r="O6" s="467" t="s">
        <v>656</v>
      </c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</row>
    <row r="7" spans="1:37" ht="15" customHeight="1" thickBot="1">
      <c r="A7" s="9">
        <f>INDEX('Point Grid'!$C$8:$I$54,MATCH($A$1,'Point Grid'!$A$8:$A$54,0),MATCH(A6,'Point Grid'!$C$7:$I$7,0))</f>
        <v>1</v>
      </c>
      <c r="B7" s="17" t="s">
        <v>657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30"/>
      <c r="N7" s="479"/>
      <c r="O7" s="467" t="s">
        <v>658</v>
      </c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7"/>
      <c r="AJ7" s="467"/>
      <c r="AK7" s="467"/>
    </row>
    <row r="8" spans="1:37" ht="15" customHeight="1" thickBot="1">
      <c r="A8" s="5"/>
      <c r="B8" s="17" t="s">
        <v>659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30"/>
      <c r="N8" s="479"/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467"/>
      <c r="AJ8" s="467"/>
      <c r="AK8" s="467"/>
    </row>
    <row r="9" spans="1:37" ht="15" customHeight="1">
      <c r="A9" s="25"/>
      <c r="B9" s="348" t="s">
        <v>660</v>
      </c>
      <c r="C9" s="17"/>
      <c r="D9" s="17"/>
      <c r="E9" s="17"/>
      <c r="F9" s="17"/>
      <c r="G9" s="17"/>
      <c r="H9" s="17"/>
      <c r="I9" s="17"/>
      <c r="J9" s="17"/>
      <c r="K9" s="17"/>
      <c r="L9" s="18"/>
      <c r="M9" s="30"/>
      <c r="N9" s="479"/>
      <c r="O9" s="467" t="s">
        <v>661</v>
      </c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  <c r="AI9" s="467"/>
      <c r="AJ9" s="467"/>
      <c r="AK9" s="467"/>
    </row>
    <row r="10" spans="1:37" ht="15" customHeight="1">
      <c r="A10" s="25"/>
      <c r="B10" s="657" t="s">
        <v>662</v>
      </c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30"/>
      <c r="N10" s="479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</row>
    <row r="11" spans="1:37" ht="15" customHeight="1">
      <c r="A11" s="2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30"/>
      <c r="N11" s="479"/>
      <c r="O11" s="658"/>
      <c r="P11" s="659" t="s">
        <v>663</v>
      </c>
      <c r="Q11" s="660"/>
      <c r="R11" s="660"/>
      <c r="S11" s="660" t="s">
        <v>164</v>
      </c>
      <c r="T11" s="660"/>
      <c r="U11" s="660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</row>
    <row r="12" spans="1:37" ht="15" customHeight="1">
      <c r="A12" s="25"/>
      <c r="B12" s="229" t="s">
        <v>162</v>
      </c>
      <c r="C12" s="230" t="s">
        <v>163</v>
      </c>
      <c r="D12" s="60"/>
      <c r="E12" s="60" t="s">
        <v>164</v>
      </c>
      <c r="F12" s="60"/>
      <c r="G12" s="60"/>
      <c r="H12" s="60"/>
      <c r="I12" s="17"/>
      <c r="J12" s="17"/>
      <c r="K12" s="17"/>
      <c r="L12" s="18"/>
      <c r="M12" s="30"/>
      <c r="N12" s="479"/>
      <c r="O12" s="661" t="s">
        <v>83</v>
      </c>
      <c r="P12" s="662">
        <v>12</v>
      </c>
      <c r="Q12" s="662">
        <v>24</v>
      </c>
      <c r="R12" s="662">
        <v>36</v>
      </c>
      <c r="S12" s="662">
        <v>48</v>
      </c>
      <c r="T12" s="662">
        <v>60</v>
      </c>
      <c r="U12" s="662">
        <v>72</v>
      </c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</row>
    <row r="13" spans="1:37" ht="15" customHeight="1">
      <c r="A13" s="25"/>
      <c r="B13" s="231" t="s">
        <v>83</v>
      </c>
      <c r="C13" s="232">
        <v>12</v>
      </c>
      <c r="D13" s="232">
        <f>C13+12</f>
        <v>24</v>
      </c>
      <c r="E13" s="232">
        <f t="shared" ref="E13:H13" si="0">D13+12</f>
        <v>36</v>
      </c>
      <c r="F13" s="232">
        <f t="shared" si="0"/>
        <v>48</v>
      </c>
      <c r="G13" s="232">
        <f t="shared" si="0"/>
        <v>60</v>
      </c>
      <c r="H13" s="232">
        <f t="shared" si="0"/>
        <v>72</v>
      </c>
      <c r="I13" s="17"/>
      <c r="J13" s="17"/>
      <c r="K13" s="17"/>
      <c r="L13" s="18"/>
      <c r="M13" s="30"/>
      <c r="N13" s="479"/>
      <c r="O13" s="227">
        <v>2020</v>
      </c>
      <c r="P13" s="663">
        <f>C14/C23</f>
        <v>0.34035661048044952</v>
      </c>
      <c r="Q13" s="663">
        <f t="shared" ref="Q13:U13" si="1">D14/D23</f>
        <v>0.65721926259712371</v>
      </c>
      <c r="R13" s="663">
        <f t="shared" si="1"/>
        <v>0.79192249290288508</v>
      </c>
      <c r="S13" s="664">
        <f t="shared" si="1"/>
        <v>0.98990202109622338</v>
      </c>
      <c r="T13" s="663">
        <f t="shared" si="1"/>
        <v>1.1052631578947369</v>
      </c>
      <c r="U13" s="663">
        <f t="shared" si="1"/>
        <v>1.0104252361635131</v>
      </c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</row>
    <row r="14" spans="1:37" ht="15" customHeight="1">
      <c r="A14" s="25"/>
      <c r="B14" s="233">
        <v>2020</v>
      </c>
      <c r="C14" s="234">
        <v>11873</v>
      </c>
      <c r="D14" s="234">
        <v>31212</v>
      </c>
      <c r="E14" s="234">
        <v>47981</v>
      </c>
      <c r="F14" s="234">
        <v>65974</v>
      </c>
      <c r="G14" s="234">
        <v>77112</v>
      </c>
      <c r="H14" s="234">
        <v>71237</v>
      </c>
      <c r="I14" s="17"/>
      <c r="J14" s="17"/>
      <c r="K14" s="17"/>
      <c r="L14" s="18"/>
      <c r="M14" s="30"/>
      <c r="N14" s="479"/>
      <c r="O14" s="227">
        <v>2021</v>
      </c>
      <c r="P14" s="663">
        <f t="shared" ref="P14:T17" si="2">C15/C24</f>
        <v>0.33665577342047931</v>
      </c>
      <c r="Q14" s="663">
        <f t="shared" si="2"/>
        <v>0.66288425830410558</v>
      </c>
      <c r="R14" s="664">
        <f t="shared" si="2"/>
        <v>0.98979591836734693</v>
      </c>
      <c r="S14" s="663">
        <f t="shared" si="2"/>
        <v>1.0302939367113297</v>
      </c>
      <c r="T14" s="663">
        <f t="shared" si="2"/>
        <v>1.0412285750382526</v>
      </c>
      <c r="U14" s="663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</row>
    <row r="15" spans="1:37" ht="15" customHeight="1">
      <c r="A15" s="25"/>
      <c r="B15" s="233">
        <f>B14+1</f>
        <v>2021</v>
      </c>
      <c r="C15" s="234">
        <v>12362</v>
      </c>
      <c r="D15" s="234">
        <v>32130</v>
      </c>
      <c r="E15" s="234">
        <v>59364</v>
      </c>
      <c r="F15" s="234">
        <v>68666</v>
      </c>
      <c r="G15" s="234">
        <v>74174</v>
      </c>
      <c r="H15" s="234"/>
      <c r="I15" s="17"/>
      <c r="J15" s="17"/>
      <c r="K15" s="17"/>
      <c r="L15" s="18"/>
      <c r="M15" s="30"/>
      <c r="N15" s="479"/>
      <c r="O15" s="227">
        <v>2022</v>
      </c>
      <c r="P15" s="663">
        <f t="shared" si="2"/>
        <v>0.3047515302417263</v>
      </c>
      <c r="Q15" s="664">
        <f t="shared" si="2"/>
        <v>1.0312327135015531</v>
      </c>
      <c r="R15" s="663">
        <f t="shared" si="2"/>
        <v>1.0208333333333333</v>
      </c>
      <c r="S15" s="663">
        <f t="shared" si="2"/>
        <v>0.94059682614386775</v>
      </c>
      <c r="T15" s="663"/>
      <c r="U15" s="663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</row>
    <row r="16" spans="1:37" ht="15" customHeight="1">
      <c r="A16" s="25"/>
      <c r="B16" s="233">
        <f t="shared" ref="B16:B19" si="3">B15+1</f>
        <v>2022</v>
      </c>
      <c r="C16" s="234">
        <v>11750</v>
      </c>
      <c r="D16" s="234">
        <v>48470</v>
      </c>
      <c r="E16" s="234">
        <v>59976</v>
      </c>
      <c r="F16" s="234">
        <v>63954</v>
      </c>
      <c r="G16" s="234"/>
      <c r="H16" s="234"/>
      <c r="I16" s="17"/>
      <c r="J16" s="17"/>
      <c r="K16" s="17"/>
      <c r="L16" s="18"/>
      <c r="M16" s="30"/>
      <c r="N16" s="479"/>
      <c r="O16" s="227">
        <v>2023</v>
      </c>
      <c r="P16" s="664">
        <f t="shared" si="2"/>
        <v>0.80033434896324862</v>
      </c>
      <c r="Q16" s="663">
        <f t="shared" si="2"/>
        <v>0.93204307045549184</v>
      </c>
      <c r="R16" s="663">
        <f t="shared" si="2"/>
        <v>1.010204081632653</v>
      </c>
      <c r="S16" s="663"/>
      <c r="T16" s="663"/>
      <c r="U16" s="663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</row>
    <row r="17" spans="1:37" ht="15" customHeight="1">
      <c r="A17" s="25"/>
      <c r="B17" s="233">
        <f t="shared" si="3"/>
        <v>2023</v>
      </c>
      <c r="C17" s="234">
        <v>29682</v>
      </c>
      <c r="D17" s="234">
        <v>47002</v>
      </c>
      <c r="E17" s="234">
        <v>60588</v>
      </c>
      <c r="F17" s="234"/>
      <c r="G17" s="234"/>
      <c r="H17" s="234"/>
      <c r="I17" s="17"/>
      <c r="J17" s="17"/>
      <c r="K17" s="17"/>
      <c r="L17" s="18"/>
      <c r="M17" s="30"/>
      <c r="N17" s="479"/>
      <c r="O17" s="227">
        <v>2024</v>
      </c>
      <c r="P17" s="663">
        <f t="shared" si="2"/>
        <v>0.78432210177818129</v>
      </c>
      <c r="Q17" s="663">
        <f t="shared" si="2"/>
        <v>0.92380563336445687</v>
      </c>
      <c r="R17" s="663"/>
      <c r="S17" s="663"/>
      <c r="T17" s="663"/>
      <c r="U17" s="663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</row>
    <row r="18" spans="1:37" ht="15" customHeight="1">
      <c r="A18" s="25"/>
      <c r="B18" s="233">
        <f t="shared" si="3"/>
        <v>2024</v>
      </c>
      <c r="C18" s="234">
        <v>29376</v>
      </c>
      <c r="D18" s="234">
        <v>47491</v>
      </c>
      <c r="E18" s="234"/>
      <c r="F18" s="234"/>
      <c r="G18" s="234"/>
      <c r="H18" s="234"/>
      <c r="I18" s="17"/>
      <c r="J18" s="17"/>
      <c r="K18" s="17"/>
      <c r="L18" s="18"/>
      <c r="M18" s="30"/>
      <c r="N18" s="479"/>
      <c r="O18" s="227">
        <v>2025</v>
      </c>
      <c r="P18" s="663">
        <f>C19/C28</f>
        <v>0.78525229778208383</v>
      </c>
      <c r="Q18" s="663"/>
      <c r="R18" s="663"/>
      <c r="S18" s="663"/>
      <c r="T18" s="663"/>
      <c r="U18" s="663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</row>
    <row r="19" spans="1:37" ht="15" customHeight="1">
      <c r="A19" s="25"/>
      <c r="B19" s="233">
        <f t="shared" si="3"/>
        <v>2025</v>
      </c>
      <c r="C19" s="234">
        <v>29988</v>
      </c>
      <c r="D19" s="234"/>
      <c r="E19" s="234"/>
      <c r="F19" s="234"/>
      <c r="G19" s="234"/>
      <c r="H19" s="234"/>
      <c r="I19" s="17"/>
      <c r="J19" s="17"/>
      <c r="K19" s="17"/>
      <c r="L19" s="18"/>
      <c r="M19" s="30"/>
      <c r="N19" s="479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</row>
    <row r="20" spans="1:37" ht="15" customHeight="1">
      <c r="A20" s="25"/>
      <c r="B20" s="100"/>
      <c r="C20" s="100"/>
      <c r="D20" s="100"/>
      <c r="E20" s="100"/>
      <c r="F20" s="100"/>
      <c r="G20" s="118"/>
      <c r="H20" s="100"/>
      <c r="I20" s="17"/>
      <c r="J20" s="17"/>
      <c r="K20" s="17"/>
      <c r="L20" s="18"/>
      <c r="M20" s="30"/>
      <c r="N20" s="479"/>
      <c r="O20" s="467" t="s">
        <v>666</v>
      </c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</row>
    <row r="21" spans="1:37" ht="15" customHeight="1">
      <c r="A21" s="25"/>
      <c r="B21" s="229" t="s">
        <v>162</v>
      </c>
      <c r="C21" s="230" t="s">
        <v>167</v>
      </c>
      <c r="D21" s="60"/>
      <c r="E21" s="60" t="s">
        <v>164</v>
      </c>
      <c r="F21" s="60"/>
      <c r="G21" s="60"/>
      <c r="H21" s="60"/>
      <c r="I21" s="17"/>
      <c r="J21" s="17"/>
      <c r="K21" s="17"/>
      <c r="L21" s="18"/>
      <c r="M21" s="30"/>
      <c r="N21" s="479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</row>
    <row r="22" spans="1:37" ht="15" customHeight="1">
      <c r="A22" s="25"/>
      <c r="B22" s="231" t="s">
        <v>83</v>
      </c>
      <c r="C22" s="232">
        <v>12</v>
      </c>
      <c r="D22" s="232">
        <f>C22+12</f>
        <v>24</v>
      </c>
      <c r="E22" s="232">
        <f t="shared" ref="E22:H22" si="4">D22+12</f>
        <v>36</v>
      </c>
      <c r="F22" s="232">
        <f t="shared" si="4"/>
        <v>48</v>
      </c>
      <c r="G22" s="232">
        <f t="shared" si="4"/>
        <v>60</v>
      </c>
      <c r="H22" s="232">
        <f t="shared" si="4"/>
        <v>72</v>
      </c>
      <c r="I22" s="17"/>
      <c r="J22" s="17"/>
      <c r="K22" s="17"/>
      <c r="L22" s="18"/>
      <c r="M22" s="30"/>
      <c r="N22" s="479"/>
      <c r="O22" s="658"/>
      <c r="P22" s="659" t="s">
        <v>668</v>
      </c>
      <c r="Q22" s="660"/>
      <c r="R22" s="660"/>
      <c r="S22" s="660" t="s">
        <v>164</v>
      </c>
      <c r="T22" s="660"/>
      <c r="U22" s="660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</row>
    <row r="23" spans="1:37" ht="15" customHeight="1">
      <c r="A23" s="25"/>
      <c r="B23" s="233">
        <v>2020</v>
      </c>
      <c r="C23" s="234">
        <v>34884</v>
      </c>
      <c r="D23" s="234">
        <v>47491</v>
      </c>
      <c r="E23" s="234">
        <v>60588</v>
      </c>
      <c r="F23" s="234">
        <v>66647</v>
      </c>
      <c r="G23" s="234">
        <v>69768</v>
      </c>
      <c r="H23" s="234">
        <v>70502</v>
      </c>
      <c r="I23" s="17"/>
      <c r="J23" s="17"/>
      <c r="K23" s="17"/>
      <c r="L23" s="18"/>
      <c r="M23" s="30"/>
      <c r="N23" s="479"/>
      <c r="O23" s="661" t="s">
        <v>83</v>
      </c>
      <c r="P23" s="662">
        <v>12</v>
      </c>
      <c r="Q23" s="662">
        <v>24</v>
      </c>
      <c r="R23" s="662">
        <v>36</v>
      </c>
      <c r="S23" s="662">
        <v>48</v>
      </c>
      <c r="T23" s="662">
        <v>60</v>
      </c>
      <c r="U23" s="662">
        <v>72</v>
      </c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</row>
    <row r="24" spans="1:37" ht="15" customHeight="1">
      <c r="A24" s="25"/>
      <c r="B24" s="233">
        <v>2021</v>
      </c>
      <c r="C24" s="234">
        <v>36720</v>
      </c>
      <c r="D24" s="234">
        <v>48470</v>
      </c>
      <c r="E24" s="234">
        <v>59976</v>
      </c>
      <c r="F24" s="234">
        <v>66647</v>
      </c>
      <c r="G24" s="234">
        <v>71237</v>
      </c>
      <c r="H24" s="234"/>
      <c r="I24" s="17"/>
      <c r="J24" s="17"/>
      <c r="K24" s="17"/>
      <c r="L24" s="18"/>
      <c r="M24" s="30"/>
      <c r="N24" s="479"/>
      <c r="O24" s="227">
        <v>2020</v>
      </c>
      <c r="P24" s="663">
        <f>C32/C41</f>
        <v>0.34</v>
      </c>
      <c r="Q24" s="663">
        <f t="shared" ref="Q24:U24" si="5">D32/D41</f>
        <v>0.62121212121212122</v>
      </c>
      <c r="R24" s="663">
        <f t="shared" si="5"/>
        <v>0.79041916167664672</v>
      </c>
      <c r="S24" s="664">
        <f t="shared" si="5"/>
        <v>0.9642857142857143</v>
      </c>
      <c r="T24" s="663">
        <f t="shared" si="5"/>
        <v>1</v>
      </c>
      <c r="U24" s="663">
        <f t="shared" si="5"/>
        <v>0.99038461538461542</v>
      </c>
      <c r="V24" s="467"/>
      <c r="W24" s="467"/>
      <c r="X24" s="467"/>
      <c r="Y24" s="467"/>
      <c r="Z24" s="467"/>
      <c r="AA24" s="467"/>
      <c r="AB24" s="467"/>
      <c r="AC24" s="467"/>
      <c r="AD24" s="467"/>
      <c r="AE24" s="467"/>
      <c r="AF24" s="467"/>
      <c r="AG24" s="467"/>
      <c r="AH24" s="467"/>
      <c r="AI24" s="467"/>
      <c r="AJ24" s="467"/>
      <c r="AK24" s="467"/>
    </row>
    <row r="25" spans="1:37" ht="15" customHeight="1">
      <c r="A25" s="25"/>
      <c r="B25" s="233">
        <v>2022</v>
      </c>
      <c r="C25" s="234">
        <v>38556</v>
      </c>
      <c r="D25" s="234">
        <v>47002</v>
      </c>
      <c r="E25" s="234">
        <v>58752</v>
      </c>
      <c r="F25" s="234">
        <v>67993</v>
      </c>
      <c r="G25" s="234"/>
      <c r="H25" s="234"/>
      <c r="I25" s="17"/>
      <c r="J25" s="17"/>
      <c r="K25" s="17"/>
      <c r="L25" s="18"/>
      <c r="M25" s="30"/>
      <c r="N25" s="479"/>
      <c r="O25" s="227">
        <v>2021</v>
      </c>
      <c r="P25" s="663">
        <f t="shared" ref="P25:T25" si="6">C33/C42</f>
        <v>0.33333333333333331</v>
      </c>
      <c r="Q25" s="663">
        <f t="shared" si="6"/>
        <v>0.65413533834586468</v>
      </c>
      <c r="R25" s="664">
        <f t="shared" si="6"/>
        <v>1.0117647058823529</v>
      </c>
      <c r="S25" s="663">
        <f t="shared" si="6"/>
        <v>1.0106951871657754</v>
      </c>
      <c r="T25" s="663">
        <f t="shared" si="6"/>
        <v>0.970873786407767</v>
      </c>
      <c r="U25" s="663"/>
      <c r="V25" s="467"/>
      <c r="W25" s="467"/>
      <c r="X25" s="467"/>
      <c r="Y25" s="467"/>
      <c r="Z25" s="467"/>
      <c r="AA25" s="467"/>
      <c r="AB25" s="467"/>
      <c r="AC25" s="467"/>
      <c r="AD25" s="467"/>
      <c r="AE25" s="467"/>
      <c r="AF25" s="467"/>
      <c r="AG25" s="467"/>
      <c r="AH25" s="467"/>
      <c r="AI25" s="467"/>
      <c r="AJ25" s="467"/>
      <c r="AK25" s="467"/>
    </row>
    <row r="26" spans="1:37" ht="15" customHeight="1">
      <c r="A26" s="25"/>
      <c r="B26" s="233">
        <v>2023</v>
      </c>
      <c r="C26" s="234">
        <v>37087</v>
      </c>
      <c r="D26" s="234">
        <v>50429</v>
      </c>
      <c r="E26" s="234">
        <v>59976</v>
      </c>
      <c r="F26" s="234"/>
      <c r="G26" s="234"/>
      <c r="H26" s="234"/>
      <c r="I26" s="17"/>
      <c r="J26" s="17"/>
      <c r="K26" s="17"/>
      <c r="L26" s="18"/>
      <c r="M26" s="30"/>
      <c r="N26" s="479"/>
      <c r="O26" s="227">
        <v>2022</v>
      </c>
      <c r="P26" s="663">
        <f t="shared" ref="P26:S26" si="7">C34/C43</f>
        <v>0.35</v>
      </c>
      <c r="Q26" s="664">
        <f t="shared" si="7"/>
        <v>1.0220588235294117</v>
      </c>
      <c r="R26" s="663">
        <f t="shared" si="7"/>
        <v>1</v>
      </c>
      <c r="S26" s="663">
        <f t="shared" si="7"/>
        <v>1.0320855614973261</v>
      </c>
      <c r="T26" s="663"/>
      <c r="U26" s="663"/>
      <c r="V26" s="467"/>
      <c r="W26" s="467"/>
      <c r="X26" s="467"/>
      <c r="Y26" s="467"/>
      <c r="Z26" s="467"/>
      <c r="AA26" s="467"/>
      <c r="AB26" s="467"/>
      <c r="AC26" s="467"/>
      <c r="AD26" s="467"/>
      <c r="AE26" s="467"/>
      <c r="AF26" s="467"/>
      <c r="AG26" s="467"/>
      <c r="AH26" s="467"/>
      <c r="AI26" s="467"/>
      <c r="AJ26" s="467"/>
      <c r="AK26" s="467"/>
    </row>
    <row r="27" spans="1:37" ht="15" customHeight="1">
      <c r="A27" s="25"/>
      <c r="B27" s="233">
        <v>2024</v>
      </c>
      <c r="C27" s="234">
        <v>37454</v>
      </c>
      <c r="D27" s="234">
        <v>51408</v>
      </c>
      <c r="E27" s="234"/>
      <c r="F27" s="234"/>
      <c r="G27" s="234"/>
      <c r="H27" s="234"/>
      <c r="I27" s="17"/>
      <c r="J27" s="17"/>
      <c r="K27" s="17"/>
      <c r="L27" s="18"/>
      <c r="M27" s="30"/>
      <c r="N27" s="467"/>
      <c r="O27" s="227">
        <v>2023</v>
      </c>
      <c r="P27" s="664">
        <f t="shared" ref="P27:R27" si="8">C35/C44</f>
        <v>0.83333333333333337</v>
      </c>
      <c r="Q27" s="663">
        <f t="shared" si="8"/>
        <v>1</v>
      </c>
      <c r="R27" s="663">
        <f t="shared" si="8"/>
        <v>0.91061452513966479</v>
      </c>
      <c r="S27" s="663"/>
      <c r="T27" s="663"/>
      <c r="U27" s="663"/>
      <c r="V27" s="467"/>
      <c r="W27" s="467"/>
      <c r="X27" s="467"/>
      <c r="Y27" s="467"/>
      <c r="Z27" s="467"/>
      <c r="AA27" s="467"/>
      <c r="AB27" s="467"/>
      <c r="AC27" s="467"/>
      <c r="AD27" s="467"/>
      <c r="AE27" s="467"/>
      <c r="AF27" s="467"/>
      <c r="AG27" s="467"/>
      <c r="AH27" s="467"/>
      <c r="AI27" s="467"/>
      <c r="AJ27" s="467"/>
      <c r="AK27" s="467"/>
    </row>
    <row r="28" spans="1:37" ht="15" customHeight="1">
      <c r="A28" s="22"/>
      <c r="B28" s="233">
        <v>2025</v>
      </c>
      <c r="C28" s="234">
        <v>38189</v>
      </c>
      <c r="D28" s="234"/>
      <c r="E28" s="234"/>
      <c r="F28" s="234"/>
      <c r="G28" s="234"/>
      <c r="H28" s="234"/>
      <c r="I28" s="17"/>
      <c r="J28" s="17"/>
      <c r="K28" s="17"/>
      <c r="L28" s="18"/>
      <c r="M28" s="30"/>
      <c r="N28" s="467"/>
      <c r="O28" s="227">
        <v>2024</v>
      </c>
      <c r="P28" s="663">
        <f t="shared" ref="P28:Q28" si="9">C36/C45</f>
        <v>0.89690721649484539</v>
      </c>
      <c r="Q28" s="663">
        <f t="shared" si="9"/>
        <v>1.0601503759398496</v>
      </c>
      <c r="R28" s="663"/>
      <c r="S28" s="663"/>
      <c r="T28" s="663"/>
      <c r="U28" s="663"/>
      <c r="V28" s="467"/>
      <c r="W28" s="467"/>
      <c r="X28" s="467"/>
      <c r="Y28" s="467"/>
      <c r="Z28" s="467"/>
      <c r="AA28" s="467"/>
      <c r="AB28" s="467"/>
      <c r="AC28" s="467"/>
      <c r="AD28" s="467"/>
      <c r="AE28" s="467"/>
      <c r="AF28" s="467"/>
      <c r="AG28" s="467"/>
      <c r="AH28" s="467"/>
      <c r="AI28" s="467"/>
      <c r="AJ28" s="467"/>
      <c r="AK28" s="467"/>
    </row>
    <row r="29" spans="1:37" ht="15" customHeight="1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  <c r="M29" s="30"/>
      <c r="N29" s="467"/>
      <c r="O29" s="227">
        <v>2025</v>
      </c>
      <c r="P29" s="663">
        <f>C37/C46</f>
        <v>0.88888888888888884</v>
      </c>
      <c r="Q29" s="663"/>
      <c r="R29" s="663"/>
      <c r="S29" s="663"/>
      <c r="T29" s="663"/>
      <c r="U29" s="663"/>
      <c r="V29" s="467"/>
      <c r="W29" s="467"/>
      <c r="X29" s="467"/>
      <c r="Y29" s="467"/>
      <c r="Z29" s="467"/>
      <c r="AA29" s="467"/>
      <c r="AB29" s="467"/>
      <c r="AC29" s="467"/>
      <c r="AD29" s="467"/>
      <c r="AE29" s="467"/>
      <c r="AF29" s="467"/>
      <c r="AG29" s="467"/>
      <c r="AH29" s="467"/>
      <c r="AI29" s="467"/>
      <c r="AJ29" s="467"/>
      <c r="AK29" s="467"/>
    </row>
    <row r="30" spans="1:37" ht="15" customHeight="1">
      <c r="A30" s="22"/>
      <c r="B30" s="229" t="s">
        <v>664</v>
      </c>
      <c r="C30" s="230" t="s">
        <v>165</v>
      </c>
      <c r="D30" s="60"/>
      <c r="E30" s="60" t="s">
        <v>164</v>
      </c>
      <c r="F30" s="60"/>
      <c r="G30" s="60"/>
      <c r="H30" s="60"/>
      <c r="I30" s="17"/>
      <c r="J30" s="17"/>
      <c r="K30" s="17"/>
      <c r="L30" s="18"/>
      <c r="M30" s="30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7"/>
      <c r="AI30" s="467"/>
      <c r="AJ30" s="467"/>
      <c r="AK30" s="467"/>
    </row>
    <row r="31" spans="1:37" ht="15" customHeight="1">
      <c r="A31" s="22"/>
      <c r="B31" s="231" t="s">
        <v>83</v>
      </c>
      <c r="C31" s="232">
        <v>12</v>
      </c>
      <c r="D31" s="232">
        <v>24</v>
      </c>
      <c r="E31" s="232">
        <v>36</v>
      </c>
      <c r="F31" s="232">
        <v>48</v>
      </c>
      <c r="G31" s="232">
        <v>60</v>
      </c>
      <c r="H31" s="232">
        <v>72</v>
      </c>
      <c r="I31" s="17"/>
      <c r="J31" s="17"/>
      <c r="K31" s="17"/>
      <c r="L31" s="18"/>
      <c r="M31" s="30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</row>
    <row r="32" spans="1:37" ht="15" customHeight="1">
      <c r="A32" s="22"/>
      <c r="B32" s="233">
        <v>2020</v>
      </c>
      <c r="C32" s="151">
        <v>34</v>
      </c>
      <c r="D32" s="151">
        <v>82</v>
      </c>
      <c r="E32" s="151">
        <v>132</v>
      </c>
      <c r="F32" s="151">
        <v>189</v>
      </c>
      <c r="G32" s="151">
        <v>200</v>
      </c>
      <c r="H32" s="151">
        <v>206</v>
      </c>
      <c r="I32" s="17"/>
      <c r="J32" s="17"/>
      <c r="K32" s="17"/>
      <c r="L32" s="18"/>
      <c r="M32" s="30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</row>
    <row r="33" spans="1:37" ht="15" customHeight="1">
      <c r="A33" s="22"/>
      <c r="B33" s="233">
        <v>2021</v>
      </c>
      <c r="C33" s="151">
        <v>33</v>
      </c>
      <c r="D33" s="151">
        <v>87</v>
      </c>
      <c r="E33" s="151">
        <v>172</v>
      </c>
      <c r="F33" s="151">
        <v>189</v>
      </c>
      <c r="G33" s="151">
        <v>200</v>
      </c>
      <c r="H33" s="151"/>
      <c r="I33" s="17"/>
      <c r="J33" s="17"/>
      <c r="K33" s="17"/>
      <c r="L33" s="18"/>
      <c r="M33" s="30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</row>
    <row r="34" spans="1:37" ht="15" customHeight="1">
      <c r="A34" s="22"/>
      <c r="B34" s="233">
        <v>2022</v>
      </c>
      <c r="C34" s="151">
        <v>35</v>
      </c>
      <c r="D34" s="151">
        <v>139</v>
      </c>
      <c r="E34" s="151">
        <v>167</v>
      </c>
      <c r="F34" s="151">
        <v>193</v>
      </c>
      <c r="G34" s="151"/>
      <c r="H34" s="151"/>
      <c r="I34" s="17"/>
      <c r="J34" s="17"/>
      <c r="K34" s="17"/>
      <c r="L34" s="18"/>
      <c r="M34" s="30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</row>
    <row r="35" spans="1:37" ht="15" customHeight="1">
      <c r="A35" s="22"/>
      <c r="B35" s="233">
        <v>2023</v>
      </c>
      <c r="C35" s="151">
        <v>85</v>
      </c>
      <c r="D35" s="151">
        <v>139</v>
      </c>
      <c r="E35" s="151">
        <v>163</v>
      </c>
      <c r="F35" s="151"/>
      <c r="G35" s="151"/>
      <c r="H35" s="151"/>
      <c r="I35" s="17"/>
      <c r="J35" s="17"/>
      <c r="K35" s="17"/>
      <c r="L35" s="18"/>
      <c r="M35" s="30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  <c r="AF35" s="467"/>
      <c r="AG35" s="467"/>
      <c r="AH35" s="467"/>
      <c r="AI35" s="467"/>
      <c r="AJ35" s="467"/>
      <c r="AK35" s="467"/>
    </row>
    <row r="36" spans="1:37" ht="15" customHeight="1">
      <c r="A36" s="22"/>
      <c r="B36" s="233">
        <v>2024</v>
      </c>
      <c r="C36" s="151">
        <v>87</v>
      </c>
      <c r="D36" s="151">
        <v>141</v>
      </c>
      <c r="E36" s="151"/>
      <c r="F36" s="151"/>
      <c r="G36" s="151"/>
      <c r="H36" s="151"/>
      <c r="I36" s="17"/>
      <c r="J36" s="17"/>
      <c r="K36" s="17"/>
      <c r="L36" s="18"/>
      <c r="M36" s="30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  <c r="AF36" s="467"/>
      <c r="AG36" s="467"/>
      <c r="AH36" s="467"/>
      <c r="AI36" s="467"/>
      <c r="AJ36" s="467"/>
      <c r="AK36" s="467"/>
    </row>
    <row r="37" spans="1:37" ht="15" customHeight="1">
      <c r="A37" s="22"/>
      <c r="B37" s="233">
        <v>2025</v>
      </c>
      <c r="C37" s="151">
        <v>88</v>
      </c>
      <c r="D37" s="151"/>
      <c r="E37" s="151"/>
      <c r="F37" s="151"/>
      <c r="G37" s="151"/>
      <c r="H37" s="151"/>
      <c r="I37" s="17"/>
      <c r="J37" s="17"/>
      <c r="K37" s="17"/>
      <c r="L37" s="18"/>
      <c r="M37" s="30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7"/>
    </row>
    <row r="38" spans="1:37" ht="15" customHeight="1">
      <c r="A38" s="22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30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</row>
    <row r="39" spans="1:37" ht="15" customHeight="1">
      <c r="A39" s="22"/>
      <c r="B39" s="229" t="s">
        <v>664</v>
      </c>
      <c r="C39" s="230" t="s">
        <v>665</v>
      </c>
      <c r="D39" s="60"/>
      <c r="E39" s="60" t="s">
        <v>164</v>
      </c>
      <c r="F39" s="60"/>
      <c r="G39" s="60"/>
      <c r="H39" s="60"/>
      <c r="I39" s="17"/>
      <c r="J39" s="17"/>
      <c r="K39" s="17"/>
      <c r="L39" s="18"/>
      <c r="M39" s="30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</row>
    <row r="40" spans="1:37" ht="15" customHeight="1">
      <c r="A40" s="22"/>
      <c r="B40" s="231" t="s">
        <v>83</v>
      </c>
      <c r="C40" s="232">
        <v>12</v>
      </c>
      <c r="D40" s="232">
        <v>24</v>
      </c>
      <c r="E40" s="232">
        <v>36</v>
      </c>
      <c r="F40" s="232">
        <v>48</v>
      </c>
      <c r="G40" s="232">
        <v>60</v>
      </c>
      <c r="H40" s="232">
        <v>72</v>
      </c>
      <c r="I40" s="17"/>
      <c r="J40" s="17"/>
      <c r="K40" s="17"/>
      <c r="L40" s="18"/>
      <c r="M40" s="30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  <c r="AI40" s="467"/>
      <c r="AJ40" s="467"/>
      <c r="AK40" s="467"/>
    </row>
    <row r="41" spans="1:37" ht="15" customHeight="1">
      <c r="A41" s="22"/>
      <c r="B41" s="233">
        <v>2020</v>
      </c>
      <c r="C41" s="234">
        <v>100</v>
      </c>
      <c r="D41" s="234">
        <v>132</v>
      </c>
      <c r="E41" s="234">
        <v>167</v>
      </c>
      <c r="F41" s="234">
        <v>196</v>
      </c>
      <c r="G41" s="234">
        <v>200</v>
      </c>
      <c r="H41" s="234">
        <v>208</v>
      </c>
      <c r="I41" s="17"/>
      <c r="J41" s="17"/>
      <c r="K41" s="17"/>
      <c r="L41" s="18"/>
      <c r="M41" s="30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 s="467"/>
      <c r="AF41" s="467"/>
      <c r="AG41" s="467"/>
      <c r="AH41" s="467"/>
      <c r="AI41" s="467"/>
      <c r="AJ41" s="467"/>
      <c r="AK41" s="467"/>
    </row>
    <row r="42" spans="1:37" ht="15" customHeight="1">
      <c r="A42" s="22"/>
      <c r="B42" s="233">
        <v>2021</v>
      </c>
      <c r="C42" s="234">
        <v>99</v>
      </c>
      <c r="D42" s="234">
        <v>133</v>
      </c>
      <c r="E42" s="234">
        <v>170</v>
      </c>
      <c r="F42" s="234">
        <v>187</v>
      </c>
      <c r="G42" s="234">
        <v>206</v>
      </c>
      <c r="H42" s="234"/>
      <c r="I42" s="17"/>
      <c r="J42" s="17"/>
      <c r="K42" s="17"/>
      <c r="L42" s="18"/>
      <c r="M42" s="30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</row>
    <row r="43" spans="1:37" ht="15" customHeight="1">
      <c r="A43" s="22"/>
      <c r="B43" s="233">
        <v>2022</v>
      </c>
      <c r="C43" s="234">
        <v>100</v>
      </c>
      <c r="D43" s="234">
        <v>136</v>
      </c>
      <c r="E43" s="234">
        <v>167</v>
      </c>
      <c r="F43" s="234">
        <v>187</v>
      </c>
      <c r="G43" s="234"/>
      <c r="H43" s="234"/>
      <c r="I43" s="17"/>
      <c r="J43" s="17"/>
      <c r="K43" s="17"/>
      <c r="L43" s="18"/>
      <c r="M43" s="30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  <c r="AI43" s="467"/>
      <c r="AJ43" s="467"/>
      <c r="AK43" s="467"/>
    </row>
    <row r="44" spans="1:37" ht="15" customHeight="1">
      <c r="A44" s="22"/>
      <c r="B44" s="233">
        <v>2023</v>
      </c>
      <c r="C44" s="234">
        <v>102</v>
      </c>
      <c r="D44" s="234">
        <v>139</v>
      </c>
      <c r="E44" s="234">
        <v>179</v>
      </c>
      <c r="F44" s="234"/>
      <c r="G44" s="234"/>
      <c r="H44" s="234"/>
      <c r="I44" s="17"/>
      <c r="J44" s="17"/>
      <c r="K44" s="17"/>
      <c r="L44" s="18"/>
      <c r="M44" s="30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</row>
    <row r="45" spans="1:37" ht="15" customHeight="1">
      <c r="A45" s="22"/>
      <c r="B45" s="233">
        <v>2024</v>
      </c>
      <c r="C45" s="234">
        <v>97</v>
      </c>
      <c r="D45" s="234">
        <v>133</v>
      </c>
      <c r="E45" s="234"/>
      <c r="F45" s="234"/>
      <c r="G45" s="234"/>
      <c r="H45" s="234"/>
      <c r="I45" s="17"/>
      <c r="J45" s="17"/>
      <c r="K45" s="17"/>
      <c r="L45" s="18"/>
      <c r="M45" s="30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</row>
    <row r="46" spans="1:37" ht="15" customHeight="1">
      <c r="A46" s="22"/>
      <c r="B46" s="233">
        <v>2025</v>
      </c>
      <c r="C46" s="234">
        <v>99</v>
      </c>
      <c r="D46" s="234"/>
      <c r="E46" s="234"/>
      <c r="F46" s="234"/>
      <c r="G46" s="234"/>
      <c r="H46" s="234"/>
      <c r="I46" s="17"/>
      <c r="J46" s="17"/>
      <c r="K46" s="17"/>
      <c r="L46" s="18"/>
      <c r="M46" s="30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</row>
    <row r="47" spans="1:37" ht="15" customHeight="1">
      <c r="A47" s="22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8"/>
      <c r="M47" s="30"/>
      <c r="N47" s="467"/>
      <c r="O47" s="467"/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 s="467"/>
      <c r="AA47" s="467"/>
      <c r="AB47" s="467"/>
      <c r="AC47" s="467"/>
      <c r="AD47" s="467"/>
      <c r="AE47" s="467"/>
      <c r="AF47" s="467"/>
      <c r="AG47" s="467"/>
      <c r="AH47" s="467"/>
      <c r="AI47" s="467"/>
      <c r="AJ47" s="467"/>
      <c r="AK47" s="467"/>
    </row>
    <row r="48" spans="1:37" ht="15" customHeight="1">
      <c r="A48" s="22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8"/>
      <c r="M48" s="30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 s="467"/>
      <c r="AF48" s="467"/>
      <c r="AG48" s="467"/>
      <c r="AH48" s="467"/>
      <c r="AI48" s="467"/>
      <c r="AJ48" s="467"/>
      <c r="AK48" s="467"/>
    </row>
    <row r="49" spans="1:39" ht="15" customHeight="1">
      <c r="A49" s="22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8"/>
      <c r="M49" s="30"/>
      <c r="N49" s="467"/>
      <c r="O49" s="467"/>
      <c r="P49" s="467"/>
      <c r="Q49" s="467"/>
      <c r="R49" s="467"/>
      <c r="S49" s="467"/>
      <c r="T49" s="467"/>
      <c r="U49" s="467"/>
      <c r="V49" s="467"/>
      <c r="W49" s="467"/>
      <c r="X49" s="467"/>
      <c r="Y49" s="467"/>
      <c r="Z49" s="467"/>
      <c r="AA49" s="467"/>
      <c r="AB49" s="467"/>
      <c r="AC49" s="467"/>
      <c r="AD49" s="467"/>
      <c r="AE49" s="467"/>
      <c r="AF49" s="467"/>
      <c r="AG49" s="467"/>
      <c r="AH49" s="467"/>
      <c r="AI49" s="467"/>
      <c r="AJ49" s="467"/>
      <c r="AK49" s="467"/>
    </row>
    <row r="50" spans="1:39" ht="15" customHeight="1">
      <c r="A50" s="22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8"/>
      <c r="M50" s="30"/>
      <c r="N50" s="467"/>
      <c r="O50" s="467"/>
      <c r="P50" s="467"/>
      <c r="Q50" s="467"/>
      <c r="R50" s="467"/>
      <c r="S50" s="467"/>
      <c r="T50" s="467"/>
      <c r="U50" s="467"/>
      <c r="V50" s="467"/>
      <c r="W50" s="467"/>
      <c r="X50" s="467"/>
      <c r="Y50" s="467"/>
      <c r="Z50" s="467"/>
      <c r="AA50" s="467"/>
      <c r="AB50" s="467"/>
      <c r="AC50" s="467"/>
      <c r="AD50" s="467"/>
      <c r="AE50" s="467"/>
      <c r="AF50" s="467"/>
      <c r="AG50" s="467"/>
      <c r="AH50" s="467"/>
      <c r="AI50" s="467"/>
      <c r="AJ50" s="467"/>
      <c r="AK50" s="467"/>
    </row>
    <row r="51" spans="1:39" ht="15" customHeight="1">
      <c r="A51" s="22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30"/>
      <c r="N51" s="467"/>
      <c r="O51" s="467"/>
      <c r="P51" s="467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  <c r="AB51" s="467"/>
      <c r="AC51" s="467"/>
      <c r="AD51" s="467"/>
      <c r="AE51" s="467"/>
      <c r="AF51" s="467"/>
      <c r="AG51" s="467"/>
      <c r="AH51" s="467"/>
      <c r="AI51" s="467"/>
      <c r="AJ51" s="467"/>
      <c r="AK51" s="467"/>
    </row>
    <row r="52" spans="1:39" ht="15" customHeight="1" thickBot="1">
      <c r="A52" s="2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2"/>
      <c r="M52" s="30"/>
      <c r="N52" s="467"/>
      <c r="O52" s="467"/>
      <c r="P52" s="467"/>
      <c r="Q52" s="467"/>
      <c r="R52" s="467"/>
      <c r="S52" s="467"/>
      <c r="T52" s="467"/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</row>
    <row r="53" spans="1:39" ht="1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467"/>
      <c r="O53" s="467"/>
      <c r="P53" s="467"/>
      <c r="Q53" s="467"/>
      <c r="R53" s="467"/>
      <c r="S53" s="467"/>
      <c r="T53" s="467"/>
      <c r="U53" s="467"/>
      <c r="V53" s="467"/>
      <c r="W53" s="467"/>
      <c r="X53" s="467"/>
      <c r="Y53" s="467"/>
      <c r="Z53" s="467"/>
      <c r="AA53" s="467"/>
      <c r="AB53" s="467"/>
      <c r="AC53" s="467"/>
      <c r="AD53" s="467"/>
      <c r="AE53" s="467"/>
      <c r="AF53" s="467"/>
      <c r="AG53" s="467"/>
      <c r="AH53" s="467"/>
      <c r="AI53" s="467"/>
      <c r="AJ53" s="467"/>
      <c r="AK53" s="467"/>
      <c r="AL53" s="30"/>
      <c r="AM53" s="30"/>
    </row>
    <row r="54" spans="1:39" ht="1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467"/>
      <c r="O54" s="467"/>
      <c r="P54" s="467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7"/>
      <c r="AE54" s="467"/>
      <c r="AF54" s="467"/>
      <c r="AG54" s="467"/>
      <c r="AH54" s="467"/>
      <c r="AI54" s="467"/>
      <c r="AJ54" s="467"/>
      <c r="AK54" s="467"/>
      <c r="AL54" s="30"/>
      <c r="AM54" s="30"/>
    </row>
    <row r="55" spans="1:39" ht="1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</row>
    <row r="56" spans="1:39" ht="1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</row>
    <row r="57" spans="1:39" ht="1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</row>
    <row r="58" spans="1:39" ht="1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</row>
    <row r="59" spans="1:39" ht="1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</row>
    <row r="60" spans="1:39" ht="1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</row>
    <row r="61" spans="1:39" ht="1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</row>
    <row r="62" spans="1:39" ht="1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</row>
    <row r="63" spans="1:39" ht="1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</row>
    <row r="64" spans="1:39" ht="1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</row>
    <row r="65" spans="1:39" ht="1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</row>
    <row r="66" spans="1:39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</row>
    <row r="67" spans="1:39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</row>
    <row r="68" spans="1:39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</row>
    <row r="69" spans="1:39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</row>
    <row r="70" spans="1:39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</row>
    <row r="71" spans="1:39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</row>
    <row r="72" spans="1:39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</row>
    <row r="73" spans="1:39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</row>
    <row r="74" spans="1:39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</row>
    <row r="75" spans="1:39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</row>
    <row r="76" spans="1:39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</row>
    <row r="77" spans="1:39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</row>
    <row r="78" spans="1:39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</row>
    <row r="79" spans="1:39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</row>
    <row r="80" spans="1:39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</row>
    <row r="81" spans="2:39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</row>
    <row r="82" spans="2:39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</row>
    <row r="83" spans="2:39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</row>
    <row r="84" spans="2:39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</row>
    <row r="85" spans="2:39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</row>
    <row r="86" spans="2:39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</row>
    <row r="87" spans="2:39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</row>
    <row r="88" spans="2:39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</row>
    <row r="89" spans="2:39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</row>
    <row r="90" spans="2:39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</row>
    <row r="91" spans="2:39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</row>
    <row r="92" spans="2:39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</row>
    <row r="93" spans="2:39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</row>
    <row r="94" spans="2:39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</row>
    <row r="95" spans="2:39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</row>
    <row r="96" spans="2:39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</row>
    <row r="97" spans="2:39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</row>
    <row r="98" spans="2:39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</row>
    <row r="99" spans="2:39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</row>
    <row r="100" spans="2:39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</row>
    <row r="101" spans="2:39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</row>
    <row r="102" spans="2:39" ht="1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</row>
    <row r="103" spans="2:39" ht="1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</row>
    <row r="104" spans="2:39" ht="1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</row>
    <row r="105" spans="2:39" ht="1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</row>
    <row r="106" spans="2:39" ht="1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</row>
    <row r="107" spans="2:39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</row>
    <row r="108" spans="2:39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</row>
    <row r="109" spans="2:39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</row>
    <row r="110" spans="2:39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</row>
    <row r="111" spans="2:39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</row>
    <row r="112" spans="2:39"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5:28"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5:28"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5:28"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5:28"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5:28"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5:28"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5:28"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5:28"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</sheetData>
  <mergeCells count="1">
    <mergeCell ref="K1:L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I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1" width="11.140625" style="21" customWidth="1"/>
    <col min="12" max="15" width="9.140625" style="21"/>
    <col min="16" max="16" width="9.42578125" style="21" customWidth="1"/>
    <col min="17" max="16384" width="9.140625" style="21"/>
  </cols>
  <sheetData>
    <row r="1" spans="1:24">
      <c r="A1" s="7">
        <v>22</v>
      </c>
      <c r="B1" s="26" t="s">
        <v>12</v>
      </c>
      <c r="C1" s="20"/>
      <c r="D1" s="20"/>
      <c r="E1" s="20"/>
      <c r="F1" s="20"/>
      <c r="G1" s="20"/>
      <c r="H1" s="20"/>
      <c r="I1" s="20"/>
      <c r="J1" s="1024" t="s">
        <v>24</v>
      </c>
      <c r="K1" s="1025"/>
      <c r="M1" s="1" t="s">
        <v>33</v>
      </c>
      <c r="N1" s="47" t="str">
        <f>VLOOKUP(A1,'Point Grid'!$L$8:$T$54,9,FALSE)</f>
        <v>Reserving - Chap 9: Bornhuetter Ferguson Method</v>
      </c>
      <c r="O1"/>
      <c r="P1"/>
      <c r="Q1"/>
      <c r="R1"/>
      <c r="S1"/>
      <c r="T1"/>
      <c r="U1"/>
      <c r="V1"/>
      <c r="W1"/>
    </row>
    <row r="2" spans="1:24">
      <c r="A2" s="22"/>
      <c r="B2" s="19"/>
      <c r="C2" s="19"/>
      <c r="D2" s="19"/>
      <c r="E2" s="19"/>
      <c r="F2" s="19"/>
      <c r="G2" s="19"/>
      <c r="H2" s="19"/>
      <c r="I2" s="19"/>
      <c r="J2" s="19"/>
      <c r="K2" s="23"/>
      <c r="M2" s="1"/>
      <c r="N2"/>
      <c r="O2"/>
      <c r="P2"/>
      <c r="Q2"/>
      <c r="R2"/>
      <c r="S2"/>
      <c r="T2"/>
      <c r="U2"/>
      <c r="V2"/>
      <c r="W2"/>
    </row>
    <row r="3" spans="1:24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8"/>
      <c r="L3" s="30"/>
      <c r="M3" s="42" t="s">
        <v>2</v>
      </c>
      <c r="N3" s="467" t="s">
        <v>671</v>
      </c>
      <c r="O3"/>
      <c r="P3"/>
      <c r="Q3"/>
      <c r="R3"/>
      <c r="S3"/>
      <c r="T3"/>
      <c r="U3"/>
      <c r="V3"/>
      <c r="W3"/>
    </row>
    <row r="4" spans="1:24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8"/>
      <c r="L4" s="30"/>
      <c r="M4" s="467"/>
      <c r="N4" s="478" t="s">
        <v>672</v>
      </c>
      <c r="O4" s="467"/>
      <c r="P4" s="467"/>
      <c r="Q4" s="467"/>
      <c r="R4" s="467"/>
      <c r="S4" s="467"/>
      <c r="T4" s="467"/>
      <c r="U4" s="467"/>
      <c r="V4" s="467"/>
      <c r="W4" s="467"/>
      <c r="X4" s="467"/>
    </row>
    <row r="5" spans="1:24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L5" s="30"/>
      <c r="M5" s="467"/>
      <c r="N5" s="478" t="s">
        <v>673</v>
      </c>
      <c r="O5" s="467"/>
      <c r="P5" s="467"/>
      <c r="Q5" s="467"/>
      <c r="R5" s="467"/>
      <c r="S5" s="467"/>
      <c r="T5" s="467"/>
      <c r="U5" s="467"/>
      <c r="V5" s="467"/>
      <c r="W5" s="467"/>
      <c r="X5" s="467"/>
    </row>
    <row r="6" spans="1:24">
      <c r="A6" s="25" t="s">
        <v>2</v>
      </c>
      <c r="B6" s="17" t="s">
        <v>669</v>
      </c>
      <c r="C6" s="17"/>
      <c r="D6" s="17"/>
      <c r="E6" s="17"/>
      <c r="F6" s="17"/>
      <c r="G6" s="17"/>
      <c r="H6" s="17"/>
      <c r="I6" s="17"/>
      <c r="J6" s="17"/>
      <c r="K6" s="18"/>
      <c r="L6" s="30"/>
      <c r="M6" s="467"/>
      <c r="N6" s="478" t="s">
        <v>674</v>
      </c>
      <c r="O6" s="467"/>
      <c r="P6" s="467"/>
      <c r="Q6" s="467"/>
      <c r="R6" s="467"/>
      <c r="S6" s="467"/>
      <c r="T6" s="467"/>
      <c r="U6" s="467"/>
      <c r="V6" s="467"/>
      <c r="W6" s="467"/>
      <c r="X6" s="467"/>
    </row>
    <row r="7" spans="1:24" ht="15.75" thickBot="1">
      <c r="A7" s="9">
        <f>INDEX('Point Grid'!$C$8:$I$54,MATCH($A$1,'Point Grid'!$A$8:$A$54,0),MATCH(A6,'Point Grid'!$C$7:$I$7,0))</f>
        <v>0.25</v>
      </c>
      <c r="B7" s="17" t="s">
        <v>670</v>
      </c>
      <c r="C7" s="17"/>
      <c r="D7" s="17"/>
      <c r="E7" s="17"/>
      <c r="F7" s="17"/>
      <c r="G7" s="17"/>
      <c r="H7" s="17"/>
      <c r="I7" s="17"/>
      <c r="J7" s="17"/>
      <c r="K7" s="18"/>
      <c r="L7" s="30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</row>
    <row r="8" spans="1:24" ht="15.75" thickBot="1">
      <c r="A8" s="5"/>
      <c r="B8" s="17"/>
      <c r="C8" s="27"/>
      <c r="D8" s="27"/>
      <c r="E8" s="27"/>
      <c r="F8" s="27"/>
      <c r="G8" s="27"/>
      <c r="H8" s="27"/>
      <c r="I8" s="27"/>
      <c r="J8" s="27"/>
      <c r="K8" s="18"/>
      <c r="L8" s="30"/>
      <c r="M8" s="479" t="s">
        <v>3</v>
      </c>
      <c r="N8" s="675" t="s">
        <v>59</v>
      </c>
      <c r="O8" s="676" t="s">
        <v>676</v>
      </c>
      <c r="P8" s="676"/>
      <c r="Q8" s="676"/>
      <c r="R8" s="677"/>
      <c r="S8" s="477"/>
      <c r="T8" s="477"/>
      <c r="U8" s="477"/>
      <c r="V8" s="477"/>
      <c r="W8" s="477"/>
      <c r="X8" s="477"/>
    </row>
    <row r="9" spans="1:24">
      <c r="A9" s="25"/>
      <c r="B9" s="17"/>
      <c r="C9" s="17"/>
      <c r="D9" s="17"/>
      <c r="E9" s="17"/>
      <c r="F9" s="17"/>
      <c r="G9" s="17"/>
      <c r="H9" s="17"/>
      <c r="I9" s="17"/>
      <c r="J9" s="17"/>
      <c r="K9" s="18"/>
      <c r="L9" s="30"/>
      <c r="M9" s="205" t="s">
        <v>696</v>
      </c>
      <c r="N9" s="477"/>
      <c r="O9" s="477"/>
      <c r="P9" s="477"/>
      <c r="Q9" s="477"/>
      <c r="R9" s="477"/>
      <c r="S9" s="477"/>
      <c r="T9" s="477"/>
      <c r="U9" s="477"/>
      <c r="V9" s="477"/>
      <c r="W9" s="477"/>
      <c r="X9" s="477"/>
    </row>
    <row r="10" spans="1:24">
      <c r="A10" s="25" t="s">
        <v>3</v>
      </c>
      <c r="B10" s="151" t="s">
        <v>189</v>
      </c>
      <c r="C10" s="151"/>
      <c r="D10" s="219" t="s">
        <v>183</v>
      </c>
      <c r="E10" s="207" t="s">
        <v>190</v>
      </c>
      <c r="F10" s="674">
        <v>2024</v>
      </c>
      <c r="G10" s="151" t="s">
        <v>675</v>
      </c>
      <c r="H10" s="151"/>
      <c r="I10" s="151"/>
      <c r="J10" s="151"/>
      <c r="K10" s="18"/>
      <c r="L10" s="30"/>
      <c r="M10" s="467"/>
      <c r="N10" s="210" t="s">
        <v>99</v>
      </c>
      <c r="O10" s="477" t="s">
        <v>685</v>
      </c>
      <c r="P10" s="477"/>
      <c r="Q10" s="477"/>
      <c r="R10" s="477"/>
      <c r="S10" s="477"/>
      <c r="T10" s="477"/>
      <c r="U10" s="477"/>
      <c r="V10" s="477"/>
      <c r="W10" s="477"/>
      <c r="X10" s="477"/>
    </row>
    <row r="11" spans="1:24" ht="15.75" thickBot="1">
      <c r="A11" s="9">
        <f>INDEX('Point Grid'!$C$8:$I$54,MATCH($A$1,'Point Grid'!$A$8:$A$54,0),MATCH(A10,'Point Grid'!$C$7:$I$7,0))</f>
        <v>1.75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8"/>
      <c r="L11" s="30"/>
      <c r="M11" s="467"/>
      <c r="N11" s="477"/>
      <c r="O11" s="481" t="s">
        <v>34</v>
      </c>
      <c r="P11" s="481" t="s">
        <v>686</v>
      </c>
      <c r="Q11" s="481" t="s">
        <v>148</v>
      </c>
      <c r="R11" s="481" t="s">
        <v>203</v>
      </c>
      <c r="S11" s="477"/>
      <c r="T11" s="477"/>
      <c r="U11" s="477"/>
      <c r="V11" s="477"/>
      <c r="W11" s="477"/>
      <c r="X11" s="477"/>
    </row>
    <row r="12" spans="1:24" ht="15.75" thickBot="1">
      <c r="A12" s="5"/>
      <c r="B12" s="207" t="s">
        <v>59</v>
      </c>
      <c r="C12" s="151" t="s">
        <v>676</v>
      </c>
      <c r="D12" s="151"/>
      <c r="E12" s="151"/>
      <c r="F12" s="151"/>
      <c r="G12" s="151"/>
      <c r="H12" s="151"/>
      <c r="I12" s="151"/>
      <c r="J12" s="151"/>
      <c r="K12" s="18"/>
      <c r="L12" s="30"/>
      <c r="M12" s="467"/>
      <c r="N12" s="477"/>
      <c r="O12" s="481" t="s">
        <v>34</v>
      </c>
      <c r="P12" s="481">
        <f>E19</f>
        <v>860</v>
      </c>
      <c r="Q12" s="481" t="s">
        <v>148</v>
      </c>
      <c r="R12" s="282">
        <f>E20</f>
        <v>1.1000000000000001</v>
      </c>
      <c r="S12" s="477"/>
      <c r="T12" s="477"/>
      <c r="U12" s="477"/>
      <c r="V12" s="477"/>
      <c r="W12" s="477"/>
      <c r="X12" s="477"/>
    </row>
    <row r="13" spans="1:24">
      <c r="A13" s="25"/>
      <c r="B13" s="207" t="s">
        <v>60</v>
      </c>
      <c r="C13" s="151" t="s">
        <v>677</v>
      </c>
      <c r="D13" s="151"/>
      <c r="E13" s="151"/>
      <c r="F13" s="151"/>
      <c r="G13" s="151"/>
      <c r="H13" s="151"/>
      <c r="I13" s="151"/>
      <c r="J13" s="151"/>
      <c r="K13" s="18"/>
      <c r="L13" s="30"/>
      <c r="M13" s="467"/>
      <c r="N13" s="477"/>
      <c r="O13" s="481" t="s">
        <v>34</v>
      </c>
      <c r="P13" s="205">
        <f>P12*R12</f>
        <v>946.00000000000011</v>
      </c>
      <c r="Q13" s="481"/>
      <c r="R13" s="481"/>
      <c r="S13" s="477"/>
      <c r="T13" s="477"/>
      <c r="U13" s="477"/>
      <c r="V13" s="477"/>
      <c r="W13" s="477"/>
      <c r="X13" s="477"/>
    </row>
    <row r="14" spans="1:24">
      <c r="A14" s="25"/>
      <c r="B14" s="151"/>
      <c r="C14" s="151"/>
      <c r="D14" s="151"/>
      <c r="E14" s="669"/>
      <c r="F14" s="151"/>
      <c r="G14" s="151"/>
      <c r="H14" s="151"/>
      <c r="I14" s="151"/>
      <c r="J14" s="151"/>
      <c r="K14" s="18"/>
      <c r="L14" s="30"/>
      <c r="M14" s="467"/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</row>
    <row r="15" spans="1:24">
      <c r="A15" s="25"/>
      <c r="B15" s="151" t="s">
        <v>678</v>
      </c>
      <c r="C15" s="151"/>
      <c r="D15" s="151"/>
      <c r="E15" s="151"/>
      <c r="F15" s="151"/>
      <c r="G15" s="151"/>
      <c r="H15" s="151"/>
      <c r="I15" s="151"/>
      <c r="J15" s="151"/>
      <c r="K15" s="18"/>
      <c r="L15" s="30"/>
      <c r="M15" s="467"/>
      <c r="N15" s="182" t="s">
        <v>100</v>
      </c>
      <c r="O15" s="477" t="s">
        <v>687</v>
      </c>
      <c r="P15" s="477"/>
      <c r="Q15" s="477"/>
      <c r="R15" s="477"/>
      <c r="S15" s="477"/>
      <c r="T15" s="477"/>
      <c r="U15" s="477"/>
      <c r="V15" s="477"/>
      <c r="W15" s="477"/>
      <c r="X15" s="477"/>
    </row>
    <row r="16" spans="1:24">
      <c r="A16" s="25"/>
      <c r="B16" s="151"/>
      <c r="C16" s="151"/>
      <c r="D16" s="151"/>
      <c r="E16" s="669"/>
      <c r="F16" s="151"/>
      <c r="G16" s="151"/>
      <c r="H16" s="151"/>
      <c r="I16" s="151"/>
      <c r="J16" s="151"/>
      <c r="K16" s="18"/>
      <c r="L16" s="30"/>
      <c r="M16" s="467"/>
      <c r="N16" s="477"/>
      <c r="O16" s="481" t="s">
        <v>34</v>
      </c>
      <c r="P16" s="481" t="s">
        <v>183</v>
      </c>
      <c r="Q16" s="481" t="s">
        <v>104</v>
      </c>
      <c r="R16" s="481" t="s">
        <v>688</v>
      </c>
      <c r="S16" s="477"/>
      <c r="T16" s="477"/>
      <c r="U16" s="477"/>
      <c r="V16" s="477"/>
      <c r="W16" s="477"/>
      <c r="X16" s="477"/>
    </row>
    <row r="17" spans="1:35">
      <c r="A17" s="22"/>
      <c r="B17" s="273" t="s">
        <v>188</v>
      </c>
      <c r="C17" s="670"/>
      <c r="D17" s="274"/>
      <c r="E17" s="274">
        <v>1600</v>
      </c>
      <c r="F17" s="151"/>
      <c r="G17" s="151" t="s">
        <v>679</v>
      </c>
      <c r="H17" s="151"/>
      <c r="I17" s="151"/>
      <c r="J17" s="151"/>
      <c r="K17" s="18"/>
      <c r="L17" s="30"/>
      <c r="M17" s="467"/>
      <c r="N17" s="477"/>
      <c r="O17" s="481" t="s">
        <v>34</v>
      </c>
      <c r="P17" s="205">
        <f>P13</f>
        <v>946.00000000000011</v>
      </c>
      <c r="Q17" s="481" t="s">
        <v>104</v>
      </c>
      <c r="R17" s="481">
        <f>E21</f>
        <v>350</v>
      </c>
      <c r="S17" s="477"/>
      <c r="T17" s="477"/>
      <c r="U17" s="477"/>
      <c r="V17" s="477"/>
      <c r="W17" s="477"/>
      <c r="X17" s="477"/>
    </row>
    <row r="18" spans="1:35" ht="15" customHeight="1">
      <c r="A18" s="22"/>
      <c r="B18" s="307" t="s">
        <v>187</v>
      </c>
      <c r="C18" s="413"/>
      <c r="D18" s="308"/>
      <c r="E18" s="127">
        <v>0.69</v>
      </c>
      <c r="F18" s="151"/>
      <c r="G18" s="151" t="s">
        <v>680</v>
      </c>
      <c r="H18" s="673">
        <v>0.05</v>
      </c>
      <c r="I18" s="151" t="s">
        <v>681</v>
      </c>
      <c r="J18" s="151"/>
      <c r="K18" s="18"/>
      <c r="L18" s="30"/>
      <c r="M18" s="467"/>
      <c r="N18" s="477"/>
      <c r="O18" s="481" t="s">
        <v>34</v>
      </c>
      <c r="P18" s="288">
        <f>P17-R17</f>
        <v>596.00000000000011</v>
      </c>
      <c r="Q18" s="477"/>
      <c r="R18" s="477"/>
      <c r="S18" s="477"/>
      <c r="T18" s="477"/>
      <c r="U18" s="477"/>
      <c r="V18" s="477"/>
      <c r="W18" s="477"/>
      <c r="X18" s="477"/>
    </row>
    <row r="19" spans="1:35" ht="15" customHeight="1">
      <c r="A19" s="22"/>
      <c r="B19" s="279" t="s">
        <v>682</v>
      </c>
      <c r="C19" s="671"/>
      <c r="D19" s="275"/>
      <c r="E19" s="275">
        <v>860</v>
      </c>
      <c r="F19" s="151"/>
      <c r="G19" s="151"/>
      <c r="H19" s="151"/>
      <c r="I19" s="151"/>
      <c r="J19" s="151"/>
      <c r="K19" s="18"/>
      <c r="L19" s="30"/>
      <c r="M19" s="46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</row>
    <row r="20" spans="1:35" ht="15" customHeight="1">
      <c r="A20" s="22"/>
      <c r="B20" s="279" t="s">
        <v>683</v>
      </c>
      <c r="C20" s="671"/>
      <c r="D20" s="275"/>
      <c r="E20" s="672">
        <v>1.1000000000000001</v>
      </c>
      <c r="F20" s="151"/>
      <c r="G20" s="151"/>
      <c r="H20" s="151"/>
      <c r="I20" s="151"/>
      <c r="J20" s="151"/>
      <c r="K20" s="18"/>
      <c r="L20" s="30"/>
      <c r="M20" s="467"/>
      <c r="N20" s="182" t="s">
        <v>150</v>
      </c>
      <c r="O20" s="477" t="s">
        <v>689</v>
      </c>
      <c r="P20" s="477"/>
      <c r="Q20" s="477"/>
      <c r="R20" s="477"/>
      <c r="S20" s="666">
        <f>H18</f>
        <v>0.05</v>
      </c>
      <c r="T20" s="477"/>
      <c r="U20" s="477"/>
      <c r="V20" s="477"/>
      <c r="W20" s="477"/>
      <c r="X20" s="477"/>
    </row>
    <row r="21" spans="1:35" ht="15" customHeight="1">
      <c r="A21" s="22"/>
      <c r="B21" s="307" t="s">
        <v>684</v>
      </c>
      <c r="C21" s="413"/>
      <c r="D21" s="308"/>
      <c r="E21" s="308">
        <v>350</v>
      </c>
      <c r="F21" s="151"/>
      <c r="G21" s="151"/>
      <c r="H21" s="151"/>
      <c r="I21" s="151"/>
      <c r="J21" s="151"/>
      <c r="K21" s="18"/>
      <c r="L21" s="30"/>
      <c r="M21" s="467"/>
      <c r="N21" s="477"/>
      <c r="O21" s="477" t="s">
        <v>690</v>
      </c>
      <c r="P21" s="477"/>
      <c r="Q21" s="477"/>
      <c r="R21" s="477"/>
      <c r="S21" s="477"/>
      <c r="T21" s="477"/>
      <c r="U21" s="477"/>
      <c r="V21" s="477"/>
      <c r="W21" s="477"/>
      <c r="X21" s="477"/>
    </row>
    <row r="22" spans="1:35" ht="15" customHeight="1">
      <c r="A22" s="22"/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30"/>
      <c r="M22" s="467"/>
      <c r="N22" s="477"/>
      <c r="O22" s="481" t="s">
        <v>34</v>
      </c>
      <c r="P22" s="288">
        <f>P18</f>
        <v>596.00000000000011</v>
      </c>
      <c r="Q22" s="481" t="s">
        <v>148</v>
      </c>
      <c r="R22" s="431">
        <f>1-S20</f>
        <v>0.95</v>
      </c>
      <c r="S22" s="477"/>
      <c r="T22" s="477"/>
      <c r="U22" s="477"/>
      <c r="V22" s="477"/>
      <c r="W22" s="477"/>
      <c r="X22" s="477"/>
    </row>
    <row r="23" spans="1:35" ht="15" customHeight="1">
      <c r="A23" s="22"/>
      <c r="B23" s="17"/>
      <c r="C23" s="17"/>
      <c r="D23" s="17"/>
      <c r="E23" s="17"/>
      <c r="F23" s="17"/>
      <c r="G23" s="17"/>
      <c r="H23" s="17"/>
      <c r="I23" s="17"/>
      <c r="J23" s="17"/>
      <c r="K23" s="18"/>
      <c r="L23" s="30"/>
      <c r="M23" s="467"/>
      <c r="N23" s="477"/>
      <c r="O23" s="481" t="s">
        <v>34</v>
      </c>
      <c r="P23" s="289">
        <f>P22*R22</f>
        <v>566.20000000000005</v>
      </c>
      <c r="Q23" s="477"/>
      <c r="R23" s="477"/>
      <c r="S23" s="477"/>
      <c r="T23" s="477"/>
      <c r="U23" s="477"/>
      <c r="V23" s="477"/>
      <c r="W23" s="477"/>
      <c r="X23" s="477"/>
    </row>
    <row r="24" spans="1:35" ht="15" customHeight="1">
      <c r="A24" s="22"/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30"/>
      <c r="M24" s="46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</row>
    <row r="25" spans="1:35" ht="15" customHeight="1">
      <c r="A25" s="22"/>
      <c r="B25" s="17"/>
      <c r="C25" s="17"/>
      <c r="D25" s="17"/>
      <c r="E25" s="17"/>
      <c r="F25" s="17"/>
      <c r="G25" s="17"/>
      <c r="H25" s="17"/>
      <c r="I25" s="17"/>
      <c r="J25" s="17"/>
      <c r="K25" s="18"/>
      <c r="L25" s="30"/>
      <c r="M25" s="467"/>
      <c r="N25" s="182" t="s">
        <v>209</v>
      </c>
      <c r="O25" s="477" t="s">
        <v>691</v>
      </c>
      <c r="P25" s="477"/>
      <c r="Q25" s="477"/>
      <c r="R25" s="477"/>
      <c r="S25" s="477"/>
      <c r="T25" s="477"/>
      <c r="U25" s="477"/>
      <c r="V25" s="477"/>
      <c r="W25" s="477"/>
      <c r="X25" s="477"/>
    </row>
    <row r="26" spans="1:35" ht="15" customHeight="1">
      <c r="A26" s="22"/>
      <c r="B26" s="17"/>
      <c r="C26" s="17"/>
      <c r="D26" s="17"/>
      <c r="E26" s="17"/>
      <c r="F26" s="17"/>
      <c r="G26" s="17"/>
      <c r="H26" s="17"/>
      <c r="I26" s="17"/>
      <c r="J26" s="17"/>
      <c r="K26" s="18"/>
      <c r="L26" s="30"/>
      <c r="M26" s="467"/>
      <c r="N26" s="477"/>
      <c r="O26" s="481" t="s">
        <v>34</v>
      </c>
      <c r="P26" s="477" t="s">
        <v>690</v>
      </c>
      <c r="Q26" s="477"/>
      <c r="R26" s="477"/>
      <c r="S26" s="481" t="s">
        <v>35</v>
      </c>
      <c r="T26" s="477" t="s">
        <v>688</v>
      </c>
      <c r="U26" s="477"/>
      <c r="V26" s="477"/>
      <c r="W26" s="477"/>
      <c r="X26" s="477"/>
    </row>
    <row r="27" spans="1:35" ht="15" customHeight="1">
      <c r="A27" s="22"/>
      <c r="B27" s="17"/>
      <c r="C27" s="17"/>
      <c r="D27" s="17"/>
      <c r="E27" s="17"/>
      <c r="F27" s="17"/>
      <c r="G27" s="17"/>
      <c r="H27" s="17"/>
      <c r="I27" s="17"/>
      <c r="J27" s="17"/>
      <c r="K27" s="18"/>
      <c r="L27" s="30"/>
      <c r="M27" s="467"/>
      <c r="N27" s="477"/>
      <c r="O27" s="481" t="s">
        <v>34</v>
      </c>
      <c r="P27" s="289">
        <f>P23</f>
        <v>566.20000000000005</v>
      </c>
      <c r="Q27" s="477"/>
      <c r="R27" s="477"/>
      <c r="S27" s="481" t="s">
        <v>35</v>
      </c>
      <c r="T27" s="481">
        <f>E21</f>
        <v>350</v>
      </c>
      <c r="U27" s="477"/>
      <c r="V27" s="477"/>
      <c r="W27" s="477"/>
      <c r="X27" s="477"/>
    </row>
    <row r="28" spans="1:35" ht="15" customHeight="1">
      <c r="A28" s="22"/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30"/>
      <c r="M28" s="467"/>
      <c r="N28" s="477"/>
      <c r="O28" s="481" t="s">
        <v>34</v>
      </c>
      <c r="P28" s="430">
        <f>P27+T27</f>
        <v>916.2</v>
      </c>
      <c r="Q28" s="192" t="s">
        <v>212</v>
      </c>
      <c r="R28" s="477"/>
      <c r="S28" s="477"/>
      <c r="T28" s="477"/>
      <c r="U28" s="477"/>
      <c r="V28" s="477"/>
      <c r="W28" s="477"/>
      <c r="X28" s="477"/>
    </row>
    <row r="29" spans="1:35" ht="15" customHeight="1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8"/>
      <c r="L29" s="30"/>
      <c r="M29" s="467"/>
      <c r="N29" s="477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130" t="s">
        <v>112</v>
      </c>
      <c r="AI29" s="92"/>
    </row>
    <row r="30" spans="1:35" ht="15" customHeight="1" thickBot="1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2"/>
      <c r="L30" s="30"/>
      <c r="M30" s="205" t="s">
        <v>576</v>
      </c>
      <c r="N30" s="678" t="s">
        <v>60</v>
      </c>
      <c r="O30" s="679" t="s">
        <v>677</v>
      </c>
      <c r="P30" s="679"/>
      <c r="Q30" s="679"/>
      <c r="R30" s="680"/>
      <c r="S30" s="134" t="s">
        <v>692</v>
      </c>
      <c r="T30" s="477"/>
      <c r="U30" s="477"/>
      <c r="V30" s="477"/>
      <c r="W30" s="477"/>
      <c r="X30" s="477"/>
      <c r="Y30" s="130" t="s">
        <v>112</v>
      </c>
      <c r="AI30" s="92"/>
    </row>
    <row r="31" spans="1:35" ht="15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46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130" t="s">
        <v>112</v>
      </c>
      <c r="AI31" s="92"/>
    </row>
    <row r="32" spans="1:35" ht="15" customHeight="1">
      <c r="L32" s="30"/>
      <c r="M32" s="467"/>
      <c r="N32" s="681" t="s">
        <v>226</v>
      </c>
      <c r="O32" s="477" t="s">
        <v>693</v>
      </c>
      <c r="P32" s="477"/>
      <c r="Q32" s="477"/>
      <c r="R32" s="477"/>
      <c r="S32" s="477"/>
      <c r="T32" s="477"/>
      <c r="U32" s="477"/>
      <c r="V32" s="477"/>
      <c r="W32" s="477"/>
      <c r="X32" s="477"/>
      <c r="Y32" s="130" t="s">
        <v>112</v>
      </c>
      <c r="AI32" s="92"/>
    </row>
    <row r="33" spans="2:35" ht="15" customHeight="1">
      <c r="L33" s="30"/>
      <c r="M33" s="467"/>
      <c r="N33" s="477"/>
      <c r="O33" s="481" t="s">
        <v>34</v>
      </c>
      <c r="P33" s="481" t="s">
        <v>187</v>
      </c>
      <c r="Q33" s="481" t="s">
        <v>148</v>
      </c>
      <c r="R33" s="481" t="s">
        <v>188</v>
      </c>
      <c r="S33" s="481"/>
      <c r="T33" s="481"/>
      <c r="U33" s="477"/>
      <c r="V33" s="477"/>
      <c r="W33" s="477"/>
      <c r="X33" s="477"/>
      <c r="Y33" s="130" t="s">
        <v>112</v>
      </c>
      <c r="AI33"/>
    </row>
    <row r="34" spans="2:35" ht="15" customHeight="1">
      <c r="L34" s="30"/>
      <c r="M34" s="467"/>
      <c r="N34" s="477"/>
      <c r="O34" s="481" t="s">
        <v>34</v>
      </c>
      <c r="P34" s="431">
        <f>E18</f>
        <v>0.69</v>
      </c>
      <c r="Q34" s="481" t="s">
        <v>35</v>
      </c>
      <c r="R34" s="481">
        <f>E17</f>
        <v>1600</v>
      </c>
      <c r="S34" s="481"/>
      <c r="T34" s="481"/>
      <c r="U34" s="477"/>
      <c r="V34" s="477"/>
      <c r="W34" s="477"/>
      <c r="X34" s="477"/>
      <c r="Y34" s="130" t="s">
        <v>112</v>
      </c>
      <c r="AI34"/>
    </row>
    <row r="35" spans="2:35" ht="15" customHeight="1">
      <c r="L35" s="30"/>
      <c r="M35" s="42"/>
      <c r="N35" s="477"/>
      <c r="O35" s="481" t="s">
        <v>34</v>
      </c>
      <c r="P35" s="682">
        <f>P34*R34</f>
        <v>1104</v>
      </c>
      <c r="Q35" s="481"/>
      <c r="R35" s="481"/>
      <c r="S35" s="481"/>
      <c r="T35" s="481"/>
      <c r="U35" s="477"/>
      <c r="V35" s="477"/>
      <c r="W35" s="477"/>
      <c r="X35" s="477"/>
      <c r="Y35" s="130" t="s">
        <v>112</v>
      </c>
      <c r="AI35"/>
    </row>
    <row r="36" spans="2:35" ht="15" customHeight="1">
      <c r="L36" s="30"/>
      <c r="M36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130" t="s">
        <v>112</v>
      </c>
      <c r="AI36"/>
    </row>
    <row r="37" spans="2:35" ht="15" customHeight="1">
      <c r="L37" s="30"/>
      <c r="M37"/>
      <c r="N37" s="681" t="s">
        <v>228</v>
      </c>
      <c r="O37" s="477" t="s">
        <v>694</v>
      </c>
      <c r="P37" s="477"/>
      <c r="Q37" s="477"/>
      <c r="R37" s="477"/>
      <c r="S37" s="477"/>
      <c r="T37" s="477"/>
      <c r="U37" s="477"/>
      <c r="V37" s="477"/>
      <c r="W37" s="477"/>
      <c r="X37" s="477"/>
      <c r="Y37" s="130" t="s">
        <v>112</v>
      </c>
      <c r="AI37" s="92"/>
    </row>
    <row r="38" spans="2:35" ht="15" customHeight="1">
      <c r="L38" s="30"/>
      <c r="M38"/>
      <c r="N38" s="477"/>
      <c r="O38" s="481" t="s">
        <v>34</v>
      </c>
      <c r="P38" s="477" t="s">
        <v>686</v>
      </c>
      <c r="Q38" s="481" t="s">
        <v>35</v>
      </c>
      <c r="R38" s="481" t="s">
        <v>192</v>
      </c>
      <c r="S38" s="481" t="s">
        <v>148</v>
      </c>
      <c r="T38" s="481" t="s">
        <v>695</v>
      </c>
      <c r="U38" s="477"/>
      <c r="V38" s="477"/>
      <c r="W38" s="477"/>
      <c r="X38" s="477"/>
      <c r="Y38" s="130" t="s">
        <v>112</v>
      </c>
      <c r="AI38" s="92"/>
    </row>
    <row r="39" spans="2:35" ht="15" customHeight="1">
      <c r="L39" s="30"/>
      <c r="M39"/>
      <c r="N39" s="477"/>
      <c r="O39" s="481" t="s">
        <v>34</v>
      </c>
      <c r="P39" s="481">
        <f>E19</f>
        <v>860</v>
      </c>
      <c r="Q39" s="481" t="s">
        <v>35</v>
      </c>
      <c r="R39" s="683">
        <f>1-1/E20</f>
        <v>9.0909090909090939E-2</v>
      </c>
      <c r="S39" s="481" t="s">
        <v>148</v>
      </c>
      <c r="T39" s="682">
        <f>P35</f>
        <v>1104</v>
      </c>
      <c r="U39" s="477"/>
      <c r="V39" s="477"/>
      <c r="W39" s="477"/>
      <c r="X39" s="477"/>
      <c r="Y39" s="130" t="s">
        <v>112</v>
      </c>
      <c r="AI39" s="92"/>
    </row>
    <row r="40" spans="2:35" ht="15" customHeight="1">
      <c r="L40" s="30"/>
      <c r="M40"/>
      <c r="N40" s="477"/>
      <c r="O40" s="481" t="s">
        <v>34</v>
      </c>
      <c r="P40" s="205">
        <f>P39+R39*T39</f>
        <v>960.36363636363637</v>
      </c>
      <c r="Q40" s="481"/>
      <c r="R40" s="481"/>
      <c r="S40" s="481"/>
      <c r="T40" s="481"/>
      <c r="U40" s="477"/>
      <c r="V40" s="477"/>
      <c r="W40" s="477"/>
      <c r="X40" s="477"/>
      <c r="Y40" s="130" t="s">
        <v>112</v>
      </c>
      <c r="AI40" s="92"/>
    </row>
    <row r="41" spans="2:35" ht="15" customHeight="1">
      <c r="L41" s="30"/>
      <c r="M41"/>
      <c r="N41" s="477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130" t="s">
        <v>112</v>
      </c>
      <c r="AI41" s="92"/>
    </row>
    <row r="42" spans="2:35" ht="15" customHeight="1">
      <c r="L42" s="30"/>
      <c r="M42"/>
      <c r="N42" s="221" t="s">
        <v>100</v>
      </c>
      <c r="O42" s="477" t="s">
        <v>687</v>
      </c>
      <c r="P42" s="477"/>
      <c r="Q42" s="477"/>
      <c r="R42" s="477"/>
      <c r="S42" s="477"/>
      <c r="T42" s="477"/>
      <c r="U42" s="477"/>
      <c r="V42" s="477"/>
      <c r="W42" s="477"/>
      <c r="X42" s="477"/>
      <c r="Y42" s="130" t="s">
        <v>112</v>
      </c>
      <c r="AI42" s="92"/>
    </row>
    <row r="43" spans="2:35" ht="15" customHeight="1">
      <c r="L43" s="30"/>
      <c r="M43"/>
      <c r="N43" s="477"/>
      <c r="O43" s="481" t="s">
        <v>34</v>
      </c>
      <c r="P43" s="481" t="s">
        <v>183</v>
      </c>
      <c r="Q43" s="481" t="s">
        <v>104</v>
      </c>
      <c r="R43" s="481" t="s">
        <v>688</v>
      </c>
      <c r="S43" s="477"/>
      <c r="T43" s="477"/>
      <c r="U43" s="477"/>
      <c r="V43" s="477"/>
      <c r="W43" s="477"/>
      <c r="X43" s="477"/>
      <c r="Y43" s="130" t="s">
        <v>112</v>
      </c>
      <c r="AI43" s="92"/>
    </row>
    <row r="44" spans="2:35" ht="15" customHeight="1">
      <c r="L44" s="30"/>
      <c r="M44"/>
      <c r="N44" s="477"/>
      <c r="O44" s="481" t="s">
        <v>34</v>
      </c>
      <c r="P44" s="205">
        <f>P40</f>
        <v>960.36363636363637</v>
      </c>
      <c r="Q44" s="481" t="s">
        <v>104</v>
      </c>
      <c r="R44" s="481">
        <f>E21</f>
        <v>350</v>
      </c>
      <c r="S44" s="477"/>
      <c r="T44" s="477"/>
      <c r="U44" s="477"/>
      <c r="V44" s="477"/>
      <c r="W44" s="477"/>
      <c r="X44" s="477"/>
      <c r="Y44" s="130" t="s">
        <v>112</v>
      </c>
      <c r="AI44" s="92"/>
    </row>
    <row r="45" spans="2:35" ht="15" customHeight="1">
      <c r="L45" s="30"/>
      <c r="M45"/>
      <c r="N45" s="477"/>
      <c r="O45" s="481" t="s">
        <v>34</v>
      </c>
      <c r="P45" s="288">
        <f>P44-R44</f>
        <v>610.36363636363637</v>
      </c>
      <c r="Q45" s="477"/>
      <c r="R45" s="477"/>
      <c r="S45" s="477"/>
      <c r="T45" s="477"/>
      <c r="U45" s="477"/>
      <c r="V45" s="477"/>
      <c r="W45" s="477"/>
      <c r="X45" s="477"/>
      <c r="Y45" s="130" t="s">
        <v>112</v>
      </c>
      <c r="AI45" s="92"/>
    </row>
    <row r="46" spans="2:35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/>
      <c r="N46" s="477"/>
      <c r="O46" s="477"/>
      <c r="P46" s="477"/>
      <c r="Q46" s="477"/>
      <c r="R46" s="477"/>
      <c r="S46" s="477"/>
      <c r="T46" s="477"/>
      <c r="U46" s="477"/>
      <c r="V46" s="477"/>
      <c r="W46" s="477"/>
      <c r="X46" s="477"/>
      <c r="Y46" s="130" t="s">
        <v>112</v>
      </c>
      <c r="AI46" s="92"/>
    </row>
    <row r="47" spans="2:35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/>
      <c r="N47" s="221" t="s">
        <v>150</v>
      </c>
      <c r="O47" s="477" t="s">
        <v>689</v>
      </c>
      <c r="P47" s="477"/>
      <c r="Q47" s="477"/>
      <c r="R47" s="477"/>
      <c r="S47" s="666">
        <f>H18</f>
        <v>0.05</v>
      </c>
      <c r="T47" s="477"/>
      <c r="U47" s="477"/>
      <c r="V47" s="477"/>
      <c r="W47" s="477"/>
      <c r="X47" s="477"/>
      <c r="Y47" s="130" t="s">
        <v>112</v>
      </c>
      <c r="AI47" s="92"/>
    </row>
    <row r="48" spans="2:35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/>
      <c r="N48" s="477"/>
      <c r="O48" s="477" t="s">
        <v>690</v>
      </c>
      <c r="P48" s="477"/>
      <c r="Q48" s="477"/>
      <c r="R48" s="477"/>
      <c r="S48" s="477"/>
      <c r="T48" s="477"/>
      <c r="U48" s="477"/>
      <c r="V48" s="477"/>
      <c r="W48" s="477"/>
      <c r="X48" s="477"/>
      <c r="Y48" s="130" t="s">
        <v>112</v>
      </c>
      <c r="Z48" s="92"/>
      <c r="AA48" s="92"/>
      <c r="AB48" s="92"/>
      <c r="AC48" s="92"/>
      <c r="AD48" s="92"/>
      <c r="AE48" s="92"/>
      <c r="AF48" s="92"/>
      <c r="AG48" s="92"/>
      <c r="AH48" s="92"/>
      <c r="AI48" s="92"/>
    </row>
    <row r="49" spans="2:24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/>
      <c r="N49" s="477"/>
      <c r="O49" s="481" t="s">
        <v>34</v>
      </c>
      <c r="P49" s="288">
        <f>P45</f>
        <v>610.36363636363637</v>
      </c>
      <c r="Q49" s="481" t="s">
        <v>148</v>
      </c>
      <c r="R49" s="431">
        <f>1-S47</f>
        <v>0.95</v>
      </c>
      <c r="S49" s="477"/>
      <c r="T49" s="477"/>
      <c r="U49" s="477"/>
      <c r="V49" s="477"/>
      <c r="W49" s="477"/>
      <c r="X49" s="477"/>
    </row>
    <row r="50" spans="2:24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/>
      <c r="N50" s="477"/>
      <c r="O50" s="481" t="s">
        <v>34</v>
      </c>
      <c r="P50" s="289">
        <f>P49*R49</f>
        <v>579.84545454545457</v>
      </c>
      <c r="Q50" s="477"/>
      <c r="R50" s="477"/>
      <c r="S50" s="477"/>
      <c r="T50" s="477"/>
      <c r="U50" s="477"/>
      <c r="V50" s="477"/>
      <c r="W50" s="477"/>
      <c r="X50" s="477"/>
    </row>
    <row r="51" spans="2:24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</row>
    <row r="52" spans="2:24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N52" s="221" t="s">
        <v>209</v>
      </c>
      <c r="O52" s="477" t="s">
        <v>691</v>
      </c>
      <c r="P52" s="477"/>
      <c r="Q52" s="477"/>
      <c r="R52" s="477"/>
      <c r="S52" s="477"/>
      <c r="T52" s="477"/>
      <c r="U52" s="477"/>
      <c r="V52" s="477"/>
      <c r="W52" s="477"/>
      <c r="X52" s="477"/>
    </row>
    <row r="53" spans="2:24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N53" s="477"/>
      <c r="O53" s="481" t="s">
        <v>34</v>
      </c>
      <c r="P53" s="477" t="s">
        <v>690</v>
      </c>
      <c r="Q53" s="477"/>
      <c r="R53" s="477"/>
      <c r="S53" s="481" t="s">
        <v>35</v>
      </c>
      <c r="T53" s="477" t="s">
        <v>688</v>
      </c>
      <c r="U53" s="477"/>
      <c r="V53" s="477"/>
      <c r="W53" s="477"/>
      <c r="X53" s="477"/>
    </row>
    <row r="54" spans="2:24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N54" s="477"/>
      <c r="O54" s="481" t="s">
        <v>34</v>
      </c>
      <c r="P54" s="289">
        <f>P50</f>
        <v>579.84545454545457</v>
      </c>
      <c r="Q54" s="477"/>
      <c r="R54" s="477"/>
      <c r="S54" s="481" t="s">
        <v>35</v>
      </c>
      <c r="T54" s="481">
        <f>E21</f>
        <v>350</v>
      </c>
      <c r="U54" s="477"/>
      <c r="V54" s="477"/>
      <c r="W54" s="477"/>
      <c r="X54" s="477"/>
    </row>
    <row r="55" spans="2:24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N55" s="477"/>
      <c r="O55" s="481" t="s">
        <v>34</v>
      </c>
      <c r="P55" s="430">
        <f>P54+T54</f>
        <v>929.84545454545457</v>
      </c>
      <c r="Q55" s="192" t="s">
        <v>212</v>
      </c>
      <c r="R55" s="477"/>
      <c r="S55" s="477"/>
      <c r="T55" s="477"/>
      <c r="U55" s="477"/>
      <c r="V55" s="477"/>
      <c r="W55" s="477"/>
      <c r="X55" s="477"/>
    </row>
    <row r="56" spans="2:24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2:24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2:24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2:24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24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2:24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2:24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2:24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2:24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2:12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2:12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2:12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2:12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2:12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2:12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2:12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2:12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2:12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2:12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2:12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2:12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2:12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2:12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2:12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2:12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2:12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2:12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2:12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</row>
    <row r="86" spans="2:12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2:12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2:12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2:12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0" spans="2:12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1" spans="2:12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</row>
    <row r="92" spans="2:12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</row>
    <row r="93" spans="2:12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</row>
    <row r="94" spans="2:12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</row>
    <row r="95" spans="2:12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</row>
    <row r="96" spans="2:12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2:12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</row>
    <row r="98" spans="2:12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</row>
    <row r="99" spans="2:12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</row>
    <row r="100" spans="2:12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2:12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</row>
  </sheetData>
  <mergeCells count="1">
    <mergeCell ref="J1:K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K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0" width="11.140625" style="21" customWidth="1"/>
    <col min="11" max="16384" width="9.140625" style="21"/>
  </cols>
  <sheetData>
    <row r="1" spans="1:26">
      <c r="A1" s="7">
        <v>23</v>
      </c>
      <c r="B1" s="26" t="s">
        <v>12</v>
      </c>
      <c r="C1" s="20"/>
      <c r="D1" s="20"/>
      <c r="E1" s="20"/>
      <c r="F1" s="20"/>
      <c r="G1" s="20"/>
      <c r="H1" s="20"/>
      <c r="I1" s="1024" t="s">
        <v>24</v>
      </c>
      <c r="J1" s="1025"/>
      <c r="L1" s="476" t="s">
        <v>33</v>
      </c>
      <c r="M1" s="429" t="str">
        <f>VLOOKUP(A1,'Point Grid'!$L$8:$T$54,9,FALSE)</f>
        <v>Reserving - Chap 10: Cape Cod Method</v>
      </c>
      <c r="N1" s="467"/>
      <c r="O1" s="467"/>
      <c r="P1" s="467"/>
      <c r="Q1" s="467"/>
      <c r="R1" s="467"/>
      <c r="S1" s="467"/>
      <c r="T1" s="467"/>
      <c r="U1" s="467"/>
      <c r="V1" s="467"/>
    </row>
    <row r="2" spans="1:26">
      <c r="A2" s="22"/>
      <c r="B2" s="19"/>
      <c r="C2" s="19"/>
      <c r="D2" s="19"/>
      <c r="E2" s="19"/>
      <c r="F2" s="19"/>
      <c r="G2" s="19"/>
      <c r="H2" s="19"/>
      <c r="I2" s="19"/>
      <c r="J2" s="23"/>
      <c r="L2" s="476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</row>
    <row r="3" spans="1:26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  <c r="K3" s="30"/>
      <c r="L3" s="479" t="s">
        <v>2</v>
      </c>
      <c r="M3" s="720" t="s">
        <v>485</v>
      </c>
      <c r="N3" s="723" t="s">
        <v>709</v>
      </c>
      <c r="O3" s="721"/>
      <c r="P3" s="721"/>
      <c r="Q3" s="721"/>
      <c r="R3" s="721"/>
      <c r="S3" s="721"/>
      <c r="T3" s="721"/>
      <c r="U3" s="721"/>
      <c r="V3" s="722"/>
    </row>
    <row r="4" spans="1:26">
      <c r="A4" s="9">
        <f>INDEX('Point Grid'!B:B,MATCH(A1,'Point Grid'!A:A,0))</f>
        <v>2.25</v>
      </c>
      <c r="B4" s="17"/>
      <c r="C4" s="17"/>
      <c r="D4" s="17"/>
      <c r="E4" s="17"/>
      <c r="F4" s="17"/>
      <c r="G4" s="17"/>
      <c r="H4" s="17"/>
      <c r="I4" s="17"/>
      <c r="J4" s="18"/>
      <c r="K4" s="30"/>
      <c r="L4" s="479"/>
    </row>
    <row r="5" spans="1:26">
      <c r="A5" s="16"/>
      <c r="B5" s="17"/>
      <c r="C5" s="17"/>
      <c r="D5" s="17"/>
      <c r="E5" s="17"/>
      <c r="F5" s="17"/>
      <c r="G5" s="17"/>
      <c r="H5" s="17"/>
      <c r="I5" s="17"/>
      <c r="J5" s="18"/>
      <c r="K5" s="30"/>
      <c r="L5" s="479"/>
      <c r="M5" s="268" t="s">
        <v>99</v>
      </c>
      <c r="N5" s="228" t="s">
        <v>198</v>
      </c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</row>
    <row r="6" spans="1:26" ht="15" customHeight="1">
      <c r="A6" s="25" t="s">
        <v>2</v>
      </c>
      <c r="B6" s="691" t="s">
        <v>189</v>
      </c>
      <c r="C6" s="691"/>
      <c r="D6" s="219" t="s">
        <v>183</v>
      </c>
      <c r="E6" s="692" t="s">
        <v>190</v>
      </c>
      <c r="F6" s="674">
        <v>2022</v>
      </c>
      <c r="G6" s="691" t="s">
        <v>202</v>
      </c>
      <c r="H6" s="691"/>
      <c r="I6" s="691"/>
      <c r="J6" s="18"/>
      <c r="K6" s="30"/>
      <c r="L6" s="479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</row>
    <row r="7" spans="1:26" ht="15" customHeight="1" thickBot="1">
      <c r="A7" s="9">
        <f>INDEX('Point Grid'!$C$8:$I$54,MATCH($A$1,'Point Grid'!$A$8:$A$54,0),MATCH(A6,'Point Grid'!$C$7:$I$7,0))</f>
        <v>2.25</v>
      </c>
      <c r="B7" s="691"/>
      <c r="C7" s="691"/>
      <c r="D7" s="691"/>
      <c r="E7" s="691"/>
      <c r="F7" s="691"/>
      <c r="G7" s="691"/>
      <c r="H7" s="691"/>
      <c r="I7" s="691"/>
      <c r="J7" s="18"/>
      <c r="K7" s="30"/>
      <c r="L7" s="479"/>
      <c r="M7" s="477"/>
      <c r="N7" s="280" t="s">
        <v>83</v>
      </c>
      <c r="O7" s="238" t="s">
        <v>199</v>
      </c>
      <c r="P7" s="238" t="s">
        <v>148</v>
      </c>
      <c r="Q7" s="238" t="s">
        <v>200</v>
      </c>
      <c r="R7" s="238" t="s">
        <v>148</v>
      </c>
      <c r="S7" s="238" t="s">
        <v>702</v>
      </c>
      <c r="T7" s="238" t="s">
        <v>34</v>
      </c>
      <c r="U7" s="237" t="s">
        <v>201</v>
      </c>
      <c r="V7" s="237"/>
      <c r="W7" s="237"/>
      <c r="X7" s="477"/>
      <c r="Y7" s="477"/>
    </row>
    <row r="8" spans="1:26" ht="15.75" thickBot="1">
      <c r="A8" s="5"/>
      <c r="B8" s="691"/>
      <c r="C8" s="691"/>
      <c r="D8" s="691"/>
      <c r="E8" s="691"/>
      <c r="F8" s="691"/>
      <c r="G8" s="691"/>
      <c r="H8" s="691"/>
      <c r="I8" s="691"/>
      <c r="J8" s="18"/>
      <c r="K8" s="30"/>
      <c r="L8" s="467"/>
      <c r="M8" s="477"/>
      <c r="N8" s="281">
        <f>B12</f>
        <v>2022</v>
      </c>
      <c r="O8" s="481">
        <f>E12</f>
        <v>22</v>
      </c>
      <c r="P8" s="481" t="s">
        <v>148</v>
      </c>
      <c r="Q8" s="282">
        <f>F12</f>
        <v>1.125</v>
      </c>
      <c r="R8" s="481" t="s">
        <v>148</v>
      </c>
      <c r="S8" s="271">
        <f>G12</f>
        <v>0.84</v>
      </c>
      <c r="T8" s="481" t="s">
        <v>34</v>
      </c>
      <c r="U8" s="714">
        <f>O8*Q8*S8</f>
        <v>20.79</v>
      </c>
      <c r="V8" s="467"/>
      <c r="W8" s="467"/>
      <c r="X8" s="477"/>
      <c r="Y8" s="477"/>
    </row>
    <row r="9" spans="1:26">
      <c r="A9" s="25"/>
      <c r="B9" s="693"/>
      <c r="C9" s="694"/>
      <c r="D9" s="694"/>
      <c r="E9" s="694"/>
      <c r="F9" s="694" t="s">
        <v>137</v>
      </c>
      <c r="G9" s="694" t="s">
        <v>697</v>
      </c>
      <c r="H9" s="695" t="s">
        <v>698</v>
      </c>
      <c r="I9" s="691"/>
      <c r="J9" s="18"/>
      <c r="K9" s="30"/>
      <c r="L9" s="479"/>
      <c r="M9" s="477"/>
      <c r="N9" s="281">
        <f>N8+1</f>
        <v>2023</v>
      </c>
      <c r="O9" s="481">
        <f>E13</f>
        <v>20</v>
      </c>
      <c r="P9" s="481" t="s">
        <v>148</v>
      </c>
      <c r="Q9" s="282">
        <f>F13</f>
        <v>1.0820000000000001</v>
      </c>
      <c r="R9" s="481" t="s">
        <v>148</v>
      </c>
      <c r="S9" s="271">
        <f>G13</f>
        <v>0.84</v>
      </c>
      <c r="T9" s="481" t="s">
        <v>34</v>
      </c>
      <c r="U9" s="714">
        <f>O9*Q9*S9</f>
        <v>18.177599999999998</v>
      </c>
      <c r="V9" s="477"/>
      <c r="W9" s="477"/>
      <c r="X9" s="477"/>
      <c r="Y9" s="477"/>
    </row>
    <row r="10" spans="1:26">
      <c r="A10" s="25"/>
      <c r="B10" s="696"/>
      <c r="C10" s="697"/>
      <c r="D10" s="697" t="s">
        <v>699</v>
      </c>
      <c r="E10" s="697" t="s">
        <v>84</v>
      </c>
      <c r="F10" s="698" t="s">
        <v>139</v>
      </c>
      <c r="G10" s="697" t="s">
        <v>700</v>
      </c>
      <c r="H10" s="699" t="s">
        <v>241</v>
      </c>
      <c r="I10" s="700"/>
      <c r="J10" s="18"/>
      <c r="K10" s="30"/>
      <c r="L10" s="467"/>
      <c r="M10" s="477"/>
      <c r="N10" s="281">
        <f>N9+1</f>
        <v>2024</v>
      </c>
      <c r="O10" s="481">
        <f>E14</f>
        <v>19</v>
      </c>
      <c r="P10" s="481" t="s">
        <v>148</v>
      </c>
      <c r="Q10" s="282">
        <f>F14</f>
        <v>1.04</v>
      </c>
      <c r="R10" s="481" t="s">
        <v>148</v>
      </c>
      <c r="S10" s="271">
        <f>G14</f>
        <v>0.91520000000000001</v>
      </c>
      <c r="T10" s="481" t="s">
        <v>34</v>
      </c>
      <c r="U10" s="714">
        <f>O10*Q10*S10</f>
        <v>18.084352000000003</v>
      </c>
      <c r="V10" s="477"/>
      <c r="W10" s="477"/>
      <c r="X10" s="477"/>
      <c r="Y10" s="477"/>
    </row>
    <row r="11" spans="1:26">
      <c r="A11" s="25"/>
      <c r="B11" s="701" t="s">
        <v>83</v>
      </c>
      <c r="C11" s="702" t="s">
        <v>188</v>
      </c>
      <c r="D11" s="702" t="s">
        <v>701</v>
      </c>
      <c r="E11" s="702" t="s">
        <v>85</v>
      </c>
      <c r="F11" s="702" t="s">
        <v>204</v>
      </c>
      <c r="G11" s="702" t="s">
        <v>204</v>
      </c>
      <c r="H11" s="703" t="s">
        <v>183</v>
      </c>
      <c r="I11" s="704"/>
      <c r="J11" s="18"/>
      <c r="K11" s="30"/>
      <c r="L11" s="467"/>
      <c r="M11" s="477"/>
      <c r="N11" s="281">
        <f>N10+1</f>
        <v>2025</v>
      </c>
      <c r="O11" s="481">
        <f>E15</f>
        <v>16</v>
      </c>
      <c r="P11" s="481" t="s">
        <v>148</v>
      </c>
      <c r="Q11" s="282">
        <f>F15</f>
        <v>1</v>
      </c>
      <c r="R11" s="481" t="s">
        <v>148</v>
      </c>
      <c r="S11" s="271">
        <f>G15</f>
        <v>1</v>
      </c>
      <c r="T11" s="481" t="s">
        <v>34</v>
      </c>
      <c r="U11" s="714">
        <f>O11*Q11*S11</f>
        <v>16</v>
      </c>
      <c r="V11" s="477"/>
      <c r="W11" s="477"/>
      <c r="X11" s="477"/>
      <c r="Y11" s="477"/>
    </row>
    <row r="12" spans="1:26">
      <c r="A12" s="25"/>
      <c r="B12" s="705">
        <v>2022</v>
      </c>
      <c r="C12" s="697">
        <v>30</v>
      </c>
      <c r="D12" s="706">
        <v>1.07</v>
      </c>
      <c r="E12" s="697">
        <v>22</v>
      </c>
      <c r="F12" s="707">
        <v>1.125</v>
      </c>
      <c r="G12" s="706">
        <v>0.84</v>
      </c>
      <c r="H12" s="708">
        <v>1.05</v>
      </c>
      <c r="I12" s="691"/>
      <c r="J12" s="18"/>
      <c r="K12" s="30"/>
      <c r="L12" s="467"/>
      <c r="M12" s="477"/>
      <c r="N12" s="283"/>
      <c r="O12" s="284"/>
      <c r="P12" s="284"/>
      <c r="Q12" s="284"/>
      <c r="R12" s="284"/>
      <c r="S12" s="284"/>
      <c r="T12" s="284"/>
      <c r="U12" s="715">
        <f>SUM(U8:U11)</f>
        <v>73.051952</v>
      </c>
      <c r="V12" s="284"/>
      <c r="W12" s="284"/>
      <c r="X12" s="477"/>
      <c r="Y12" s="477"/>
    </row>
    <row r="13" spans="1:26">
      <c r="A13" s="25"/>
      <c r="B13" s="705">
        <v>2023</v>
      </c>
      <c r="C13" s="697">
        <v>35</v>
      </c>
      <c r="D13" s="706">
        <v>0.99</v>
      </c>
      <c r="E13" s="697">
        <v>20</v>
      </c>
      <c r="F13" s="707">
        <v>1.0820000000000001</v>
      </c>
      <c r="G13" s="706">
        <v>0.84</v>
      </c>
      <c r="H13" s="708">
        <v>1.22</v>
      </c>
      <c r="I13" s="691"/>
      <c r="J13" s="18"/>
      <c r="K13" s="30"/>
      <c r="L13" s="479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</row>
    <row r="14" spans="1:26">
      <c r="A14" s="25"/>
      <c r="B14" s="705">
        <v>2024</v>
      </c>
      <c r="C14" s="697">
        <v>40</v>
      </c>
      <c r="D14" s="706">
        <v>0.93</v>
      </c>
      <c r="E14" s="697">
        <v>19</v>
      </c>
      <c r="F14" s="707">
        <v>1.04</v>
      </c>
      <c r="G14" s="706">
        <v>0.91520000000000001</v>
      </c>
      <c r="H14" s="708">
        <v>2.2000000000000002</v>
      </c>
      <c r="I14" s="691"/>
      <c r="J14" s="18"/>
      <c r="K14" s="30"/>
      <c r="L14" s="467"/>
      <c r="M14" s="318" t="s">
        <v>100</v>
      </c>
      <c r="N14" s="467" t="s">
        <v>205</v>
      </c>
      <c r="O14" s="467"/>
      <c r="P14" s="467"/>
      <c r="Q14" s="467"/>
      <c r="R14" s="467"/>
      <c r="S14" s="467"/>
      <c r="T14" s="477"/>
      <c r="U14" s="477"/>
      <c r="V14" s="477"/>
      <c r="W14" s="477"/>
      <c r="X14" s="477"/>
      <c r="Y14" s="477"/>
    </row>
    <row r="15" spans="1:26">
      <c r="A15" s="25"/>
      <c r="B15" s="709">
        <v>2025</v>
      </c>
      <c r="C15" s="710">
        <v>42</v>
      </c>
      <c r="D15" s="711">
        <v>1</v>
      </c>
      <c r="E15" s="710">
        <v>16</v>
      </c>
      <c r="F15" s="712">
        <v>1</v>
      </c>
      <c r="G15" s="711">
        <v>1</v>
      </c>
      <c r="H15" s="713">
        <v>3.5</v>
      </c>
      <c r="I15" s="691"/>
      <c r="J15" s="18"/>
      <c r="K15" s="30"/>
      <c r="L15" s="46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</row>
    <row r="16" spans="1:26">
      <c r="A16" s="22"/>
      <c r="B16" s="17"/>
      <c r="C16" s="17"/>
      <c r="D16" s="17"/>
      <c r="E16" s="17"/>
      <c r="F16" s="17"/>
      <c r="G16" s="17"/>
      <c r="H16" s="17"/>
      <c r="I16" s="17"/>
      <c r="J16" s="18"/>
      <c r="K16" s="30"/>
      <c r="L16" s="479"/>
      <c r="M16" s="477"/>
      <c r="N16" s="285" t="s">
        <v>206</v>
      </c>
      <c r="O16" s="238" t="s">
        <v>188</v>
      </c>
      <c r="P16" s="238" t="s">
        <v>148</v>
      </c>
      <c r="Q16" s="238" t="s">
        <v>699</v>
      </c>
      <c r="R16" s="286" t="s">
        <v>36</v>
      </c>
      <c r="S16" s="238" t="s">
        <v>203</v>
      </c>
      <c r="T16" s="238" t="s">
        <v>34</v>
      </c>
      <c r="U16" s="238" t="s">
        <v>207</v>
      </c>
      <c r="V16" s="477"/>
      <c r="W16" s="477"/>
      <c r="X16" s="477"/>
      <c r="Y16" s="477"/>
    </row>
    <row r="17" spans="1:37" ht="15.75" thickBot="1">
      <c r="A17" s="24"/>
      <c r="B17" s="31"/>
      <c r="C17" s="31"/>
      <c r="D17" s="31"/>
      <c r="E17" s="31"/>
      <c r="F17" s="31"/>
      <c r="G17" s="31"/>
      <c r="H17" s="31"/>
      <c r="I17" s="31"/>
      <c r="J17" s="32"/>
      <c r="K17" s="30"/>
      <c r="L17" s="467"/>
      <c r="M17" s="477"/>
      <c r="N17" s="281">
        <f>B12</f>
        <v>2022</v>
      </c>
      <c r="O17" s="481">
        <f>C12</f>
        <v>30</v>
      </c>
      <c r="P17" s="481" t="s">
        <v>148</v>
      </c>
      <c r="Q17" s="282">
        <f>D12</f>
        <v>1.07</v>
      </c>
      <c r="R17" s="236" t="s">
        <v>36</v>
      </c>
      <c r="S17" s="271">
        <f>H12</f>
        <v>1.05</v>
      </c>
      <c r="T17" s="481" t="s">
        <v>34</v>
      </c>
      <c r="U17" s="282">
        <f>O17*Q17/S17</f>
        <v>30.571428571428573</v>
      </c>
      <c r="V17" s="477"/>
      <c r="W17" s="477"/>
      <c r="X17" s="477"/>
      <c r="Y17" s="477"/>
    </row>
    <row r="18" spans="1:37" ht="15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479"/>
      <c r="M18" s="477"/>
      <c r="N18" s="281">
        <f>N17+1</f>
        <v>2023</v>
      </c>
      <c r="O18" s="481">
        <f>C13</f>
        <v>35</v>
      </c>
      <c r="P18" s="481" t="s">
        <v>148</v>
      </c>
      <c r="Q18" s="282">
        <f>D13</f>
        <v>0.99</v>
      </c>
      <c r="R18" s="236" t="s">
        <v>36</v>
      </c>
      <c r="S18" s="271">
        <f>H13</f>
        <v>1.22</v>
      </c>
      <c r="T18" s="481" t="s">
        <v>34</v>
      </c>
      <c r="U18" s="282">
        <f>O18*Q18/S18</f>
        <v>28.401639344262296</v>
      </c>
      <c r="V18" s="477"/>
      <c r="W18" s="477"/>
      <c r="X18" s="477"/>
      <c r="Y18" s="477"/>
      <c r="AK18" s="477"/>
    </row>
    <row r="19" spans="1:37" ht="15" customHeight="1">
      <c r="K19" s="30"/>
      <c r="L19" s="467"/>
      <c r="M19" s="477"/>
      <c r="N19" s="281">
        <f>N18+1</f>
        <v>2024</v>
      </c>
      <c r="O19" s="481">
        <f>C14</f>
        <v>40</v>
      </c>
      <c r="P19" s="481" t="s">
        <v>148</v>
      </c>
      <c r="Q19" s="282">
        <f>D14</f>
        <v>0.93</v>
      </c>
      <c r="R19" s="236" t="s">
        <v>36</v>
      </c>
      <c r="S19" s="271">
        <f>H14</f>
        <v>2.2000000000000002</v>
      </c>
      <c r="T19" s="481" t="s">
        <v>34</v>
      </c>
      <c r="U19" s="282">
        <f>O19*Q19/S19</f>
        <v>16.90909090909091</v>
      </c>
      <c r="V19" s="477"/>
      <c r="W19" s="477"/>
      <c r="X19" s="477"/>
      <c r="Y19" s="477"/>
      <c r="AK19" s="477"/>
    </row>
    <row r="20" spans="1:37" ht="15" customHeight="1">
      <c r="K20" s="30"/>
      <c r="L20" s="467"/>
      <c r="M20" s="477"/>
      <c r="N20" s="281">
        <f>N19+1</f>
        <v>2025</v>
      </c>
      <c r="O20" s="481">
        <f>C15</f>
        <v>42</v>
      </c>
      <c r="P20" s="481" t="s">
        <v>148</v>
      </c>
      <c r="Q20" s="282">
        <f>D15</f>
        <v>1</v>
      </c>
      <c r="R20" s="236" t="s">
        <v>36</v>
      </c>
      <c r="S20" s="271">
        <f>H15</f>
        <v>3.5</v>
      </c>
      <c r="T20" s="481" t="s">
        <v>34</v>
      </c>
      <c r="U20" s="282">
        <f>O20*Q20/S20</f>
        <v>12</v>
      </c>
      <c r="V20" s="477"/>
      <c r="W20" s="477"/>
      <c r="X20" s="477"/>
      <c r="Y20" s="477"/>
      <c r="AK20" s="477"/>
    </row>
    <row r="21" spans="1:37" ht="15" customHeight="1">
      <c r="K21" s="30"/>
      <c r="L21" s="467"/>
      <c r="M21" s="477"/>
      <c r="N21" s="283"/>
      <c r="O21" s="284"/>
      <c r="P21" s="284"/>
      <c r="Q21" s="284"/>
      <c r="R21" s="284"/>
      <c r="S21" s="284"/>
      <c r="T21" s="284"/>
      <c r="U21" s="716">
        <f>SUM(U17:U20)</f>
        <v>87.882158824781783</v>
      </c>
      <c r="V21" s="477"/>
      <c r="W21" s="477"/>
      <c r="X21" s="477"/>
      <c r="Y21" s="477"/>
      <c r="AK21" s="477"/>
    </row>
    <row r="22" spans="1:37" ht="15" customHeight="1">
      <c r="K22" s="30"/>
      <c r="L22" s="467"/>
      <c r="M22" s="477"/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AK22" s="477"/>
    </row>
    <row r="23" spans="1:37" ht="15" customHeight="1">
      <c r="K23" s="30"/>
      <c r="L23" s="467"/>
      <c r="M23" s="318" t="s">
        <v>150</v>
      </c>
      <c r="N23" s="477" t="s">
        <v>208</v>
      </c>
      <c r="O23" s="477"/>
      <c r="P23" s="477"/>
      <c r="Q23" s="477"/>
      <c r="R23" s="287">
        <f>F6</f>
        <v>2022</v>
      </c>
      <c r="S23" s="148" t="s">
        <v>703</v>
      </c>
      <c r="T23" s="477"/>
      <c r="U23" s="477"/>
      <c r="V23" s="477"/>
      <c r="W23" s="477"/>
      <c r="X23" s="477"/>
      <c r="Y23" s="477"/>
      <c r="AK23" s="477"/>
    </row>
    <row r="24" spans="1:37" ht="15" customHeight="1">
      <c r="K24" s="30"/>
      <c r="L24" s="46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AK24" s="477"/>
    </row>
    <row r="25" spans="1:37" ht="15" customHeight="1">
      <c r="K25" s="30"/>
      <c r="L25" s="467"/>
      <c r="M25" s="477"/>
      <c r="N25" s="481" t="s">
        <v>187</v>
      </c>
      <c r="O25" s="481" t="s">
        <v>34</v>
      </c>
      <c r="P25" s="481" t="s">
        <v>99</v>
      </c>
      <c r="Q25" s="236" t="s">
        <v>36</v>
      </c>
      <c r="R25" s="481" t="s">
        <v>100</v>
      </c>
      <c r="S25" s="236" t="s">
        <v>148</v>
      </c>
      <c r="T25" s="481" t="s">
        <v>699</v>
      </c>
      <c r="U25" s="236" t="s">
        <v>36</v>
      </c>
      <c r="V25" s="477" t="s">
        <v>200</v>
      </c>
      <c r="W25" s="236" t="s">
        <v>36</v>
      </c>
      <c r="X25" s="477" t="s">
        <v>704</v>
      </c>
      <c r="Y25" s="477"/>
      <c r="AK25" s="477"/>
    </row>
    <row r="26" spans="1:37" ht="15" customHeight="1">
      <c r="K26" s="30"/>
      <c r="L26" s="467"/>
      <c r="M26" s="477"/>
      <c r="N26" s="477"/>
      <c r="O26" s="481" t="s">
        <v>34</v>
      </c>
      <c r="P26" s="717">
        <f>U12</f>
        <v>73.051952</v>
      </c>
      <c r="Q26" s="236" t="s">
        <v>36</v>
      </c>
      <c r="R26" s="718">
        <f>U21</f>
        <v>87.882158824781783</v>
      </c>
      <c r="S26" s="236" t="s">
        <v>148</v>
      </c>
      <c r="T26" s="282">
        <f>VLOOKUP(R29,B12:H15,3,FALSE)</f>
        <v>1.07</v>
      </c>
      <c r="U26" s="236" t="s">
        <v>36</v>
      </c>
      <c r="V26" s="282">
        <f>VLOOKUP(R29,B12:H15,5,FALSE)</f>
        <v>1.125</v>
      </c>
      <c r="W26" s="236" t="s">
        <v>36</v>
      </c>
      <c r="X26" s="271">
        <f>VLOOKUP(R29,B12:H15,6,FALSE)</f>
        <v>0.84</v>
      </c>
      <c r="Y26" s="477"/>
      <c r="AK26" s="467"/>
    </row>
    <row r="27" spans="1:37" ht="15" customHeight="1">
      <c r="K27" s="30"/>
      <c r="L27" s="467"/>
      <c r="M27" s="477"/>
      <c r="N27" s="477"/>
      <c r="O27" s="481" t="s">
        <v>34</v>
      </c>
      <c r="P27" s="290">
        <f>P26/R26*T26/V26/X26</f>
        <v>0.94120251163461344</v>
      </c>
      <c r="Q27" s="477"/>
      <c r="R27" s="477"/>
      <c r="S27" s="477"/>
      <c r="T27" s="477"/>
      <c r="U27" s="477"/>
      <c r="V27" s="477"/>
      <c r="W27" s="477"/>
      <c r="X27" s="477"/>
      <c r="Y27" s="477"/>
      <c r="AK27" s="477"/>
    </row>
    <row r="28" spans="1:37" ht="15" customHeight="1">
      <c r="K28" s="30"/>
      <c r="L28" s="46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AK28" s="477"/>
    </row>
    <row r="29" spans="1:37" ht="15" customHeight="1">
      <c r="K29" s="30"/>
      <c r="L29" s="467"/>
      <c r="M29" s="318" t="s">
        <v>209</v>
      </c>
      <c r="N29" s="46" t="s">
        <v>705</v>
      </c>
      <c r="O29" s="46"/>
      <c r="P29" s="46"/>
      <c r="Q29" s="46"/>
      <c r="R29" s="287">
        <f>F6</f>
        <v>2022</v>
      </c>
      <c r="S29" s="46"/>
      <c r="T29" s="46"/>
      <c r="U29" s="46"/>
      <c r="V29" s="46"/>
      <c r="W29" s="477"/>
      <c r="X29" s="477"/>
      <c r="Y29" s="477"/>
      <c r="AK29" s="477"/>
    </row>
    <row r="30" spans="1:37" ht="15" customHeight="1">
      <c r="K30" s="30"/>
      <c r="L30" s="46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AK30" s="477"/>
    </row>
    <row r="31" spans="1:37" ht="15" customHeight="1">
      <c r="K31" s="30"/>
      <c r="L31" s="467"/>
      <c r="M31" s="477"/>
      <c r="N31" s="481" t="s">
        <v>183</v>
      </c>
      <c r="O31" s="481" t="s">
        <v>34</v>
      </c>
      <c r="P31" s="481" t="s">
        <v>199</v>
      </c>
      <c r="Q31" s="481" t="s">
        <v>35</v>
      </c>
      <c r="R31" s="481" t="s">
        <v>210</v>
      </c>
      <c r="S31" s="269" t="s">
        <v>211</v>
      </c>
      <c r="T31" s="481" t="s">
        <v>148</v>
      </c>
      <c r="U31" s="481" t="s">
        <v>187</v>
      </c>
      <c r="V31" s="481" t="s">
        <v>148</v>
      </c>
      <c r="W31" s="481" t="s">
        <v>188</v>
      </c>
      <c r="X31" s="477"/>
      <c r="Y31" s="477"/>
      <c r="AK31" s="477"/>
    </row>
    <row r="32" spans="1:37" ht="15" customHeight="1">
      <c r="K32" s="30"/>
      <c r="L32" s="467"/>
      <c r="M32" s="477"/>
      <c r="N32" s="477"/>
      <c r="O32" s="481" t="s">
        <v>34</v>
      </c>
      <c r="P32" s="481">
        <f>VLOOKUP(R29,B12:H15,4,FALSE)</f>
        <v>22</v>
      </c>
      <c r="Q32" s="481" t="s">
        <v>35</v>
      </c>
      <c r="R32" s="481" t="s">
        <v>210</v>
      </c>
      <c r="S32" s="269" t="str">
        <f>VLOOKUP(R29,B12:H15,7,FALSE) &amp;" )"</f>
        <v>1.05 )</v>
      </c>
      <c r="T32" s="481" t="s">
        <v>148</v>
      </c>
      <c r="U32" s="290">
        <f>P27</f>
        <v>0.94120251163461344</v>
      </c>
      <c r="V32" s="481" t="s">
        <v>148</v>
      </c>
      <c r="W32" s="481">
        <f>VLOOKUP(R29,B12:H15,2,FALSE)</f>
        <v>30</v>
      </c>
      <c r="X32" s="477"/>
      <c r="Y32" s="477"/>
      <c r="AK32" s="477"/>
    </row>
    <row r="33" spans="2:37" ht="1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479"/>
      <c r="M33" s="477"/>
      <c r="N33" s="477"/>
      <c r="O33" s="481" t="s">
        <v>34</v>
      </c>
      <c r="P33" s="719">
        <f>P32+(1-1/VLOOKUP(R29,B12:H15,7,FALSE))*U32*W32</f>
        <v>23.34457501662088</v>
      </c>
      <c r="Q33" s="192" t="s">
        <v>706</v>
      </c>
      <c r="R33" s="477"/>
      <c r="S33" s="477"/>
      <c r="T33" s="477"/>
      <c r="U33" s="477"/>
      <c r="V33" s="477"/>
      <c r="W33" s="477"/>
      <c r="X33" s="477"/>
      <c r="Y33" s="477"/>
      <c r="AK33" s="477"/>
    </row>
    <row r="34" spans="2:37" ht="15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467"/>
      <c r="M34" s="477"/>
      <c r="N34" s="477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AK34" s="477"/>
    </row>
    <row r="35" spans="2:37" ht="1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479"/>
      <c r="M35" s="477"/>
      <c r="N35" s="477" t="s">
        <v>707</v>
      </c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AK35" s="477"/>
    </row>
    <row r="36" spans="2:37" ht="15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467"/>
      <c r="M36" s="477"/>
      <c r="N36" s="477"/>
      <c r="O36" s="481" t="s">
        <v>34</v>
      </c>
      <c r="P36" s="481" t="s">
        <v>183</v>
      </c>
      <c r="Q36" s="236" t="s">
        <v>104</v>
      </c>
      <c r="R36" s="481" t="s">
        <v>84</v>
      </c>
      <c r="S36" s="477"/>
      <c r="T36" s="477"/>
      <c r="U36" s="477"/>
      <c r="V36" s="477"/>
      <c r="W36" s="477"/>
      <c r="X36" s="477"/>
      <c r="Y36" s="477"/>
      <c r="AK36" s="477"/>
    </row>
    <row r="37" spans="2:37" ht="1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467"/>
      <c r="M37" s="477"/>
      <c r="N37" s="477"/>
      <c r="O37" s="481" t="s">
        <v>34</v>
      </c>
      <c r="P37" s="719">
        <f>P33</f>
        <v>23.34457501662088</v>
      </c>
      <c r="Q37" s="236" t="s">
        <v>104</v>
      </c>
      <c r="R37" s="481">
        <f>VLOOKUP(R29,B12:H15,4,FALSE)</f>
        <v>22</v>
      </c>
      <c r="S37" s="477"/>
      <c r="T37" s="477"/>
      <c r="U37" s="477"/>
      <c r="V37" s="477"/>
      <c r="W37" s="477"/>
      <c r="X37" s="477"/>
      <c r="Y37" s="477"/>
      <c r="Z37" s="467"/>
      <c r="AK37" s="477"/>
    </row>
    <row r="38" spans="2:37" ht="1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467"/>
      <c r="M38" s="477"/>
      <c r="N38" s="477"/>
      <c r="O38" s="481" t="s">
        <v>34</v>
      </c>
      <c r="P38" s="282">
        <f>P37-R37</f>
        <v>1.3445750166208796</v>
      </c>
      <c r="Q38" s="192" t="s">
        <v>708</v>
      </c>
      <c r="R38" s="477"/>
      <c r="S38" s="477"/>
      <c r="T38" s="477"/>
      <c r="U38" s="477"/>
      <c r="V38" s="477"/>
      <c r="W38" s="477"/>
      <c r="X38" s="477"/>
      <c r="Y38" s="477"/>
      <c r="Z38" s="467"/>
      <c r="AK38" s="477"/>
    </row>
    <row r="39" spans="2:37" ht="1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K39" s="477"/>
    </row>
    <row r="40" spans="2:37" ht="15" customHeight="1">
      <c r="K40" s="30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K40" s="477"/>
    </row>
    <row r="41" spans="2:37" ht="15" customHeight="1">
      <c r="K41" s="30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K41" s="477"/>
    </row>
    <row r="42" spans="2:37" ht="15" customHeight="1">
      <c r="K42" s="30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K42" s="477"/>
    </row>
    <row r="43" spans="2:37" ht="15" customHeight="1">
      <c r="K43" s="30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K43" s="477"/>
    </row>
    <row r="44" spans="2:37" ht="15" customHeight="1">
      <c r="K44" s="30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K44" s="477"/>
    </row>
    <row r="45" spans="2:37" ht="15" customHeight="1">
      <c r="K45" s="30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77"/>
      <c r="AB45" s="477"/>
      <c r="AC45" s="477"/>
      <c r="AD45" s="477"/>
      <c r="AE45" s="477"/>
      <c r="AF45" s="477"/>
      <c r="AG45" s="477"/>
      <c r="AH45" s="477"/>
      <c r="AI45" s="477"/>
      <c r="AJ45" s="477"/>
      <c r="AK45" s="477"/>
    </row>
    <row r="46" spans="2:37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</row>
    <row r="47" spans="2:37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467"/>
      <c r="M47" s="467"/>
      <c r="N47" s="467"/>
      <c r="O47" s="467"/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 s="467"/>
    </row>
    <row r="48" spans="2:37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</row>
    <row r="49" spans="2:26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467"/>
      <c r="M49" s="467"/>
      <c r="N49" s="467"/>
      <c r="O49" s="467"/>
      <c r="P49" s="467"/>
      <c r="Q49" s="467"/>
      <c r="R49" s="467"/>
      <c r="S49" s="467"/>
      <c r="T49" s="467"/>
      <c r="U49" s="467"/>
      <c r="V49" s="467"/>
      <c r="W49" s="467"/>
      <c r="X49" s="467"/>
      <c r="Y49" s="467"/>
      <c r="Z49" s="467"/>
    </row>
    <row r="50" spans="2:26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467"/>
      <c r="M50" s="467"/>
      <c r="N50" s="467"/>
      <c r="O50" s="467"/>
      <c r="P50" s="467"/>
      <c r="Q50" s="467"/>
      <c r="R50" s="467"/>
      <c r="S50" s="467"/>
      <c r="T50" s="467"/>
      <c r="U50" s="467"/>
      <c r="V50" s="467"/>
    </row>
    <row r="51" spans="2:26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</row>
    <row r="52" spans="2:26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2:26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</row>
    <row r="54" spans="2:26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</row>
    <row r="55" spans="2:26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</row>
    <row r="56" spans="2:26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</row>
    <row r="57" spans="2:26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</row>
    <row r="58" spans="2:26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</row>
    <row r="59" spans="2:26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</row>
    <row r="60" spans="2:26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</row>
    <row r="61" spans="2:26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</row>
    <row r="62" spans="2:26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</row>
    <row r="63" spans="2:26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</row>
    <row r="64" spans="2:26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</row>
    <row r="65" spans="2:11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</row>
    <row r="66" spans="2:11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</row>
    <row r="67" spans="2:11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</row>
    <row r="68" spans="2:11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2:11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2:11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</row>
    <row r="71" spans="2:11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</row>
    <row r="72" spans="2:11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</row>
    <row r="73" spans="2:11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</row>
    <row r="74" spans="2:11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</row>
    <row r="75" spans="2:11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</row>
    <row r="76" spans="2:11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</row>
    <row r="77" spans="2:11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</row>
    <row r="78" spans="2:11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</row>
    <row r="79" spans="2:11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</row>
    <row r="80" spans="2:11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</row>
    <row r="81" spans="2:11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</row>
    <row r="82" spans="2:11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</row>
    <row r="83" spans="2:11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</row>
    <row r="84" spans="2:11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</row>
    <row r="85" spans="2:11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</row>
    <row r="86" spans="2:11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</row>
    <row r="87" spans="2:11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</row>
    <row r="88" spans="2:11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</row>
    <row r="89" spans="2:11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</row>
    <row r="90" spans="2:11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</row>
    <row r="91" spans="2:11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</row>
    <row r="92" spans="2:11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2:11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</row>
    <row r="94" spans="2:11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</row>
    <row r="95" spans="2:11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</row>
    <row r="96" spans="2:11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</row>
    <row r="97" spans="2:11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</row>
    <row r="98" spans="2:11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</row>
    <row r="99" spans="2:11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</row>
    <row r="100" spans="2:11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</row>
    <row r="101" spans="2:11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</row>
  </sheetData>
  <mergeCells count="1">
    <mergeCell ref="I1:J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I12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4" width="16" style="21" customWidth="1"/>
    <col min="5" max="11" width="11.140625" style="21" customWidth="1"/>
    <col min="12" max="18" width="9.140625" style="21"/>
    <col min="19" max="19" width="9.140625" style="21" customWidth="1"/>
    <col min="20" max="21" width="9.140625" style="21"/>
    <col min="22" max="22" width="9.5703125" style="21" bestFit="1" customWidth="1"/>
    <col min="23" max="23" width="9.140625" style="21"/>
    <col min="24" max="24" width="9.140625" style="21" customWidth="1"/>
    <col min="25" max="16384" width="9.140625" style="21"/>
  </cols>
  <sheetData>
    <row r="1" spans="1:23">
      <c r="A1" s="7">
        <v>24</v>
      </c>
      <c r="B1" s="26" t="s">
        <v>12</v>
      </c>
      <c r="C1" s="26"/>
      <c r="D1" s="26"/>
      <c r="E1" s="20"/>
      <c r="F1" s="20"/>
      <c r="G1" s="20"/>
      <c r="H1" s="20"/>
      <c r="I1" s="20"/>
      <c r="J1" s="1024" t="s">
        <v>24</v>
      </c>
      <c r="K1" s="1025"/>
      <c r="M1" s="1" t="s">
        <v>33</v>
      </c>
      <c r="N1" s="47" t="str">
        <f>VLOOKUP(A1,'Point Grid'!$L$8:$T$54,9,FALSE)</f>
        <v>Reserving - Chap 11: Frequency/Severity Methods</v>
      </c>
      <c r="O1"/>
      <c r="P1"/>
      <c r="Q1"/>
      <c r="R1"/>
      <c r="S1"/>
      <c r="T1"/>
      <c r="U1"/>
      <c r="V1"/>
      <c r="W1"/>
    </row>
    <row r="2" spans="1:23">
      <c r="A2" s="22"/>
      <c r="B2" s="19"/>
      <c r="C2" s="19"/>
      <c r="D2" s="19"/>
      <c r="E2" s="19"/>
      <c r="F2" s="19"/>
      <c r="G2" s="19"/>
      <c r="H2" s="19"/>
      <c r="I2" s="19"/>
      <c r="J2" s="19"/>
      <c r="K2" s="23"/>
      <c r="M2" s="1"/>
      <c r="N2"/>
      <c r="O2"/>
      <c r="P2"/>
      <c r="Q2"/>
      <c r="R2"/>
      <c r="S2"/>
      <c r="T2"/>
      <c r="U2"/>
      <c r="V2"/>
      <c r="W2"/>
    </row>
    <row r="3" spans="1:23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8"/>
      <c r="L3" s="30"/>
      <c r="M3" s="42" t="s">
        <v>2</v>
      </c>
      <c r="N3" t="s">
        <v>215</v>
      </c>
      <c r="O3"/>
      <c r="P3"/>
      <c r="Q3"/>
      <c r="R3"/>
      <c r="S3"/>
      <c r="T3"/>
      <c r="U3"/>
      <c r="V3"/>
      <c r="W3"/>
    </row>
    <row r="4" spans="1:23">
      <c r="A4" s="9">
        <f>INDEX('Point Grid'!B:B,MATCH(A1,'Point Grid'!A:A,0))</f>
        <v>5</v>
      </c>
      <c r="B4" s="17"/>
      <c r="C4" s="17"/>
      <c r="D4" s="17"/>
      <c r="E4" s="17"/>
      <c r="F4" s="17"/>
      <c r="G4" s="17"/>
      <c r="H4" s="17"/>
      <c r="I4" s="17"/>
      <c r="J4" s="17"/>
      <c r="K4" s="18"/>
      <c r="L4" s="30"/>
      <c r="M4" s="42"/>
      <c r="N4"/>
      <c r="O4"/>
      <c r="P4"/>
      <c r="Q4"/>
      <c r="R4"/>
      <c r="S4"/>
      <c r="T4"/>
      <c r="U4"/>
      <c r="V4"/>
      <c r="W4"/>
    </row>
    <row r="5" spans="1:23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L5" s="30"/>
      <c r="M5" s="42"/>
      <c r="N5" s="47" t="s">
        <v>218</v>
      </c>
      <c r="O5"/>
      <c r="P5"/>
      <c r="Q5"/>
      <c r="R5"/>
      <c r="S5"/>
      <c r="T5"/>
      <c r="U5"/>
      <c r="V5"/>
      <c r="W5"/>
    </row>
    <row r="6" spans="1:23">
      <c r="A6" s="25" t="s">
        <v>2</v>
      </c>
      <c r="B6" s="17" t="s">
        <v>213</v>
      </c>
      <c r="C6" s="17"/>
      <c r="D6" s="17"/>
      <c r="E6" s="17"/>
      <c r="F6" s="17"/>
      <c r="G6" s="17"/>
      <c r="H6" s="17"/>
      <c r="I6" s="17"/>
      <c r="J6" s="17"/>
      <c r="K6" s="18"/>
      <c r="L6" s="30"/>
      <c r="M6" s="42"/>
      <c r="N6" s="35" t="s">
        <v>217</v>
      </c>
      <c r="O6"/>
      <c r="P6"/>
      <c r="Q6"/>
      <c r="R6"/>
      <c r="S6"/>
      <c r="T6"/>
      <c r="U6"/>
      <c r="V6"/>
      <c r="W6"/>
    </row>
    <row r="7" spans="1:23" ht="15.75" thickBot="1">
      <c r="A7" s="9">
        <f>INDEX('Point Grid'!$C$8:$I$54,MATCH($A$1,'Point Grid'!$A$8:$A$54,0),MATCH(A6,'Point Grid'!$C$7:$I$7,0))</f>
        <v>1</v>
      </c>
      <c r="B7" s="17" t="s">
        <v>214</v>
      </c>
      <c r="C7" s="17"/>
      <c r="D7" s="17"/>
      <c r="E7" s="17"/>
      <c r="F7" s="17"/>
      <c r="G7" s="17"/>
      <c r="H7" s="17"/>
      <c r="I7" s="17"/>
      <c r="J7" s="17"/>
      <c r="K7" s="18"/>
      <c r="L7" s="30"/>
      <c r="M7" s="42"/>
      <c r="N7" s="35" t="s">
        <v>216</v>
      </c>
      <c r="O7"/>
      <c r="P7"/>
      <c r="Q7"/>
      <c r="R7"/>
      <c r="S7"/>
      <c r="T7"/>
      <c r="U7"/>
      <c r="V7"/>
      <c r="W7"/>
    </row>
    <row r="8" spans="1:23" ht="15.75" thickBot="1">
      <c r="A8" s="5"/>
      <c r="B8" s="17"/>
      <c r="C8" s="17"/>
      <c r="D8" s="17"/>
      <c r="E8" s="27"/>
      <c r="F8" s="27"/>
      <c r="G8" s="27"/>
      <c r="H8" s="27"/>
      <c r="I8" s="27"/>
      <c r="J8" s="27"/>
      <c r="K8" s="18"/>
      <c r="L8" s="30"/>
      <c r="M8"/>
      <c r="N8"/>
      <c r="O8"/>
      <c r="P8"/>
      <c r="Q8"/>
      <c r="R8"/>
      <c r="S8"/>
      <c r="T8"/>
      <c r="U8"/>
      <c r="V8"/>
      <c r="W8"/>
    </row>
    <row r="9" spans="1:23">
      <c r="A9" s="25"/>
      <c r="B9" s="17"/>
      <c r="C9" s="17"/>
      <c r="D9" s="17"/>
      <c r="E9" s="17"/>
      <c r="F9" s="17"/>
      <c r="G9" s="17"/>
      <c r="H9" s="17"/>
      <c r="I9" s="17"/>
      <c r="J9" s="17"/>
      <c r="K9" s="18"/>
      <c r="L9" s="30"/>
      <c r="M9" s="42"/>
      <c r="N9" s="296" t="s">
        <v>220</v>
      </c>
      <c r="O9"/>
      <c r="P9"/>
      <c r="Q9"/>
      <c r="R9"/>
      <c r="S9"/>
      <c r="T9"/>
      <c r="U9"/>
    </row>
    <row r="10" spans="1:23">
      <c r="A10" s="25" t="s">
        <v>3</v>
      </c>
      <c r="B10" s="151" t="s">
        <v>710</v>
      </c>
      <c r="C10" s="151"/>
      <c r="D10" s="151"/>
      <c r="E10" s="151"/>
      <c r="F10" s="219" t="s">
        <v>194</v>
      </c>
      <c r="G10" s="151" t="s">
        <v>711</v>
      </c>
      <c r="H10" s="151"/>
      <c r="I10" s="100"/>
      <c r="J10" s="100"/>
      <c r="K10" s="18"/>
      <c r="L10" s="30"/>
      <c r="M10"/>
      <c r="N10" s="35" t="s">
        <v>219</v>
      </c>
      <c r="O10"/>
      <c r="P10"/>
      <c r="Q10"/>
      <c r="R10"/>
      <c r="S10"/>
      <c r="T10"/>
      <c r="U10"/>
      <c r="V10"/>
      <c r="W10"/>
    </row>
    <row r="11" spans="1:23" ht="15.75" thickBot="1">
      <c r="A11" s="9">
        <f>INDEX('Point Grid'!$C$8:$I$54,MATCH($A$1,'Point Grid'!$A$8:$A$54,0),MATCH(A10,'Point Grid'!$C$7:$I$7,0))</f>
        <v>4</v>
      </c>
      <c r="B11" s="17"/>
      <c r="C11" s="17"/>
      <c r="D11" s="17"/>
      <c r="E11" s="17"/>
      <c r="F11" s="17"/>
      <c r="G11" s="17"/>
      <c r="H11" s="17"/>
      <c r="I11" s="17"/>
      <c r="J11" s="17"/>
      <c r="K11" s="18"/>
      <c r="L11" s="30"/>
      <c r="M11"/>
      <c r="N11"/>
      <c r="O11"/>
      <c r="P11"/>
      <c r="Q11"/>
      <c r="R11"/>
      <c r="S11"/>
      <c r="T11"/>
      <c r="U11"/>
      <c r="V11"/>
      <c r="W11"/>
    </row>
    <row r="12" spans="1:23" ht="15.75" thickBot="1">
      <c r="A12" s="5"/>
      <c r="B12" s="151" t="s">
        <v>712</v>
      </c>
      <c r="C12" s="151"/>
      <c r="D12" s="151"/>
      <c r="E12" s="151"/>
      <c r="F12" s="151"/>
      <c r="G12" s="673">
        <v>0.15</v>
      </c>
      <c r="H12" s="27"/>
      <c r="I12" s="27"/>
      <c r="J12" s="27"/>
      <c r="K12" s="18"/>
      <c r="L12" s="30"/>
      <c r="M12"/>
      <c r="N12" s="296" t="s">
        <v>221</v>
      </c>
      <c r="O12"/>
      <c r="P12"/>
      <c r="Q12"/>
      <c r="R12"/>
      <c r="S12"/>
      <c r="T12"/>
      <c r="U12"/>
      <c r="V12"/>
      <c r="W12"/>
    </row>
    <row r="13" spans="1:23">
      <c r="A13" s="25"/>
      <c r="B13" s="151" t="s">
        <v>713</v>
      </c>
      <c r="C13" s="151"/>
      <c r="D13" s="151"/>
      <c r="E13" s="151"/>
      <c r="F13" s="151"/>
      <c r="G13" s="151"/>
      <c r="H13" s="27"/>
      <c r="I13" s="27"/>
      <c r="J13" s="27"/>
      <c r="K13" s="18"/>
      <c r="L13" s="30"/>
      <c r="M13" s="42"/>
      <c r="N13" s="35" t="s">
        <v>222</v>
      </c>
      <c r="O13"/>
      <c r="P13"/>
      <c r="Q13"/>
      <c r="R13"/>
      <c r="S13"/>
      <c r="T13"/>
      <c r="U13"/>
      <c r="V13"/>
      <c r="W13"/>
    </row>
    <row r="14" spans="1:23">
      <c r="A14" s="25"/>
      <c r="B14" s="151" t="s">
        <v>757</v>
      </c>
      <c r="C14" s="151"/>
      <c r="D14" s="673">
        <v>0.05</v>
      </c>
      <c r="E14" s="151"/>
      <c r="F14" s="151"/>
      <c r="G14" s="151"/>
      <c r="H14" s="27"/>
      <c r="I14" s="27"/>
      <c r="J14" s="27"/>
      <c r="K14" s="18"/>
      <c r="L14" s="30"/>
      <c r="M14"/>
      <c r="N14" s="35" t="s">
        <v>223</v>
      </c>
      <c r="O14"/>
      <c r="P14"/>
      <c r="Q14"/>
      <c r="R14"/>
      <c r="S14"/>
      <c r="T14"/>
      <c r="U14"/>
      <c r="V14"/>
      <c r="W14"/>
    </row>
    <row r="15" spans="1:23">
      <c r="A15" s="25"/>
      <c r="B15" s="151"/>
      <c r="C15" s="151"/>
      <c r="D15" s="151"/>
      <c r="E15" s="151"/>
      <c r="F15" s="151"/>
      <c r="G15" s="151"/>
      <c r="H15" s="27"/>
      <c r="I15" s="27"/>
      <c r="J15" s="27"/>
      <c r="K15" s="18"/>
      <c r="L15" s="30"/>
      <c r="M15" s="467"/>
      <c r="N15" s="478"/>
      <c r="O15" s="467"/>
      <c r="P15" s="467"/>
      <c r="Q15" s="467"/>
      <c r="R15" s="467"/>
      <c r="S15" s="467"/>
      <c r="T15" s="467"/>
      <c r="U15" s="467"/>
      <c r="V15" s="467"/>
      <c r="W15" s="467"/>
    </row>
    <row r="16" spans="1:23">
      <c r="A16" s="25"/>
      <c r="B16" s="337"/>
      <c r="C16" s="338" t="s">
        <v>714</v>
      </c>
      <c r="D16" s="338"/>
      <c r="E16" s="338"/>
      <c r="F16" s="339"/>
      <c r="G16" s="277" t="s">
        <v>128</v>
      </c>
      <c r="H16" s="27"/>
      <c r="I16" s="27"/>
      <c r="J16" s="27"/>
      <c r="K16" s="18"/>
      <c r="L16" s="30"/>
      <c r="M16" s="467"/>
      <c r="N16" s="478"/>
      <c r="O16" s="467"/>
      <c r="P16" s="467"/>
      <c r="Q16" s="467"/>
      <c r="R16" s="467"/>
      <c r="S16" s="467"/>
      <c r="T16" s="467"/>
      <c r="U16" s="467"/>
      <c r="V16" s="467"/>
      <c r="W16" s="467"/>
    </row>
    <row r="17" spans="1:26">
      <c r="A17" s="25"/>
      <c r="B17" s="340" t="s">
        <v>83</v>
      </c>
      <c r="C17" s="341">
        <v>12</v>
      </c>
      <c r="D17" s="341">
        <v>24</v>
      </c>
      <c r="E17" s="341">
        <v>36</v>
      </c>
      <c r="F17" s="278">
        <v>48</v>
      </c>
      <c r="G17" s="726" t="s">
        <v>664</v>
      </c>
      <c r="H17" s="27"/>
      <c r="I17" s="27"/>
      <c r="J17" s="27"/>
      <c r="K17" s="18"/>
      <c r="L17" s="30"/>
      <c r="M17" s="479" t="s">
        <v>3</v>
      </c>
      <c r="N17" s="270" t="s">
        <v>226</v>
      </c>
      <c r="O17" s="477" t="s">
        <v>716</v>
      </c>
      <c r="P17" s="477"/>
      <c r="Q17" s="477"/>
      <c r="R17" s="148"/>
      <c r="S17" s="477"/>
      <c r="T17" s="477"/>
      <c r="U17" s="477"/>
      <c r="V17" s="477"/>
      <c r="W17" s="477"/>
      <c r="X17" s="477"/>
      <c r="Y17" s="477"/>
      <c r="Z17" s="477"/>
    </row>
    <row r="18" spans="1:26">
      <c r="A18" s="25"/>
      <c r="B18" s="342">
        <v>2022</v>
      </c>
      <c r="C18" s="293">
        <v>214</v>
      </c>
      <c r="D18" s="293">
        <v>504</v>
      </c>
      <c r="E18" s="293">
        <v>916</v>
      </c>
      <c r="F18" s="294">
        <v>1124</v>
      </c>
      <c r="G18" s="294">
        <v>1124</v>
      </c>
      <c r="H18" s="27"/>
      <c r="I18" s="27"/>
      <c r="J18" s="27"/>
      <c r="K18" s="18"/>
      <c r="L18" s="30"/>
      <c r="M18" s="467"/>
      <c r="N18" s="477"/>
      <c r="O18" s="148" t="s">
        <v>717</v>
      </c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</row>
    <row r="19" spans="1:26">
      <c r="A19" s="25"/>
      <c r="B19" s="342">
        <v>2023</v>
      </c>
      <c r="C19" s="293">
        <v>193</v>
      </c>
      <c r="D19" s="293">
        <v>530</v>
      </c>
      <c r="E19" s="293">
        <v>797</v>
      </c>
      <c r="F19" s="294"/>
      <c r="G19" s="294">
        <v>1236.4000000000001</v>
      </c>
      <c r="H19" s="27"/>
      <c r="I19" s="27"/>
      <c r="J19" s="27"/>
      <c r="K19" s="18"/>
      <c r="L19" s="30"/>
      <c r="M19" s="467"/>
      <c r="N19" s="477"/>
      <c r="O19" s="727" t="s">
        <v>718</v>
      </c>
      <c r="P19" s="310" t="s">
        <v>719</v>
      </c>
      <c r="Q19" s="310"/>
      <c r="R19" s="310"/>
      <c r="S19" s="311"/>
      <c r="T19" s="477"/>
      <c r="U19" s="309"/>
      <c r="V19" s="310" t="s">
        <v>720</v>
      </c>
      <c r="W19" s="310"/>
      <c r="X19" s="310"/>
      <c r="Y19" s="311"/>
      <c r="Z19" s="477"/>
    </row>
    <row r="20" spans="1:26">
      <c r="A20" s="25"/>
      <c r="B20" s="342">
        <v>2024</v>
      </c>
      <c r="C20" s="293">
        <v>206</v>
      </c>
      <c r="D20" s="293">
        <v>567</v>
      </c>
      <c r="E20" s="293"/>
      <c r="F20" s="294"/>
      <c r="G20" s="294">
        <v>1360.04</v>
      </c>
      <c r="H20" s="27"/>
      <c r="I20" s="27"/>
      <c r="J20" s="27"/>
      <c r="K20" s="18"/>
      <c r="L20" s="30"/>
      <c r="M20" s="467"/>
      <c r="N20" s="477"/>
      <c r="O20" s="312" t="s">
        <v>83</v>
      </c>
      <c r="P20" s="313">
        <v>12</v>
      </c>
      <c r="Q20" s="313">
        <v>24</v>
      </c>
      <c r="R20" s="313">
        <v>36</v>
      </c>
      <c r="S20" s="314">
        <v>48</v>
      </c>
      <c r="T20" s="477"/>
      <c r="U20" s="312" t="s">
        <v>83</v>
      </c>
      <c r="V20" s="313">
        <v>12</v>
      </c>
      <c r="W20" s="313">
        <v>24</v>
      </c>
      <c r="X20" s="313">
        <v>36</v>
      </c>
      <c r="Y20" s="314">
        <v>48</v>
      </c>
      <c r="Z20" s="477"/>
    </row>
    <row r="21" spans="1:26">
      <c r="A21" s="25"/>
      <c r="B21" s="343">
        <v>2025</v>
      </c>
      <c r="C21" s="291">
        <v>210</v>
      </c>
      <c r="D21" s="291"/>
      <c r="E21" s="291"/>
      <c r="F21" s="292"/>
      <c r="G21" s="292">
        <v>1496.0439999999999</v>
      </c>
      <c r="H21" s="27"/>
      <c r="I21" s="27"/>
      <c r="J21" s="27"/>
      <c r="K21" s="18"/>
      <c r="L21" s="30"/>
      <c r="M21" s="467"/>
      <c r="N21" s="477"/>
      <c r="O21" s="298">
        <f>B18</f>
        <v>2022</v>
      </c>
      <c r="P21" s="688">
        <f>C18</f>
        <v>214</v>
      </c>
      <c r="Q21" s="688">
        <f>D18</f>
        <v>504</v>
      </c>
      <c r="R21" s="688">
        <f>E18</f>
        <v>916</v>
      </c>
      <c r="S21" s="724">
        <f>F18</f>
        <v>1124</v>
      </c>
      <c r="T21" s="477"/>
      <c r="U21" s="298">
        <f>B18</f>
        <v>2022</v>
      </c>
      <c r="V21" s="320">
        <f>P21</f>
        <v>214</v>
      </c>
      <c r="W21" s="320">
        <f>Q21-P21</f>
        <v>290</v>
      </c>
      <c r="X21" s="320">
        <f>R21-Q21</f>
        <v>412</v>
      </c>
      <c r="Y21" s="321">
        <f>S21-R21</f>
        <v>208</v>
      </c>
      <c r="Z21" s="477"/>
    </row>
    <row r="22" spans="1:26">
      <c r="A22" s="25"/>
      <c r="B22" s="60"/>
      <c r="C22" s="60"/>
      <c r="D22" s="60"/>
      <c r="E22" s="60"/>
      <c r="F22" s="60"/>
      <c r="G22" s="60"/>
      <c r="H22" s="27"/>
      <c r="I22" s="27"/>
      <c r="J22" s="27"/>
      <c r="K22" s="18"/>
      <c r="L22" s="30"/>
      <c r="M22" s="467"/>
      <c r="N22" s="477"/>
      <c r="O22" s="298">
        <f>O21+1</f>
        <v>2023</v>
      </c>
      <c r="P22" s="688">
        <f>C19</f>
        <v>193</v>
      </c>
      <c r="Q22" s="688">
        <f>D19</f>
        <v>530</v>
      </c>
      <c r="R22" s="688">
        <f>E19</f>
        <v>797</v>
      </c>
      <c r="S22" s="724"/>
      <c r="T22" s="477"/>
      <c r="U22" s="298">
        <f>U21+1</f>
        <v>2023</v>
      </c>
      <c r="V22" s="320">
        <f>P22</f>
        <v>193</v>
      </c>
      <c r="W22" s="320">
        <f>Q22-P22</f>
        <v>337</v>
      </c>
      <c r="X22" s="320">
        <f>R22-Q22</f>
        <v>267</v>
      </c>
      <c r="Y22" s="321"/>
      <c r="Z22" s="477"/>
    </row>
    <row r="23" spans="1:26">
      <c r="A23" s="25"/>
      <c r="B23" s="337"/>
      <c r="C23" s="338" t="s">
        <v>715</v>
      </c>
      <c r="D23" s="338"/>
      <c r="E23" s="338"/>
      <c r="F23" s="339"/>
      <c r="G23" s="60"/>
      <c r="H23" s="27"/>
      <c r="I23" s="27"/>
      <c r="J23" s="27"/>
      <c r="K23" s="18"/>
      <c r="L23" s="30"/>
      <c r="M23" s="467"/>
      <c r="N23" s="477"/>
      <c r="O23" s="298">
        <f>O22+1</f>
        <v>2024</v>
      </c>
      <c r="P23" s="688">
        <f>C20</f>
        <v>206</v>
      </c>
      <c r="Q23" s="688">
        <f>D20</f>
        <v>567</v>
      </c>
      <c r="R23" s="688"/>
      <c r="S23" s="724"/>
      <c r="T23" s="467"/>
      <c r="U23" s="298">
        <f>U22+1</f>
        <v>2024</v>
      </c>
      <c r="V23" s="320">
        <f>P23</f>
        <v>206</v>
      </c>
      <c r="W23" s="320">
        <f>Q23-P23</f>
        <v>361</v>
      </c>
      <c r="X23" s="320"/>
      <c r="Y23" s="321"/>
      <c r="Z23" s="477"/>
    </row>
    <row r="24" spans="1:26">
      <c r="A24" s="25"/>
      <c r="B24" s="340" t="s">
        <v>83</v>
      </c>
      <c r="C24" s="341">
        <v>12</v>
      </c>
      <c r="D24" s="341">
        <v>24</v>
      </c>
      <c r="E24" s="341">
        <v>36</v>
      </c>
      <c r="F24" s="278">
        <v>48</v>
      </c>
      <c r="G24" s="151"/>
      <c r="H24" s="151"/>
      <c r="I24" s="27"/>
      <c r="J24" s="27"/>
      <c r="K24" s="18"/>
      <c r="L24" s="30"/>
      <c r="M24" s="467"/>
      <c r="N24" s="477"/>
      <c r="O24" s="316">
        <f>O23+1</f>
        <v>2025</v>
      </c>
      <c r="P24" s="690">
        <f>C21</f>
        <v>210</v>
      </c>
      <c r="Q24" s="690"/>
      <c r="R24" s="690"/>
      <c r="S24" s="725"/>
      <c r="T24" s="477"/>
      <c r="U24" s="316">
        <f>U23+1</f>
        <v>2025</v>
      </c>
      <c r="V24" s="323">
        <f>P24</f>
        <v>210</v>
      </c>
      <c r="W24" s="323"/>
      <c r="X24" s="323"/>
      <c r="Y24" s="324"/>
      <c r="Z24" s="477"/>
    </row>
    <row r="25" spans="1:26">
      <c r="A25" s="25"/>
      <c r="B25" s="342">
        <v>2022</v>
      </c>
      <c r="C25" s="293">
        <v>84664</v>
      </c>
      <c r="D25" s="293">
        <v>211661</v>
      </c>
      <c r="E25" s="293">
        <v>309350</v>
      </c>
      <c r="F25" s="294">
        <v>439603</v>
      </c>
      <c r="G25" s="151"/>
      <c r="H25" s="151"/>
      <c r="I25" s="276"/>
      <c r="J25" s="27"/>
      <c r="K25" s="18"/>
      <c r="L25" s="30"/>
      <c r="M25" s="467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467"/>
      <c r="Y25" s="467"/>
      <c r="Z25" s="467"/>
    </row>
    <row r="26" spans="1:26">
      <c r="A26" s="25"/>
      <c r="B26" s="342">
        <v>2023</v>
      </c>
      <c r="C26" s="293">
        <v>87310</v>
      </c>
      <c r="D26" s="293">
        <v>209880</v>
      </c>
      <c r="E26" s="293">
        <v>312301</v>
      </c>
      <c r="F26" s="294"/>
      <c r="G26" s="151"/>
      <c r="H26" s="151"/>
      <c r="I26" s="60"/>
      <c r="J26" s="27"/>
      <c r="K26" s="18"/>
      <c r="L26" s="30"/>
      <c r="M26" s="467"/>
      <c r="N26" s="270" t="s">
        <v>228</v>
      </c>
      <c r="O26" s="477" t="s">
        <v>721</v>
      </c>
      <c r="P26" s="477"/>
      <c r="Q26" s="477"/>
      <c r="R26" s="148" t="s">
        <v>717</v>
      </c>
      <c r="S26" s="477"/>
      <c r="T26" s="477"/>
      <c r="U26" s="477"/>
      <c r="V26" s="477"/>
      <c r="W26" s="477"/>
      <c r="X26" s="477"/>
      <c r="Y26" s="477"/>
      <c r="Z26" s="477"/>
    </row>
    <row r="27" spans="1:26">
      <c r="A27" s="25"/>
      <c r="B27" s="342">
        <v>2024</v>
      </c>
      <c r="C27" s="293">
        <v>94281</v>
      </c>
      <c r="D27" s="293">
        <v>237864</v>
      </c>
      <c r="E27" s="293"/>
      <c r="F27" s="294"/>
      <c r="G27" s="151"/>
      <c r="H27" s="151"/>
      <c r="I27" s="151"/>
      <c r="J27" s="27"/>
      <c r="K27" s="18"/>
      <c r="L27" s="30"/>
      <c r="M27" s="46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</row>
    <row r="28" spans="1:26">
      <c r="A28" s="25"/>
      <c r="B28" s="343">
        <v>2025</v>
      </c>
      <c r="C28" s="291">
        <v>83698</v>
      </c>
      <c r="D28" s="291"/>
      <c r="E28" s="291"/>
      <c r="F28" s="292"/>
      <c r="G28" s="151"/>
      <c r="H28" s="151"/>
      <c r="I28" s="151"/>
      <c r="J28" s="27"/>
      <c r="K28" s="18"/>
      <c r="L28" s="30"/>
      <c r="M28" s="467"/>
      <c r="N28" s="477"/>
      <c r="O28" s="727" t="s">
        <v>718</v>
      </c>
      <c r="P28" s="310" t="s">
        <v>755</v>
      </c>
      <c r="Q28" s="310"/>
      <c r="R28" s="310"/>
      <c r="S28" s="311"/>
      <c r="T28" s="477"/>
      <c r="U28" s="309"/>
      <c r="V28" s="310" t="s">
        <v>756</v>
      </c>
      <c r="W28" s="310"/>
      <c r="X28" s="310"/>
      <c r="Y28" s="311"/>
      <c r="Z28" s="477"/>
    </row>
    <row r="29" spans="1:26">
      <c r="A29" s="25"/>
      <c r="B29" s="100"/>
      <c r="C29" s="100"/>
      <c r="D29" s="100"/>
      <c r="E29" s="100"/>
      <c r="F29" s="100"/>
      <c r="G29" s="100"/>
      <c r="H29" s="151"/>
      <c r="I29" s="151"/>
      <c r="J29" s="27"/>
      <c r="K29" s="18"/>
      <c r="L29" s="30"/>
      <c r="M29" s="467"/>
      <c r="N29" s="477"/>
      <c r="O29" s="312" t="s">
        <v>83</v>
      </c>
      <c r="P29" s="313">
        <v>12</v>
      </c>
      <c r="Q29" s="313">
        <v>24</v>
      </c>
      <c r="R29" s="313">
        <v>36</v>
      </c>
      <c r="S29" s="314">
        <v>48</v>
      </c>
      <c r="T29" s="477"/>
      <c r="U29" s="312" t="s">
        <v>83</v>
      </c>
      <c r="V29" s="313">
        <v>12</v>
      </c>
      <c r="W29" s="313">
        <v>24</v>
      </c>
      <c r="X29" s="313">
        <v>36</v>
      </c>
      <c r="Y29" s="314">
        <v>48</v>
      </c>
      <c r="Z29" s="477"/>
    </row>
    <row r="30" spans="1:26">
      <c r="A30" s="25"/>
      <c r="B30" s="100"/>
      <c r="C30" s="100"/>
      <c r="D30" s="100"/>
      <c r="E30" s="100"/>
      <c r="F30" s="100"/>
      <c r="G30" s="100"/>
      <c r="H30" s="151"/>
      <c r="I30" s="151"/>
      <c r="J30" s="27"/>
      <c r="K30" s="18"/>
      <c r="L30" s="30"/>
      <c r="M30" s="467"/>
      <c r="N30" s="477"/>
      <c r="O30" s="298">
        <f>B18</f>
        <v>2022</v>
      </c>
      <c r="P30" s="688">
        <f>C25</f>
        <v>84664</v>
      </c>
      <c r="Q30" s="688">
        <f>D25</f>
        <v>211661</v>
      </c>
      <c r="R30" s="688">
        <f>E25</f>
        <v>309350</v>
      </c>
      <c r="S30" s="724">
        <f>F25</f>
        <v>439603</v>
      </c>
      <c r="T30" s="477"/>
      <c r="U30" s="298">
        <f>B18</f>
        <v>2022</v>
      </c>
      <c r="V30" s="320">
        <f>P30</f>
        <v>84664</v>
      </c>
      <c r="W30" s="320">
        <f>Q30-P30</f>
        <v>126997</v>
      </c>
      <c r="X30" s="320">
        <f>R30-Q30</f>
        <v>97689</v>
      </c>
      <c r="Y30" s="321">
        <f>S30-R30</f>
        <v>130253</v>
      </c>
      <c r="Z30" s="477"/>
    </row>
    <row r="31" spans="1:26">
      <c r="A31" s="25"/>
      <c r="B31" s="100"/>
      <c r="C31" s="100"/>
      <c r="D31" s="100"/>
      <c r="E31" s="100"/>
      <c r="F31" s="100"/>
      <c r="G31" s="100"/>
      <c r="H31" s="151"/>
      <c r="I31" s="151"/>
      <c r="J31" s="27"/>
      <c r="K31" s="18"/>
      <c r="L31" s="30"/>
      <c r="M31" s="467"/>
      <c r="N31" s="477"/>
      <c r="O31" s="298">
        <f>O30+1</f>
        <v>2023</v>
      </c>
      <c r="P31" s="688">
        <f>C26</f>
        <v>87310</v>
      </c>
      <c r="Q31" s="688">
        <f>D26</f>
        <v>209880</v>
      </c>
      <c r="R31" s="688">
        <f>E26</f>
        <v>312301</v>
      </c>
      <c r="S31" s="724"/>
      <c r="T31" s="477"/>
      <c r="U31" s="298">
        <f>U30+1</f>
        <v>2023</v>
      </c>
      <c r="V31" s="320">
        <f>P31</f>
        <v>87310</v>
      </c>
      <c r="W31" s="320">
        <f>Q31-P31</f>
        <v>122570</v>
      </c>
      <c r="X31" s="320">
        <f>R31-Q31</f>
        <v>102421</v>
      </c>
      <c r="Y31" s="321"/>
      <c r="Z31" s="477"/>
    </row>
    <row r="32" spans="1:26">
      <c r="A32" s="25"/>
      <c r="B32" s="100"/>
      <c r="C32" s="100"/>
      <c r="D32" s="100"/>
      <c r="E32" s="100"/>
      <c r="F32" s="100"/>
      <c r="G32" s="100"/>
      <c r="H32" s="151"/>
      <c r="I32" s="151"/>
      <c r="J32" s="27"/>
      <c r="K32" s="18"/>
      <c r="L32" s="30"/>
      <c r="M32" s="467"/>
      <c r="N32" s="477"/>
      <c r="O32" s="298">
        <f>O31+1</f>
        <v>2024</v>
      </c>
      <c r="P32" s="688">
        <f>C27</f>
        <v>94281</v>
      </c>
      <c r="Q32" s="688">
        <f>D27</f>
        <v>237864</v>
      </c>
      <c r="R32" s="688"/>
      <c r="S32" s="724"/>
      <c r="T32" s="467"/>
      <c r="U32" s="298">
        <f>U31+1</f>
        <v>2024</v>
      </c>
      <c r="V32" s="320">
        <f>P32</f>
        <v>94281</v>
      </c>
      <c r="W32" s="320">
        <f>Q32-P32</f>
        <v>143583</v>
      </c>
      <c r="X32" s="320"/>
      <c r="Y32" s="321"/>
      <c r="Z32" s="477"/>
    </row>
    <row r="33" spans="1:26">
      <c r="A33" s="25"/>
      <c r="B33" s="100"/>
      <c r="C33" s="100"/>
      <c r="D33" s="100"/>
      <c r="E33" s="100"/>
      <c r="F33" s="100"/>
      <c r="G33" s="100"/>
      <c r="H33" s="151"/>
      <c r="I33" s="151"/>
      <c r="J33" s="27"/>
      <c r="K33" s="18"/>
      <c r="L33" s="30"/>
      <c r="M33" s="467"/>
      <c r="N33" s="477"/>
      <c r="O33" s="316">
        <f>O32+1</f>
        <v>2025</v>
      </c>
      <c r="P33" s="690">
        <f>C28</f>
        <v>83698</v>
      </c>
      <c r="Q33" s="690"/>
      <c r="R33" s="690"/>
      <c r="S33" s="725"/>
      <c r="T33" s="477"/>
      <c r="U33" s="316">
        <f>U32+1</f>
        <v>2025</v>
      </c>
      <c r="V33" s="323">
        <f>P33</f>
        <v>83698</v>
      </c>
      <c r="W33" s="323"/>
      <c r="X33" s="323"/>
      <c r="Y33" s="324"/>
      <c r="Z33" s="477"/>
    </row>
    <row r="34" spans="1:26">
      <c r="A34" s="25"/>
      <c r="B34" s="100"/>
      <c r="C34" s="100"/>
      <c r="D34" s="100"/>
      <c r="E34" s="100"/>
      <c r="F34" s="100"/>
      <c r="G34" s="100"/>
      <c r="H34" s="151"/>
      <c r="I34" s="151"/>
      <c r="J34" s="27"/>
      <c r="K34" s="18"/>
      <c r="L34" s="30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77"/>
    </row>
    <row r="35" spans="1:26">
      <c r="A35" s="25"/>
      <c r="B35" s="100"/>
      <c r="C35" s="100"/>
      <c r="D35" s="100"/>
      <c r="E35" s="100"/>
      <c r="F35" s="100"/>
      <c r="G35" s="100"/>
      <c r="H35" s="151"/>
      <c r="I35" s="151"/>
      <c r="J35" s="27"/>
      <c r="K35" s="18"/>
      <c r="L35" s="30"/>
      <c r="M35"/>
      <c r="N35" s="268" t="s">
        <v>158</v>
      </c>
      <c r="O35" s="477" t="s">
        <v>723</v>
      </c>
      <c r="P35" s="477"/>
      <c r="Q35" s="477" t="s">
        <v>724</v>
      </c>
      <c r="R35" s="134" t="s">
        <v>725</v>
      </c>
      <c r="S35" s="477"/>
      <c r="T35" s="477"/>
      <c r="U35" s="477"/>
      <c r="V35" s="477"/>
      <c r="W35" s="467"/>
      <c r="X35" s="467"/>
      <c r="Y35" s="467"/>
      <c r="Z35" s="477"/>
    </row>
    <row r="36" spans="1:26">
      <c r="A36" s="25"/>
      <c r="B36" s="100"/>
      <c r="C36" s="100"/>
      <c r="D36" s="100"/>
      <c r="E36" s="100"/>
      <c r="F36" s="100"/>
      <c r="G36" s="100"/>
      <c r="H36" s="151"/>
      <c r="I36" s="151"/>
      <c r="J36" s="27"/>
      <c r="K36" s="18"/>
      <c r="L36" s="30"/>
      <c r="M36" s="42"/>
      <c r="N36" s="477"/>
      <c r="O36" s="477"/>
      <c r="P36" s="477"/>
      <c r="Q36" s="477"/>
      <c r="R36" s="477"/>
      <c r="S36" s="477"/>
      <c r="T36" s="477"/>
      <c r="U36" s="477"/>
      <c r="V36" s="477"/>
      <c r="W36" s="467"/>
      <c r="X36" s="467"/>
      <c r="Y36" s="467"/>
      <c r="Z36" s="477"/>
    </row>
    <row r="37" spans="1:26">
      <c r="A37" s="25"/>
      <c r="B37" s="100"/>
      <c r="C37" s="100"/>
      <c r="D37" s="100"/>
      <c r="E37" s="100"/>
      <c r="F37" s="100"/>
      <c r="G37" s="100"/>
      <c r="H37" s="151"/>
      <c r="I37" s="151"/>
      <c r="J37" s="27"/>
      <c r="K37" s="18"/>
      <c r="L37" s="30"/>
      <c r="M37"/>
      <c r="N37" s="477"/>
      <c r="O37" s="309"/>
      <c r="P37" s="310" t="s">
        <v>726</v>
      </c>
      <c r="Q37" s="310"/>
      <c r="R37" s="310"/>
      <c r="S37" s="311"/>
      <c r="T37" s="477"/>
      <c r="U37" s="477"/>
      <c r="V37" s="477"/>
      <c r="W37" s="467"/>
      <c r="X37" s="467"/>
      <c r="Y37" s="467"/>
      <c r="Z37" s="477"/>
    </row>
    <row r="38" spans="1:26" ht="15" customHeight="1">
      <c r="A38" s="25"/>
      <c r="B38" s="100"/>
      <c r="C38" s="100"/>
      <c r="D38" s="100"/>
      <c r="E38" s="100"/>
      <c r="F38" s="100"/>
      <c r="G38" s="100"/>
      <c r="H38" s="151"/>
      <c r="I38" s="151"/>
      <c r="J38" s="27"/>
      <c r="K38" s="18"/>
      <c r="L38" s="30"/>
      <c r="M38"/>
      <c r="N38" s="477"/>
      <c r="O38" s="312" t="s">
        <v>83</v>
      </c>
      <c r="P38" s="313">
        <v>12</v>
      </c>
      <c r="Q38" s="313">
        <v>24</v>
      </c>
      <c r="R38" s="313">
        <v>36</v>
      </c>
      <c r="S38" s="314">
        <v>48</v>
      </c>
      <c r="T38" s="477"/>
      <c r="U38" s="477"/>
      <c r="V38" s="477"/>
      <c r="W38" s="477"/>
      <c r="X38" s="477"/>
      <c r="Y38" s="477"/>
      <c r="Z38" s="477"/>
    </row>
    <row r="39" spans="1:26" ht="15" customHeight="1">
      <c r="A39" s="25"/>
      <c r="B39" s="100"/>
      <c r="C39" s="100"/>
      <c r="D39" s="100"/>
      <c r="E39" s="100"/>
      <c r="F39" s="100"/>
      <c r="G39" s="100"/>
      <c r="H39" s="151"/>
      <c r="I39" s="151"/>
      <c r="J39" s="27"/>
      <c r="K39" s="18"/>
      <c r="L39" s="30"/>
      <c r="M39"/>
      <c r="N39" s="477"/>
      <c r="O39" s="298">
        <f>B18</f>
        <v>2022</v>
      </c>
      <c r="P39" s="728">
        <f>IFERROR(ROUND(P21/G18,3),"")</f>
        <v>0.19</v>
      </c>
      <c r="Q39" s="728">
        <f>IFERROR(ROUND(Q21/G18,3),"")</f>
        <v>0.44800000000000001</v>
      </c>
      <c r="R39" s="728">
        <f>IFERROR(ROUND(R21/G18,3),"")</f>
        <v>0.81499999999999995</v>
      </c>
      <c r="S39" s="729">
        <f>IFERROR(ROUND(S21/G18,3),"")</f>
        <v>1</v>
      </c>
      <c r="T39" s="477"/>
      <c r="U39" s="477"/>
      <c r="V39" s="477"/>
      <c r="W39" s="477"/>
      <c r="X39" s="477"/>
      <c r="Y39" s="477"/>
      <c r="Z39" s="477"/>
    </row>
    <row r="40" spans="1:26" ht="15" customHeight="1">
      <c r="A40" s="25"/>
      <c r="B40" s="100"/>
      <c r="C40" s="100"/>
      <c r="D40" s="100"/>
      <c r="E40" s="100"/>
      <c r="F40" s="100"/>
      <c r="G40" s="100"/>
      <c r="H40" s="151"/>
      <c r="I40" s="151"/>
      <c r="J40" s="27"/>
      <c r="K40" s="18"/>
      <c r="L40" s="30"/>
      <c r="M40"/>
      <c r="N40" s="477"/>
      <c r="O40" s="298">
        <f>O39+1</f>
        <v>2023</v>
      </c>
      <c r="P40" s="728">
        <f>ROUND(P22/G19,3)</f>
        <v>0.156</v>
      </c>
      <c r="Q40" s="728">
        <f>ROUND(Q22/G19,3)</f>
        <v>0.42899999999999999</v>
      </c>
      <c r="R40" s="728">
        <f>ROUND(R22/G19,3)</f>
        <v>0.64500000000000002</v>
      </c>
      <c r="S40" s="729"/>
      <c r="T40" s="477"/>
      <c r="U40" s="477"/>
      <c r="V40" s="477"/>
      <c r="W40" s="477"/>
      <c r="X40" s="477"/>
      <c r="Y40" s="477"/>
      <c r="Z40" s="477"/>
    </row>
    <row r="41" spans="1:26" ht="15" customHeight="1">
      <c r="A41" s="25"/>
      <c r="B41" s="17"/>
      <c r="C41" s="17"/>
      <c r="D41" s="17"/>
      <c r="E41" s="27"/>
      <c r="F41" s="27"/>
      <c r="G41" s="27"/>
      <c r="H41" s="27"/>
      <c r="I41" s="27"/>
      <c r="J41" s="27"/>
      <c r="K41" s="18"/>
      <c r="L41" s="30"/>
      <c r="M41"/>
      <c r="N41" s="477"/>
      <c r="O41" s="298">
        <f>O40+1</f>
        <v>2024</v>
      </c>
      <c r="P41" s="728">
        <f>ROUND(P23/G20,3)</f>
        <v>0.151</v>
      </c>
      <c r="Q41" s="728">
        <f>ROUND(Q23/G20,3)</f>
        <v>0.41699999999999998</v>
      </c>
      <c r="R41" s="728"/>
      <c r="S41" s="729"/>
      <c r="T41" s="477"/>
      <c r="U41" s="477"/>
      <c r="V41" s="477"/>
      <c r="W41" s="477"/>
      <c r="X41" s="477"/>
      <c r="Y41" s="477"/>
      <c r="Z41" s="477"/>
    </row>
    <row r="42" spans="1:26" ht="15" customHeight="1">
      <c r="A42" s="25"/>
      <c r="B42" s="17"/>
      <c r="C42" s="17"/>
      <c r="D42" s="17"/>
      <c r="E42" s="27"/>
      <c r="F42" s="27"/>
      <c r="G42" s="27"/>
      <c r="H42" s="27"/>
      <c r="I42" s="27"/>
      <c r="J42" s="27"/>
      <c r="K42" s="18"/>
      <c r="L42" s="30"/>
      <c r="M42"/>
      <c r="N42" s="477"/>
      <c r="O42" s="316">
        <f>O41+1</f>
        <v>2025</v>
      </c>
      <c r="P42" s="730">
        <f>ROUND(P24/G21,3)</f>
        <v>0.14000000000000001</v>
      </c>
      <c r="Q42" s="730"/>
      <c r="R42" s="730"/>
      <c r="S42" s="731"/>
      <c r="T42" s="477"/>
      <c r="U42" s="477"/>
      <c r="V42" s="477"/>
      <c r="W42" s="477"/>
      <c r="X42" s="477"/>
      <c r="Y42" s="477"/>
      <c r="Z42" s="477"/>
    </row>
    <row r="43" spans="1:26" ht="15" customHeight="1">
      <c r="A43" s="25"/>
      <c r="B43" s="17"/>
      <c r="C43" s="17"/>
      <c r="D43" s="17"/>
      <c r="E43" s="27"/>
      <c r="F43" s="27"/>
      <c r="G43" s="27"/>
      <c r="H43" s="27"/>
      <c r="I43" s="27"/>
      <c r="J43" s="27"/>
      <c r="K43" s="18"/>
      <c r="L43" s="30"/>
      <c r="M43"/>
      <c r="N43" s="477"/>
      <c r="O43" s="732" t="s">
        <v>727</v>
      </c>
      <c r="P43" s="733">
        <f>P42</f>
        <v>0.14000000000000001</v>
      </c>
      <c r="Q43" s="733">
        <f>Q41</f>
        <v>0.41699999999999998</v>
      </c>
      <c r="R43" s="733">
        <f>R40</f>
        <v>0.64500000000000002</v>
      </c>
      <c r="S43" s="734">
        <v>1</v>
      </c>
      <c r="T43" s="735" t="s">
        <v>728</v>
      </c>
      <c r="U43" s="736"/>
      <c r="V43" s="736"/>
      <c r="W43" s="477"/>
      <c r="X43" s="477"/>
      <c r="Y43" s="477"/>
      <c r="Z43" s="477"/>
    </row>
    <row r="44" spans="1:26" ht="15" customHeight="1">
      <c r="A44" s="25"/>
      <c r="B44" s="17"/>
      <c r="C44" s="17"/>
      <c r="D44" s="17"/>
      <c r="E44" s="27"/>
      <c r="F44" s="27"/>
      <c r="G44" s="27"/>
      <c r="H44" s="27"/>
      <c r="I44" s="27"/>
      <c r="J44" s="27"/>
      <c r="K44" s="18"/>
      <c r="L44" s="30"/>
      <c r="M44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77"/>
      <c r="Y44" s="477"/>
      <c r="Z44" s="477"/>
    </row>
    <row r="45" spans="1:26" ht="15" customHeight="1">
      <c r="A45" s="25"/>
      <c r="B45" s="17"/>
      <c r="C45" s="17"/>
      <c r="D45" s="17"/>
      <c r="E45" s="27"/>
      <c r="F45" s="27"/>
      <c r="G45" s="27"/>
      <c r="H45" s="27"/>
      <c r="I45" s="27"/>
      <c r="J45" s="27"/>
      <c r="K45" s="18"/>
      <c r="L45" s="30"/>
      <c r="M45"/>
      <c r="N45" s="268" t="s">
        <v>191</v>
      </c>
      <c r="O45" s="478" t="s">
        <v>729</v>
      </c>
      <c r="P45" s="467"/>
      <c r="Q45" s="240" t="s">
        <v>730</v>
      </c>
      <c r="R45" s="240"/>
      <c r="S45" s="467"/>
      <c r="T45" s="477"/>
      <c r="U45" s="477"/>
      <c r="V45" s="477"/>
      <c r="W45" s="477"/>
      <c r="X45" s="477"/>
      <c r="Y45" s="477"/>
      <c r="Z45" s="477"/>
    </row>
    <row r="46" spans="1:26" ht="15" customHeight="1">
      <c r="A46" s="25"/>
      <c r="B46" s="17"/>
      <c r="C46" s="17"/>
      <c r="D46" s="17"/>
      <c r="E46" s="27"/>
      <c r="F46" s="27"/>
      <c r="G46" s="27"/>
      <c r="H46" s="27"/>
      <c r="I46" s="27"/>
      <c r="J46" s="27"/>
      <c r="K46" s="18"/>
      <c r="L46" s="30"/>
      <c r="M46"/>
      <c r="N46" s="467"/>
      <c r="O46" s="467"/>
      <c r="P46" s="467"/>
      <c r="Q46" s="467"/>
      <c r="R46" s="467"/>
      <c r="S46" s="467"/>
      <c r="T46" s="467"/>
      <c r="U46" s="467"/>
      <c r="V46" s="467"/>
      <c r="W46" s="477"/>
      <c r="X46" s="477"/>
      <c r="Y46" s="477"/>
      <c r="Z46" s="477"/>
    </row>
    <row r="47" spans="1:26" ht="15" customHeight="1">
      <c r="A47" s="25"/>
      <c r="B47" s="17"/>
      <c r="C47" s="17"/>
      <c r="D47" s="17"/>
      <c r="E47" s="27"/>
      <c r="F47" s="27"/>
      <c r="G47" s="27"/>
      <c r="H47" s="27"/>
      <c r="I47" s="27"/>
      <c r="J47" s="27"/>
      <c r="K47" s="18"/>
      <c r="L47" s="30"/>
      <c r="M47"/>
      <c r="N47" s="467"/>
      <c r="O47" s="309"/>
      <c r="P47" s="310" t="s">
        <v>720</v>
      </c>
      <c r="Q47" s="310"/>
      <c r="R47" s="310"/>
      <c r="S47" s="311"/>
      <c r="T47" s="467"/>
      <c r="U47" s="420" t="s">
        <v>731</v>
      </c>
      <c r="V47" s="467"/>
      <c r="W47" s="477"/>
      <c r="X47" s="477"/>
      <c r="Y47" s="477"/>
      <c r="Z47" s="477"/>
    </row>
    <row r="48" spans="1:26" ht="15" customHeight="1">
      <c r="A48" s="25"/>
      <c r="B48" s="17"/>
      <c r="C48" s="17"/>
      <c r="D48" s="17"/>
      <c r="E48" s="27"/>
      <c r="F48" s="27"/>
      <c r="G48" s="27"/>
      <c r="H48" s="27"/>
      <c r="I48" s="27"/>
      <c r="J48" s="27"/>
      <c r="K48" s="18"/>
      <c r="L48" s="30"/>
      <c r="M48"/>
      <c r="N48" s="467"/>
      <c r="O48" s="312" t="s">
        <v>83</v>
      </c>
      <c r="P48" s="313">
        <v>12</v>
      </c>
      <c r="Q48" s="313">
        <v>24</v>
      </c>
      <c r="R48" s="313">
        <v>36</v>
      </c>
      <c r="S48" s="314">
        <v>48</v>
      </c>
      <c r="T48" s="467"/>
      <c r="U48" s="420" t="s">
        <v>732</v>
      </c>
      <c r="V48" s="467"/>
      <c r="W48" s="477"/>
      <c r="X48" s="477"/>
      <c r="Y48" s="477"/>
      <c r="Z48" s="477"/>
    </row>
    <row r="49" spans="1:26" ht="15" customHeight="1">
      <c r="A49" s="25"/>
      <c r="B49" s="17"/>
      <c r="C49" s="17"/>
      <c r="D49" s="17"/>
      <c r="E49" s="27"/>
      <c r="F49" s="27"/>
      <c r="G49" s="27"/>
      <c r="H49" s="27"/>
      <c r="I49" s="27"/>
      <c r="J49" s="27"/>
      <c r="K49" s="18"/>
      <c r="L49" s="30"/>
      <c r="M49"/>
      <c r="N49" s="467"/>
      <c r="O49" s="298">
        <f>B18</f>
        <v>2022</v>
      </c>
      <c r="P49" s="320"/>
      <c r="Q49" s="320"/>
      <c r="R49" s="320"/>
      <c r="S49" s="737"/>
      <c r="T49" s="467"/>
      <c r="U49" s="420"/>
      <c r="V49" s="467"/>
      <c r="W49" s="477"/>
      <c r="X49" s="477"/>
      <c r="Y49" s="477"/>
      <c r="Z49" s="477"/>
    </row>
    <row r="50" spans="1:26" ht="15" customHeight="1">
      <c r="A50" s="25"/>
      <c r="B50" s="17"/>
      <c r="C50" s="17"/>
      <c r="D50" s="17"/>
      <c r="E50" s="27"/>
      <c r="F50" s="27"/>
      <c r="G50" s="27"/>
      <c r="H50" s="27"/>
      <c r="I50" s="27"/>
      <c r="J50" s="27"/>
      <c r="K50" s="18"/>
      <c r="L50" s="30"/>
      <c r="M50"/>
      <c r="N50" s="477"/>
      <c r="O50" s="298">
        <f>O49+1</f>
        <v>2023</v>
      </c>
      <c r="P50" s="320"/>
      <c r="Q50" s="320"/>
      <c r="R50" s="324"/>
      <c r="S50" s="738">
        <f>P60</f>
        <v>439</v>
      </c>
      <c r="T50" s="477"/>
      <c r="U50" s="134" t="s">
        <v>733</v>
      </c>
      <c r="V50" s="477"/>
      <c r="W50" s="477"/>
      <c r="X50" s="477"/>
      <c r="Y50" s="477"/>
      <c r="Z50" s="477"/>
    </row>
    <row r="51" spans="1:26" ht="15" customHeight="1">
      <c r="A51" s="25"/>
      <c r="B51" s="17"/>
      <c r="C51" s="17"/>
      <c r="D51" s="17"/>
      <c r="E51" s="27"/>
      <c r="F51" s="27"/>
      <c r="G51" s="27"/>
      <c r="H51" s="27"/>
      <c r="I51" s="27"/>
      <c r="J51" s="27"/>
      <c r="K51" s="18"/>
      <c r="L51" s="30"/>
      <c r="M51"/>
      <c r="N51" s="477"/>
      <c r="O51" s="298">
        <f>O50+1</f>
        <v>2024</v>
      </c>
      <c r="P51" s="320"/>
      <c r="Q51" s="324"/>
      <c r="R51" s="739">
        <f>P58</f>
        <v>310</v>
      </c>
      <c r="S51" s="740">
        <f>P59</f>
        <v>482.89699999999999</v>
      </c>
      <c r="T51" s="477"/>
      <c r="U51" s="134" t="s">
        <v>734</v>
      </c>
      <c r="V51" s="477"/>
      <c r="W51" s="477"/>
      <c r="X51" s="477"/>
      <c r="Y51" s="477"/>
      <c r="Z51" s="477"/>
    </row>
    <row r="52" spans="1:26" ht="15" customHeight="1">
      <c r="A52" s="25"/>
      <c r="B52" s="17"/>
      <c r="C52" s="17"/>
      <c r="D52" s="17"/>
      <c r="E52" s="27"/>
      <c r="F52" s="27"/>
      <c r="G52" s="27"/>
      <c r="H52" s="27"/>
      <c r="I52" s="27"/>
      <c r="J52" s="27"/>
      <c r="K52" s="18"/>
      <c r="L52" s="30"/>
      <c r="M52"/>
      <c r="N52" s="477"/>
      <c r="O52" s="316">
        <f>O51+1</f>
        <v>2025</v>
      </c>
      <c r="P52" s="741"/>
      <c r="Q52" s="742">
        <f>P55</f>
        <v>414</v>
      </c>
      <c r="R52" s="742">
        <f>P56</f>
        <v>341</v>
      </c>
      <c r="S52" s="743">
        <f>P57</f>
        <v>531</v>
      </c>
      <c r="T52" s="477"/>
      <c r="U52" s="134" t="s">
        <v>735</v>
      </c>
      <c r="V52" s="477"/>
      <c r="W52" s="477"/>
      <c r="X52" s="477"/>
      <c r="Y52" s="477"/>
      <c r="Z52" s="477"/>
    </row>
    <row r="53" spans="1:26" ht="15" customHeight="1">
      <c r="A53" s="25"/>
      <c r="B53" s="17"/>
      <c r="C53" s="17"/>
      <c r="D53" s="17"/>
      <c r="E53" s="27"/>
      <c r="F53" s="27"/>
      <c r="G53" s="27"/>
      <c r="H53" s="27"/>
      <c r="I53" s="27"/>
      <c r="J53" s="27"/>
      <c r="K53" s="18"/>
      <c r="L53" s="30"/>
      <c r="M53" s="42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</row>
    <row r="54" spans="1:26" ht="15" customHeight="1">
      <c r="A54" s="25"/>
      <c r="B54" s="17"/>
      <c r="C54" s="17"/>
      <c r="D54" s="17"/>
      <c r="E54" s="27"/>
      <c r="F54" s="27"/>
      <c r="G54" s="27"/>
      <c r="H54" s="27"/>
      <c r="I54" s="27"/>
      <c r="J54" s="27"/>
      <c r="K54" s="18"/>
      <c r="L54" s="30"/>
      <c r="M54"/>
      <c r="N54" s="477"/>
      <c r="O54" s="467"/>
      <c r="P54" s="467"/>
      <c r="Q54" s="467"/>
      <c r="R54" s="744" t="s">
        <v>736</v>
      </c>
      <c r="S54" s="745"/>
      <c r="T54" s="467"/>
      <c r="U54" s="746" t="s">
        <v>737</v>
      </c>
      <c r="V54" s="747"/>
      <c r="W54" s="747"/>
      <c r="X54" s="747"/>
      <c r="Y54" s="745"/>
      <c r="Z54" s="477"/>
    </row>
    <row r="55" spans="1:26" ht="15" customHeight="1">
      <c r="A55" s="25"/>
      <c r="B55" s="17"/>
      <c r="C55" s="17"/>
      <c r="D55" s="17"/>
      <c r="E55" s="27"/>
      <c r="F55" s="27"/>
      <c r="G55" s="27"/>
      <c r="H55" s="27"/>
      <c r="I55" s="27"/>
      <c r="J55" s="27"/>
      <c r="K55" s="18"/>
      <c r="L55" s="30"/>
      <c r="M55" s="42"/>
      <c r="N55" s="477"/>
      <c r="O55" s="524" t="s">
        <v>738</v>
      </c>
      <c r="P55" s="596">
        <f>ROUND((G21-P24)*(Q43-P43)/(S43-P43),0)</f>
        <v>414</v>
      </c>
      <c r="Q55" s="482" t="s">
        <v>34</v>
      </c>
      <c r="R55" s="300" t="str">
        <f>"( "&amp;G21&amp;" - "&amp;P24&amp;" )"</f>
        <v>( 1496.044 - 210 )</v>
      </c>
      <c r="S55" s="353"/>
      <c r="T55" s="481" t="s">
        <v>148</v>
      </c>
      <c r="U55" s="300" t="str">
        <f>"( " &amp; Q43 &amp; " - " &amp; P43 &amp; " )"</f>
        <v>( 0.417 - 0.14 )</v>
      </c>
      <c r="V55" s="300"/>
      <c r="W55" s="236" t="s">
        <v>36</v>
      </c>
      <c r="X55" s="300" t="str">
        <f>"( " &amp; S43 &amp; " - " &amp; P43 &amp; " )"</f>
        <v>( 1 - 0.14 )</v>
      </c>
      <c r="Y55" s="300"/>
      <c r="Z55" s="477"/>
    </row>
    <row r="56" spans="1:26" ht="15" customHeight="1">
      <c r="A56" s="25"/>
      <c r="B56" s="17"/>
      <c r="C56" s="17"/>
      <c r="D56" s="17"/>
      <c r="E56" s="27"/>
      <c r="F56" s="27"/>
      <c r="G56" s="27"/>
      <c r="H56" s="27"/>
      <c r="I56" s="27"/>
      <c r="J56" s="27"/>
      <c r="K56" s="18"/>
      <c r="L56" s="30"/>
      <c r="M56"/>
      <c r="N56" s="477"/>
      <c r="O56" s="524" t="s">
        <v>739</v>
      </c>
      <c r="P56" s="596">
        <f>ROUND((G21-P24)*(R43-Q43)/(S43-P43),0)</f>
        <v>341</v>
      </c>
      <c r="Q56" s="482" t="s">
        <v>34</v>
      </c>
      <c r="R56" s="300" t="str">
        <f>"( "&amp;G21&amp;" - "&amp;P24&amp;" )"</f>
        <v>( 1496.044 - 210 )</v>
      </c>
      <c r="S56" s="353"/>
      <c r="T56" s="481" t="s">
        <v>148</v>
      </c>
      <c r="U56" s="300" t="str">
        <f>"( " &amp; R43 &amp; " - " &amp; Q43 &amp; " )"</f>
        <v>( 0.645 - 0.417 )</v>
      </c>
      <c r="V56" s="300"/>
      <c r="W56" s="236" t="s">
        <v>36</v>
      </c>
      <c r="X56" s="300" t="str">
        <f>"( " &amp; S43 &amp; " - " &amp; P43 &amp; " )"</f>
        <v>( 1 - 0.14 )</v>
      </c>
      <c r="Y56" s="300"/>
      <c r="Z56" s="477"/>
    </row>
    <row r="57" spans="1:26" ht="15" customHeight="1" thickBot="1">
      <c r="A57" s="24"/>
      <c r="B57" s="31"/>
      <c r="C57" s="31"/>
      <c r="D57" s="31"/>
      <c r="E57" s="31"/>
      <c r="F57" s="31"/>
      <c r="G57" s="31"/>
      <c r="H57" s="31"/>
      <c r="I57" s="31"/>
      <c r="J57" s="31"/>
      <c r="K57" s="32"/>
      <c r="L57" s="30"/>
      <c r="M57" s="42"/>
      <c r="N57" s="237"/>
      <c r="O57" s="592" t="s">
        <v>740</v>
      </c>
      <c r="P57" s="748">
        <f>ROUND((G21-P24)*(S43-R43)/(S43-P43),0)</f>
        <v>531</v>
      </c>
      <c r="Q57" s="749" t="s">
        <v>34</v>
      </c>
      <c r="R57" s="750" t="str">
        <f>"( "&amp;G21&amp;" - "&amp;P24&amp;" )"</f>
        <v>( 1496.044 - 210 )</v>
      </c>
      <c r="S57" s="751"/>
      <c r="T57" s="238" t="s">
        <v>148</v>
      </c>
      <c r="U57" s="750" t="str">
        <f>"( " &amp; S43 &amp; " - " &amp; R43 &amp; " )"</f>
        <v>( 1 - 0.645 )</v>
      </c>
      <c r="V57" s="750"/>
      <c r="W57" s="286" t="s">
        <v>36</v>
      </c>
      <c r="X57" s="750" t="str">
        <f>"( " &amp; S43 &amp; " - " &amp; P43 &amp; " )"</f>
        <v>( 1 - 0.14 )</v>
      </c>
      <c r="Y57" s="750"/>
      <c r="Z57" s="477"/>
    </row>
    <row r="58" spans="1:26" ht="15" customHeight="1">
      <c r="L58" s="30"/>
      <c r="M58"/>
      <c r="N58" s="752" t="s">
        <v>149</v>
      </c>
      <c r="O58" s="524" t="s">
        <v>741</v>
      </c>
      <c r="P58" s="753">
        <f>ROUND((G20-Q23)*(R43-Q43)/(S43-Q43),0)</f>
        <v>310</v>
      </c>
      <c r="Q58" s="482" t="s">
        <v>34</v>
      </c>
      <c r="R58" s="300" t="str">
        <f>"( "&amp;G20&amp;" - "&amp;Q23&amp;" )"</f>
        <v>( 1360.04 - 567 )</v>
      </c>
      <c r="S58" s="353"/>
      <c r="T58" s="481" t="s">
        <v>148</v>
      </c>
      <c r="U58" s="300" t="str">
        <f>"( " &amp; R43 &amp; " - " &amp; Q43 &amp; " )"</f>
        <v>( 0.645 - 0.417 )</v>
      </c>
      <c r="V58" s="300"/>
      <c r="W58" s="236" t="s">
        <v>36</v>
      </c>
      <c r="X58" s="300" t="str">
        <f>"( " &amp; S43 &amp; " - " &amp; Q43 &amp; " )"</f>
        <v>( 1 - 0.417 )</v>
      </c>
      <c r="Y58" s="300"/>
      <c r="Z58" s="477"/>
    </row>
    <row r="59" spans="1:26" ht="15" customHeight="1">
      <c r="L59" s="30"/>
      <c r="M59"/>
      <c r="N59" s="754" t="s">
        <v>149</v>
      </c>
      <c r="O59" s="592" t="s">
        <v>742</v>
      </c>
      <c r="P59" s="755">
        <f>ROUND((G20-Q23)*(S43-R43)/(S43-Q43),3)</f>
        <v>482.89699999999999</v>
      </c>
      <c r="Q59" s="749" t="s">
        <v>34</v>
      </c>
      <c r="R59" s="750" t="str">
        <f>"( "&amp;G20&amp;" - "&amp;Q23&amp;" )"</f>
        <v>( 1360.04 - 567 )</v>
      </c>
      <c r="S59" s="751"/>
      <c r="T59" s="238" t="s">
        <v>148</v>
      </c>
      <c r="U59" s="750" t="str">
        <f>"( " &amp; S43 &amp; " - " &amp; R43 &amp; " )"</f>
        <v>( 1 - 0.645 )</v>
      </c>
      <c r="V59" s="750"/>
      <c r="W59" s="286" t="s">
        <v>36</v>
      </c>
      <c r="X59" s="750" t="str">
        <f>"( " &amp; S43 &amp; " - " &amp; Q43 &amp; " )"</f>
        <v>( 1 - 0.417 )</v>
      </c>
      <c r="Y59" s="750"/>
      <c r="Z59" s="477"/>
    </row>
    <row r="60" spans="1:26" ht="15" customHeight="1">
      <c r="L60" s="30"/>
      <c r="M60"/>
      <c r="N60" s="752" t="s">
        <v>149</v>
      </c>
      <c r="O60" s="524" t="s">
        <v>743</v>
      </c>
      <c r="P60" s="756">
        <f>IFERROR(ROUND((G19-R22)*(S43-R43)/(S43-R43),0),0)</f>
        <v>439</v>
      </c>
      <c r="Q60" s="482" t="s">
        <v>34</v>
      </c>
      <c r="R60" s="300" t="str">
        <f>"( "&amp;G19&amp;" - "&amp;R22&amp;" )"</f>
        <v>( 1236.4 - 797 )</v>
      </c>
      <c r="S60" s="353"/>
      <c r="T60" s="481" t="s">
        <v>148</v>
      </c>
      <c r="U60" s="300" t="str">
        <f>"( " &amp; S43 &amp; " - " &amp; R43 &amp; " )"</f>
        <v>( 1 - 0.645 )</v>
      </c>
      <c r="V60" s="300"/>
      <c r="W60" s="236" t="s">
        <v>36</v>
      </c>
      <c r="X60" s="300" t="str">
        <f>"( " &amp; S43 &amp; " - " &amp; R43 &amp; " )"</f>
        <v>( 1 - 0.645 )</v>
      </c>
      <c r="Y60" s="300"/>
      <c r="Z60" s="477"/>
    </row>
    <row r="61" spans="1:26" ht="15" customHeight="1">
      <c r="L61" s="30"/>
      <c r="M61"/>
      <c r="N61" s="752" t="s">
        <v>149</v>
      </c>
      <c r="O61" s="134" t="s">
        <v>744</v>
      </c>
      <c r="P61" s="477"/>
      <c r="Q61" s="477"/>
      <c r="R61" s="477"/>
      <c r="S61" s="477"/>
      <c r="T61" s="477"/>
      <c r="U61" s="477"/>
      <c r="V61" s="477"/>
      <c r="W61" s="477"/>
      <c r="X61" s="477"/>
      <c r="Y61" s="477"/>
      <c r="Z61" s="477"/>
    </row>
    <row r="62" spans="1:26" ht="15" customHeight="1">
      <c r="L62" s="30"/>
      <c r="M62"/>
      <c r="N62" s="752"/>
      <c r="O62" s="134"/>
      <c r="P62" s="477"/>
      <c r="Q62" s="477"/>
      <c r="R62" s="477"/>
      <c r="S62" s="477"/>
      <c r="T62" s="477"/>
      <c r="U62" s="477"/>
      <c r="V62" s="477"/>
      <c r="W62" s="477"/>
      <c r="X62" s="477"/>
      <c r="Y62" s="477"/>
      <c r="Z62" s="477"/>
    </row>
    <row r="63" spans="1:26" ht="15" customHeight="1">
      <c r="L63" s="30"/>
      <c r="M63"/>
      <c r="N63" s="430" t="s">
        <v>612</v>
      </c>
      <c r="O63" s="477" t="s">
        <v>745</v>
      </c>
      <c r="P63" s="477"/>
      <c r="Q63" s="240"/>
      <c r="R63" s="477"/>
      <c r="S63" s="477"/>
      <c r="T63" s="477"/>
      <c r="U63" s="477"/>
      <c r="V63" s="477"/>
      <c r="W63" s="477"/>
      <c r="X63" s="477"/>
      <c r="Y63" s="477"/>
      <c r="Z63" s="477"/>
    </row>
    <row r="64" spans="1:26" ht="15" customHeight="1">
      <c r="L64" s="30"/>
      <c r="M64"/>
      <c r="N64" s="477"/>
      <c r="O64" s="477"/>
      <c r="P64" s="477"/>
      <c r="Q64" s="477"/>
      <c r="R64" s="477"/>
      <c r="S64" s="477"/>
      <c r="T64" s="477"/>
      <c r="U64" s="477"/>
      <c r="V64" s="477"/>
      <c r="W64" s="477"/>
      <c r="X64" s="477"/>
      <c r="Y64" s="477"/>
      <c r="Z64" s="477"/>
    </row>
    <row r="65" spans="2:35" ht="15" customHeight="1">
      <c r="L65" s="30"/>
      <c r="M65"/>
      <c r="N65" s="477"/>
      <c r="O65" s="309"/>
      <c r="P65" s="310" t="s">
        <v>746</v>
      </c>
      <c r="Q65" s="310"/>
      <c r="R65" s="310"/>
      <c r="S65" s="311"/>
      <c r="T65" s="477"/>
      <c r="U65" s="477"/>
      <c r="V65" s="477"/>
      <c r="W65" s="477"/>
      <c r="X65" s="477"/>
      <c r="Y65" s="477"/>
      <c r="Z65" s="477"/>
    </row>
    <row r="66" spans="2:35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/>
      <c r="N66" s="477"/>
      <c r="O66" s="312" t="s">
        <v>83</v>
      </c>
      <c r="P66" s="313">
        <v>12</v>
      </c>
      <c r="Q66" s="313">
        <v>24</v>
      </c>
      <c r="R66" s="313">
        <v>36</v>
      </c>
      <c r="S66" s="314">
        <v>48</v>
      </c>
      <c r="T66" s="477"/>
      <c r="U66" s="757" t="s">
        <v>747</v>
      </c>
      <c r="V66" s="477"/>
      <c r="W66" s="477"/>
      <c r="X66" s="477"/>
      <c r="Y66" s="477"/>
      <c r="Z66" s="477"/>
    </row>
    <row r="67" spans="2:35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/>
      <c r="N67" s="477"/>
      <c r="O67" s="298">
        <f>B18</f>
        <v>2022</v>
      </c>
      <c r="P67" s="758">
        <f>IFERROR(V30/V21*(1+D14)^(O70-O67),"")</f>
        <v>457.98674299065425</v>
      </c>
      <c r="Q67" s="246">
        <f>IFERROR(W30/W21*(1+D14)^(O70-O67),"")</f>
        <v>506.94793836206901</v>
      </c>
      <c r="R67" s="758">
        <f>IFERROR(X30/X21*(1+D14)^(O70-O67),"")</f>
        <v>274.48356462378644</v>
      </c>
      <c r="S67" s="759">
        <f>IFERROR(Y30/Y21*(1+D14)^(O70-O67),"")</f>
        <v>724.92369771634628</v>
      </c>
      <c r="T67" s="760"/>
      <c r="U67" s="761">
        <f>Q67</f>
        <v>506.94793836206901</v>
      </c>
      <c r="V67" s="481" t="s">
        <v>34</v>
      </c>
      <c r="W67" s="477" t="str">
        <f>"( " &amp; W30&amp;" / "&amp;W21&amp;" )" &amp; " x " &amp; "( "&amp;"1"&amp; " + " &amp; D14*100 &amp; "% )" &amp; "^3"</f>
        <v>( 126997 / 290 ) x ( 1 + 5% )^3</v>
      </c>
      <c r="X67" s="477"/>
      <c r="Y67" s="477"/>
      <c r="Z67" s="477"/>
    </row>
    <row r="68" spans="2:35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/>
      <c r="N68" s="477"/>
      <c r="O68" s="298">
        <f>O67+1</f>
        <v>2023</v>
      </c>
      <c r="P68" s="758">
        <f>V31/V22*(1+D14)^(O70-O68)</f>
        <v>498.7527202072539</v>
      </c>
      <c r="Q68" s="246">
        <f>W31/W22*(1+D14)^(O70-O68)</f>
        <v>400.9893916913947</v>
      </c>
      <c r="R68" s="758">
        <f>X31/X22*(1+D14)^(O70-O68)</f>
        <v>422.91817415730338</v>
      </c>
      <c r="S68" s="759"/>
      <c r="T68" s="760"/>
      <c r="U68" s="761">
        <f>Q68</f>
        <v>400.9893916913947</v>
      </c>
      <c r="V68" s="481" t="s">
        <v>34</v>
      </c>
      <c r="W68" s="477" t="str">
        <f>"( " &amp; W31&amp;" / "&amp;W22&amp;" )" &amp; " x " &amp; "( "&amp;"1"&amp; " + " &amp; D14*100 &amp; "% )" &amp; "^2"</f>
        <v>( 122570 / 337 ) x ( 1 + 5% )^2</v>
      </c>
      <c r="X68" s="477"/>
      <c r="Y68" s="477"/>
      <c r="Z68" s="477"/>
    </row>
    <row r="69" spans="2:35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/>
      <c r="N69" s="477"/>
      <c r="O69" s="298">
        <f>O68+1</f>
        <v>2024</v>
      </c>
      <c r="P69" s="758">
        <f>V32/V23*(1+D14)^(O70-O69)</f>
        <v>480.55849514563113</v>
      </c>
      <c r="Q69" s="246">
        <f>W32/W23*(1+D14)^(O70-O69)</f>
        <v>417.62368421052633</v>
      </c>
      <c r="R69" s="758"/>
      <c r="S69" s="759"/>
      <c r="T69" s="760"/>
      <c r="U69" s="761">
        <f>Q69</f>
        <v>417.62368421052633</v>
      </c>
      <c r="V69" s="481" t="s">
        <v>34</v>
      </c>
      <c r="W69" s="477" t="str">
        <f>"( " &amp; W32&amp;" / "&amp;W23&amp;" )" &amp; " x " &amp; "( "&amp;"1"&amp; " + " &amp; D14*100 &amp; "% )" &amp; "^1"</f>
        <v>( 143583 / 361 ) x ( 1 + 5% )^1</v>
      </c>
      <c r="X69" s="477"/>
      <c r="Y69" s="477"/>
      <c r="Z69" s="477"/>
    </row>
    <row r="70" spans="2:35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/>
      <c r="N70" s="283"/>
      <c r="O70" s="732">
        <f>O69+1</f>
        <v>2025</v>
      </c>
      <c r="P70" s="762">
        <f>P69</f>
        <v>480.55849514563113</v>
      </c>
      <c r="Q70" s="763">
        <f>Q69</f>
        <v>417.62368421052633</v>
      </c>
      <c r="R70" s="763">
        <f>IFERROR(ROUND(AVERAGE(R67:R69),3),0)</f>
        <v>348.70100000000002</v>
      </c>
      <c r="S70" s="764">
        <f>IFERROR(ROUND(AVERAGE(S67:S69),3),0)</f>
        <v>724.92399999999998</v>
      </c>
      <c r="T70" s="735" t="s">
        <v>728</v>
      </c>
      <c r="U70" s="765"/>
      <c r="V70" s="765"/>
      <c r="W70" s="765"/>
      <c r="X70" s="765"/>
      <c r="Y70" s="284"/>
      <c r="Z70" s="477"/>
      <c r="AA70"/>
      <c r="AB70"/>
      <c r="AC70"/>
      <c r="AD70"/>
      <c r="AE70"/>
      <c r="AF70"/>
      <c r="AG70"/>
      <c r="AH70"/>
      <c r="AI70"/>
    </row>
    <row r="71" spans="2:35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N71" s="467"/>
      <c r="O71" s="596" t="s">
        <v>47</v>
      </c>
      <c r="P71" s="467"/>
      <c r="Q71" s="205">
        <f>Q52</f>
        <v>414</v>
      </c>
      <c r="R71" s="205">
        <f>R52</f>
        <v>341</v>
      </c>
      <c r="S71" s="205">
        <f>S52</f>
        <v>531</v>
      </c>
      <c r="T71" s="134" t="s">
        <v>748</v>
      </c>
      <c r="U71" s="467"/>
      <c r="V71" s="467"/>
      <c r="W71" s="467"/>
      <c r="X71" s="467"/>
      <c r="Y71" s="477"/>
      <c r="Z71" s="477"/>
      <c r="AA71"/>
      <c r="AB71"/>
      <c r="AC71"/>
      <c r="AD71"/>
      <c r="AE71"/>
      <c r="AF71"/>
      <c r="AG71"/>
      <c r="AH71"/>
      <c r="AI71"/>
    </row>
    <row r="72" spans="2:35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N72" s="430" t="s">
        <v>230</v>
      </c>
      <c r="O72" s="479" t="s">
        <v>194</v>
      </c>
      <c r="P72" s="467"/>
      <c r="Q72" s="481">
        <f>Q71*Q70</f>
        <v>172896.2052631579</v>
      </c>
      <c r="R72" s="481">
        <f>R71*R70</f>
        <v>118907.04100000001</v>
      </c>
      <c r="S72" s="481">
        <f>S71*S70</f>
        <v>384934.64399999997</v>
      </c>
      <c r="T72" s="766" t="s">
        <v>749</v>
      </c>
      <c r="U72" s="467"/>
      <c r="V72" s="467"/>
      <c r="W72" s="467"/>
      <c r="X72" s="467"/>
      <c r="Y72" s="467"/>
      <c r="Z72" s="477"/>
      <c r="AA72"/>
      <c r="AB72"/>
      <c r="AC72"/>
      <c r="AD72"/>
      <c r="AE72"/>
      <c r="AF72"/>
      <c r="AG72"/>
      <c r="AH72"/>
      <c r="AI72"/>
    </row>
    <row r="73" spans="2:35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N73" s="467"/>
      <c r="O73" s="767" t="s">
        <v>750</v>
      </c>
      <c r="P73" s="467"/>
      <c r="Q73" s="50">
        <f>G12</f>
        <v>0.15</v>
      </c>
      <c r="R73" s="50">
        <f>G12</f>
        <v>0.15</v>
      </c>
      <c r="S73" s="50">
        <f>G12</f>
        <v>0.15</v>
      </c>
      <c r="T73" s="766" t="s">
        <v>751</v>
      </c>
      <c r="U73" s="467"/>
      <c r="V73" s="467"/>
      <c r="W73" s="467"/>
      <c r="X73" s="467"/>
      <c r="Y73" s="467"/>
      <c r="Z73" s="477"/>
      <c r="AA73"/>
      <c r="AB73"/>
      <c r="AC73"/>
      <c r="AD73"/>
      <c r="AE73"/>
      <c r="AF73"/>
      <c r="AG73"/>
      <c r="AH73"/>
      <c r="AI73"/>
    </row>
    <row r="74" spans="2:35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N74" s="467"/>
      <c r="O74" s="768" t="s">
        <v>752</v>
      </c>
      <c r="P74" s="449"/>
      <c r="Q74" s="684">
        <f>Q72*(1+Q73)</f>
        <v>198830.63605263157</v>
      </c>
      <c r="R74" s="684">
        <f>R72*(1+R73)</f>
        <v>136743.09715000002</v>
      </c>
      <c r="S74" s="684">
        <f>S72*(1+S73)</f>
        <v>442674.84059999994</v>
      </c>
      <c r="T74" s="769">
        <f>SUM(Q74:S74)</f>
        <v>778248.57380263158</v>
      </c>
      <c r="U74" s="770" t="s">
        <v>753</v>
      </c>
      <c r="V74" s="449"/>
      <c r="W74" s="449"/>
      <c r="X74" s="449"/>
      <c r="Y74" s="449"/>
      <c r="Z74" s="477"/>
      <c r="AA74"/>
      <c r="AB74"/>
      <c r="AC74"/>
      <c r="AD74"/>
      <c r="AE74"/>
      <c r="AF74"/>
      <c r="AG74"/>
      <c r="AH74"/>
      <c r="AI74"/>
    </row>
    <row r="75" spans="2:35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N75" s="467"/>
      <c r="O75" s="467"/>
      <c r="P75" s="467"/>
      <c r="Q75" s="477"/>
      <c r="R75" s="477"/>
      <c r="S75" s="477"/>
      <c r="T75" s="477">
        <f>T74+C28</f>
        <v>861946.57380263158</v>
      </c>
      <c r="U75" s="771" t="s">
        <v>754</v>
      </c>
      <c r="V75" s="467"/>
      <c r="W75" s="467"/>
      <c r="X75" s="467"/>
      <c r="Y75" s="467"/>
      <c r="Z75" s="467"/>
      <c r="AA75"/>
      <c r="AB75"/>
      <c r="AC75"/>
      <c r="AD75"/>
      <c r="AE75"/>
      <c r="AF75"/>
      <c r="AG75"/>
      <c r="AH75"/>
      <c r="AI75"/>
    </row>
    <row r="76" spans="2:35" ht="15" customHeight="1">
      <c r="B76" s="30"/>
      <c r="C76" s="30"/>
      <c r="D76" s="30"/>
      <c r="E76" s="406"/>
      <c r="F76" s="30"/>
      <c r="G76" s="30"/>
      <c r="H76" s="30"/>
      <c r="I76" s="30"/>
      <c r="J76" s="30"/>
      <c r="K76" s="30"/>
      <c r="L76" s="30"/>
      <c r="N76" s="467"/>
      <c r="O76" s="467"/>
      <c r="P76" s="467"/>
      <c r="Q76" s="467"/>
      <c r="R76" s="467"/>
      <c r="S76" s="467"/>
      <c r="T76" s="467"/>
      <c r="U76" s="467"/>
      <c r="V76" s="467"/>
      <c r="W76" s="467"/>
      <c r="X76" s="467"/>
      <c r="Y76"/>
      <c r="Z76"/>
      <c r="AA76"/>
      <c r="AB76"/>
      <c r="AC76"/>
      <c r="AD76"/>
      <c r="AE76"/>
      <c r="AF76"/>
      <c r="AG76"/>
      <c r="AH76"/>
      <c r="AI76"/>
    </row>
    <row r="77" spans="2:35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N77" s="467"/>
      <c r="O77" s="467"/>
      <c r="P77" s="467"/>
      <c r="Q77" s="467"/>
      <c r="R77" s="467"/>
      <c r="S77" s="467"/>
      <c r="T77" s="467"/>
      <c r="U77" s="467"/>
      <c r="V77" s="467"/>
      <c r="W77" s="467"/>
      <c r="X77" s="467"/>
      <c r="Y77"/>
      <c r="Z77"/>
      <c r="AA77"/>
      <c r="AB77"/>
      <c r="AC77"/>
      <c r="AD77"/>
      <c r="AE77"/>
      <c r="AF77"/>
      <c r="AG77"/>
      <c r="AH77"/>
      <c r="AI77"/>
    </row>
    <row r="78" spans="2:35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N78" s="467"/>
      <c r="O78" s="467"/>
      <c r="P78" s="467"/>
      <c r="Q78" s="467"/>
      <c r="R78" s="467"/>
      <c r="S78" s="467"/>
      <c r="T78" s="467"/>
      <c r="U78" s="467"/>
      <c r="V78" s="467"/>
      <c r="W78" s="467"/>
      <c r="X78" s="467"/>
      <c r="Y78"/>
      <c r="Z78"/>
      <c r="AA78"/>
      <c r="AB78"/>
      <c r="AC78"/>
      <c r="AD78"/>
      <c r="AE78"/>
      <c r="AF78"/>
      <c r="AG78"/>
      <c r="AH78"/>
      <c r="AI78"/>
    </row>
    <row r="79" spans="2:35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N79" s="467"/>
      <c r="O79" s="467"/>
      <c r="P79" s="467"/>
      <c r="Q79" s="467"/>
      <c r="R79" s="467"/>
      <c r="S79" s="467"/>
      <c r="T79" s="467"/>
      <c r="U79" s="467"/>
      <c r="V79" s="467"/>
      <c r="W79" s="467"/>
      <c r="X79" s="467"/>
      <c r="Y79"/>
      <c r="Z79"/>
      <c r="AA79"/>
      <c r="AB79"/>
      <c r="AC79"/>
      <c r="AD79"/>
      <c r="AE79"/>
      <c r="AF79"/>
      <c r="AG79"/>
      <c r="AH79"/>
      <c r="AI79"/>
    </row>
    <row r="80" spans="2:35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N80" s="467"/>
      <c r="O80" s="467"/>
      <c r="P80" s="467"/>
      <c r="Q80" s="467"/>
      <c r="R80" s="467"/>
      <c r="S80" s="467"/>
      <c r="T80" s="467"/>
      <c r="U80" s="467"/>
      <c r="V80" s="467"/>
      <c r="W80" s="467"/>
      <c r="X80" s="467"/>
      <c r="Y80"/>
      <c r="Z80"/>
      <c r="AA80"/>
      <c r="AB80"/>
      <c r="AC80"/>
      <c r="AD80"/>
      <c r="AE80"/>
      <c r="AF80"/>
      <c r="AG80"/>
      <c r="AH80"/>
      <c r="AI80"/>
    </row>
    <row r="81" spans="2:35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N81" s="467"/>
      <c r="O81" s="467"/>
      <c r="P81" s="467"/>
      <c r="Q81" s="467"/>
      <c r="R81" s="467"/>
      <c r="S81" s="467"/>
      <c r="T81" s="467"/>
      <c r="U81" s="467"/>
      <c r="V81" s="467"/>
      <c r="W81" s="467"/>
      <c r="X81" s="467"/>
      <c r="Y81"/>
      <c r="Z81"/>
      <c r="AA81"/>
      <c r="AB81"/>
      <c r="AC81"/>
      <c r="AD81"/>
      <c r="AE81"/>
      <c r="AF81"/>
      <c r="AG81"/>
      <c r="AH81"/>
      <c r="AI81"/>
    </row>
    <row r="82" spans="2:35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N82" s="467"/>
      <c r="O82" s="467"/>
      <c r="P82" s="467"/>
      <c r="Q82" s="467"/>
      <c r="R82" s="467"/>
      <c r="S82" s="467"/>
      <c r="T82" s="467"/>
      <c r="U82" s="467"/>
      <c r="V82" s="467"/>
      <c r="W82" s="467"/>
      <c r="X82" s="467"/>
      <c r="Y82"/>
      <c r="Z82"/>
      <c r="AA82"/>
      <c r="AB82"/>
      <c r="AC82"/>
      <c r="AD82"/>
      <c r="AE82"/>
      <c r="AF82"/>
      <c r="AG82"/>
      <c r="AH82"/>
      <c r="AI82"/>
    </row>
    <row r="83" spans="2:35" ht="15" customHeight="1">
      <c r="B83" s="30"/>
      <c r="C83" s="30"/>
      <c r="D83" s="30"/>
      <c r="E83" s="407"/>
      <c r="F83" s="407"/>
      <c r="G83" s="30"/>
      <c r="H83" s="407"/>
      <c r="I83" s="30"/>
      <c r="J83" s="30"/>
      <c r="K83" s="30"/>
      <c r="L83" s="30"/>
      <c r="N83" s="467"/>
      <c r="O83" s="467"/>
      <c r="P83" s="467"/>
      <c r="Q83" s="467"/>
      <c r="R83" s="467"/>
      <c r="S83" s="467"/>
      <c r="T83" s="467"/>
      <c r="U83" s="467"/>
      <c r="V83" s="467"/>
      <c r="W83" s="467"/>
      <c r="X83" s="467"/>
      <c r="Y83"/>
      <c r="Z83"/>
      <c r="AA83"/>
      <c r="AB83"/>
      <c r="AC83"/>
      <c r="AD83"/>
      <c r="AE83"/>
      <c r="AF83"/>
      <c r="AG83"/>
      <c r="AH83"/>
      <c r="AI83"/>
    </row>
    <row r="84" spans="2:35" ht="15" customHeight="1">
      <c r="B84" s="30"/>
      <c r="C84" s="30"/>
      <c r="D84" s="30"/>
      <c r="E84" s="407"/>
      <c r="F84" s="407"/>
      <c r="G84" s="30"/>
      <c r="H84" s="407"/>
      <c r="I84" s="30"/>
      <c r="J84" s="30"/>
      <c r="K84" s="30"/>
      <c r="L84" s="30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2:35" ht="15" customHeight="1">
      <c r="B85" s="30"/>
      <c r="C85" s="30"/>
      <c r="D85" s="30"/>
      <c r="E85" s="407"/>
      <c r="F85" s="407"/>
      <c r="G85" s="30"/>
      <c r="H85" s="30"/>
      <c r="I85" s="30"/>
      <c r="J85" s="30"/>
      <c r="K85" s="30"/>
      <c r="L85" s="30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2:35" ht="15" customHeight="1">
      <c r="B86" s="30"/>
      <c r="C86" s="30"/>
      <c r="D86" s="30"/>
      <c r="E86" s="407"/>
      <c r="F86" s="407"/>
      <c r="G86" s="30"/>
      <c r="H86" s="30"/>
      <c r="I86" s="30"/>
      <c r="J86" s="30"/>
      <c r="K86" s="30"/>
      <c r="L86" s="30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2:35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2:35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2:35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2:35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2:35" ht="15" customHeight="1">
      <c r="B91" s="408"/>
      <c r="C91" s="408"/>
      <c r="D91" s="408"/>
      <c r="E91" s="408"/>
      <c r="F91" s="408"/>
      <c r="G91" s="30"/>
      <c r="H91" s="30"/>
      <c r="I91" s="30"/>
      <c r="J91" s="30"/>
      <c r="K91" s="30"/>
      <c r="L91" s="30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2:35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2:35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2:35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2:35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2:35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2:12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</row>
    <row r="98" spans="2:12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</row>
    <row r="99" spans="2:12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</row>
    <row r="100" spans="2:12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2:12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</row>
    <row r="102" spans="2:12" ht="1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</row>
    <row r="103" spans="2:12" ht="1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2:12" ht="1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</row>
    <row r="105" spans="2:12" ht="1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</row>
    <row r="106" spans="2:12" ht="1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</row>
    <row r="107" spans="2:12" ht="1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</row>
    <row r="108" spans="2:12" ht="1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</row>
    <row r="109" spans="2:12" ht="1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</row>
    <row r="110" spans="2:12" ht="1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</row>
    <row r="111" spans="2:12" ht="1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</row>
    <row r="112" spans="2:12" ht="1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</row>
    <row r="113" spans="2:12" ht="1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</row>
    <row r="114" spans="2:12" ht="1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</row>
    <row r="115" spans="2:12" ht="1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2:12" ht="1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2:12" ht="1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</row>
    <row r="118" spans="2:12" ht="1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</row>
    <row r="119" spans="2:12" ht="1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</row>
    <row r="120" spans="2:12" ht="1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  <row r="121" spans="2:12" ht="1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</sheetData>
  <mergeCells count="1">
    <mergeCell ref="J1:K1"/>
  </mergeCells>
  <conditionalFormatting sqref="B1:D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:D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I100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4" ht="15" customHeight="1">
      <c r="A1" s="7">
        <v>25</v>
      </c>
      <c r="B1" s="26" t="s">
        <v>12</v>
      </c>
      <c r="C1" s="20"/>
      <c r="D1" s="20"/>
      <c r="E1" s="20"/>
      <c r="F1" s="20"/>
      <c r="G1" s="20"/>
      <c r="H1" s="1024" t="s">
        <v>24</v>
      </c>
      <c r="I1" s="1025"/>
      <c r="K1" s="1" t="s">
        <v>33</v>
      </c>
      <c r="L1" s="47" t="str">
        <f>VLOOKUP(A1,'Point Grid'!$L$8:$T$54,9,FALSE)</f>
        <v>Reserving - Chap 12: Case O/S Methods</v>
      </c>
      <c r="M1"/>
      <c r="N1"/>
      <c r="O1"/>
      <c r="P1"/>
      <c r="Q1"/>
      <c r="R1"/>
      <c r="S1"/>
      <c r="T1"/>
      <c r="U1"/>
    </row>
    <row r="2" spans="1:24" ht="15" customHeight="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4" ht="15" customHeight="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2" t="s">
        <v>2</v>
      </c>
      <c r="L3" s="270" t="s">
        <v>99</v>
      </c>
      <c r="M3" s="774" t="s">
        <v>764</v>
      </c>
      <c r="N3" s="774"/>
      <c r="O3" s="774" t="s">
        <v>765</v>
      </c>
      <c r="P3" s="774"/>
      <c r="Q3" s="774"/>
      <c r="R3" s="775"/>
      <c r="S3" s="775"/>
      <c r="T3" s="775"/>
      <c r="U3" s="775"/>
      <c r="V3" s="775"/>
      <c r="W3" s="775"/>
      <c r="X3" s="477"/>
    </row>
    <row r="4" spans="1:24" ht="15" customHeight="1">
      <c r="A4" s="9">
        <f>INDEX('Point Grid'!B:B,MATCH(A1,'Point Grid'!A:A,0))</f>
        <v>1.5</v>
      </c>
      <c r="B4" s="17"/>
      <c r="C4" s="17"/>
      <c r="D4" s="17"/>
      <c r="E4" s="17"/>
      <c r="F4" s="17"/>
      <c r="G4" s="17"/>
      <c r="H4" s="17"/>
      <c r="I4" s="18"/>
      <c r="J4" s="30"/>
      <c r="K4" s="42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</row>
    <row r="5" spans="1:24" ht="15" customHeight="1">
      <c r="A5" s="16"/>
      <c r="B5" s="17"/>
      <c r="C5" s="17"/>
      <c r="D5" s="17"/>
      <c r="E5" s="17"/>
      <c r="F5" s="17"/>
      <c r="G5" s="17"/>
      <c r="H5" s="17"/>
      <c r="I5" s="18"/>
      <c r="J5" s="30"/>
      <c r="K5" s="42"/>
      <c r="L5" s="477"/>
      <c r="M5" s="309"/>
      <c r="N5" s="310" t="s">
        <v>722</v>
      </c>
      <c r="O5" s="310"/>
      <c r="P5" s="310"/>
      <c r="Q5" s="311"/>
      <c r="R5" s="477"/>
      <c r="S5" s="776" t="s">
        <v>766</v>
      </c>
      <c r="T5" s="777"/>
      <c r="U5" s="777"/>
      <c r="V5" s="777"/>
      <c r="W5" s="778"/>
      <c r="X5" s="477"/>
    </row>
    <row r="6" spans="1:24" ht="15" customHeight="1">
      <c r="A6" s="25" t="s">
        <v>2</v>
      </c>
      <c r="B6" s="17" t="s">
        <v>758</v>
      </c>
      <c r="C6" s="17"/>
      <c r="D6" s="17"/>
      <c r="E6" s="772" t="s">
        <v>183</v>
      </c>
      <c r="F6" s="17" t="s">
        <v>759</v>
      </c>
      <c r="G6" s="772">
        <v>2023</v>
      </c>
      <c r="H6" s="223"/>
      <c r="I6" s="18"/>
      <c r="J6" s="30"/>
      <c r="K6" s="42"/>
      <c r="L6" s="477"/>
      <c r="M6" s="312" t="s">
        <v>83</v>
      </c>
      <c r="N6" s="313">
        <v>12</v>
      </c>
      <c r="O6" s="313">
        <v>24</v>
      </c>
      <c r="P6" s="313">
        <v>36</v>
      </c>
      <c r="Q6" s="314">
        <v>48</v>
      </c>
      <c r="R6" s="477"/>
      <c r="S6" s="779" t="s">
        <v>767</v>
      </c>
      <c r="T6" s="780"/>
      <c r="U6" s="780"/>
      <c r="V6" s="780"/>
      <c r="W6" s="781"/>
      <c r="X6" s="477"/>
    </row>
    <row r="7" spans="1:24" ht="15" customHeight="1" thickBot="1">
      <c r="A7" s="9">
        <f>INDEX('Point Grid'!$C$8:$I$54,MATCH($A$1,'Point Grid'!$A$8:$A$54,0),MATCH(A6,'Point Grid'!$C$7:$I$7,0))</f>
        <v>1.5</v>
      </c>
      <c r="B7" s="17"/>
      <c r="C7" s="17"/>
      <c r="D7" s="17"/>
      <c r="E7" s="17"/>
      <c r="F7" s="17"/>
      <c r="G7" s="17"/>
      <c r="H7" s="17"/>
      <c r="I7" s="18"/>
      <c r="J7" s="30"/>
      <c r="K7" s="42"/>
      <c r="L7" s="477"/>
      <c r="M7" s="298">
        <f>B11</f>
        <v>2022</v>
      </c>
      <c r="N7" s="320">
        <f>C11</f>
        <v>16157</v>
      </c>
      <c r="O7" s="320">
        <f>D11-C11</f>
        <v>21859</v>
      </c>
      <c r="P7" s="320">
        <f>E11-D11</f>
        <v>25344</v>
      </c>
      <c r="Q7" s="321">
        <f>F11-E11</f>
        <v>18216</v>
      </c>
      <c r="R7" s="477"/>
      <c r="S7" s="477"/>
      <c r="T7" s="477"/>
      <c r="U7" s="477"/>
      <c r="V7" s="477"/>
      <c r="W7" s="477"/>
      <c r="X7" s="477"/>
    </row>
    <row r="8" spans="1:24" ht="15" customHeight="1" thickBot="1">
      <c r="A8" s="5"/>
      <c r="B8" s="17"/>
      <c r="C8" s="17"/>
      <c r="D8" s="17"/>
      <c r="E8" s="17"/>
      <c r="F8" s="17"/>
      <c r="G8" s="17"/>
      <c r="H8" s="17"/>
      <c r="I8" s="18"/>
      <c r="J8" s="30"/>
      <c r="K8"/>
      <c r="L8" s="477"/>
      <c r="M8" s="298">
        <f>M7+1</f>
        <v>2023</v>
      </c>
      <c r="N8" s="320">
        <f>C12</f>
        <v>15840</v>
      </c>
      <c r="O8" s="320">
        <f>D12-C12</f>
        <v>23364</v>
      </c>
      <c r="P8" s="320">
        <f>E12-D12</f>
        <v>24156</v>
      </c>
      <c r="Q8" s="321"/>
      <c r="R8" s="477"/>
      <c r="S8" s="477"/>
      <c r="T8" s="477"/>
      <c r="U8" s="477"/>
      <c r="V8" s="477"/>
      <c r="W8" s="477"/>
      <c r="X8" s="477"/>
    </row>
    <row r="9" spans="1:24" ht="15" customHeight="1">
      <c r="A9" s="25"/>
      <c r="B9" s="337"/>
      <c r="C9" s="338" t="s">
        <v>760</v>
      </c>
      <c r="D9" s="338"/>
      <c r="E9" s="338"/>
      <c r="F9" s="339"/>
      <c r="G9" s="151"/>
      <c r="H9" s="17"/>
      <c r="I9" s="18"/>
      <c r="J9" s="30"/>
      <c r="K9" s="42"/>
      <c r="L9" s="477"/>
      <c r="M9" s="298">
        <f>M8+1</f>
        <v>2024</v>
      </c>
      <c r="N9" s="320">
        <f>C13</f>
        <v>30096</v>
      </c>
      <c r="O9" s="320">
        <f>D13-C13</f>
        <v>41184</v>
      </c>
      <c r="P9" s="320"/>
      <c r="Q9" s="321"/>
      <c r="R9" s="477"/>
      <c r="S9" s="477"/>
      <c r="T9" s="477"/>
      <c r="U9" s="477"/>
      <c r="V9" s="477"/>
      <c r="W9" s="477"/>
      <c r="X9" s="477"/>
    </row>
    <row r="10" spans="1:24" ht="15" customHeight="1">
      <c r="A10" s="25"/>
      <c r="B10" s="340" t="s">
        <v>83</v>
      </c>
      <c r="C10" s="341">
        <v>12</v>
      </c>
      <c r="D10" s="341">
        <v>24</v>
      </c>
      <c r="E10" s="341">
        <v>36</v>
      </c>
      <c r="F10" s="278">
        <v>48</v>
      </c>
      <c r="G10" s="276"/>
      <c r="H10" s="17"/>
      <c r="I10" s="18"/>
      <c r="J10" s="30"/>
      <c r="K10"/>
      <c r="L10" s="477"/>
      <c r="M10" s="316">
        <f>M9+1</f>
        <v>2025</v>
      </c>
      <c r="N10" s="323">
        <f>C14</f>
        <v>31680</v>
      </c>
      <c r="O10" s="323"/>
      <c r="P10" s="323"/>
      <c r="Q10" s="324"/>
      <c r="R10" s="477"/>
      <c r="S10" s="477"/>
      <c r="T10" s="477"/>
      <c r="U10" s="477"/>
      <c r="V10" s="477"/>
      <c r="W10" s="477"/>
      <c r="X10" s="477"/>
    </row>
    <row r="11" spans="1:24" ht="15" customHeight="1">
      <c r="A11" s="25"/>
      <c r="B11" s="342">
        <v>2022</v>
      </c>
      <c r="C11" s="293">
        <v>16157</v>
      </c>
      <c r="D11" s="293">
        <v>38016</v>
      </c>
      <c r="E11" s="293">
        <v>63360</v>
      </c>
      <c r="F11" s="294">
        <v>81576</v>
      </c>
      <c r="G11" s="60"/>
      <c r="H11" s="17"/>
      <c r="I11" s="18"/>
      <c r="J11" s="30"/>
      <c r="K11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</row>
    <row r="12" spans="1:24" ht="15" customHeight="1">
      <c r="A12" s="25"/>
      <c r="B12" s="342">
        <f>B11+1</f>
        <v>2023</v>
      </c>
      <c r="C12" s="293">
        <v>15840</v>
      </c>
      <c r="D12" s="293">
        <v>39204</v>
      </c>
      <c r="E12" s="293">
        <v>63360</v>
      </c>
      <c r="F12" s="294"/>
      <c r="G12" s="151"/>
      <c r="H12" s="17"/>
      <c r="I12" s="18"/>
      <c r="J12" s="30"/>
      <c r="K12"/>
      <c r="L12" s="182" t="s">
        <v>158</v>
      </c>
      <c r="M12" s="319" t="s">
        <v>768</v>
      </c>
      <c r="N12" s="224"/>
      <c r="O12" s="224"/>
      <c r="P12" s="224"/>
      <c r="Q12" s="224"/>
      <c r="R12" s="224"/>
      <c r="S12" s="224"/>
      <c r="T12" s="782"/>
      <c r="U12" s="782"/>
      <c r="V12" s="782"/>
      <c r="W12" s="224"/>
      <c r="X12" s="477"/>
    </row>
    <row r="13" spans="1:24" ht="15" customHeight="1">
      <c r="A13" s="25"/>
      <c r="B13" s="342">
        <f>B12+1</f>
        <v>2024</v>
      </c>
      <c r="C13" s="293">
        <v>30096</v>
      </c>
      <c r="D13" s="293">
        <v>71280</v>
      </c>
      <c r="E13" s="293"/>
      <c r="F13" s="294"/>
      <c r="G13" s="151"/>
      <c r="H13" s="17"/>
      <c r="I13" s="18"/>
      <c r="J13" s="30"/>
      <c r="K13"/>
      <c r="L13" s="477"/>
      <c r="M13" s="477"/>
      <c r="N13" s="477"/>
      <c r="O13" s="477"/>
      <c r="P13" s="477"/>
      <c r="Q13" s="477"/>
      <c r="R13" s="477"/>
      <c r="S13" s="134" t="s">
        <v>769</v>
      </c>
      <c r="T13" s="477"/>
      <c r="U13" s="477"/>
      <c r="V13" s="477"/>
      <c r="W13" s="477"/>
      <c r="X13" s="477"/>
    </row>
    <row r="14" spans="1:24" ht="15" customHeight="1">
      <c r="A14" s="25"/>
      <c r="B14" s="343">
        <f>B13+1</f>
        <v>2025</v>
      </c>
      <c r="C14" s="291">
        <v>31680</v>
      </c>
      <c r="D14" s="291"/>
      <c r="E14" s="291"/>
      <c r="F14" s="292"/>
      <c r="G14" s="151"/>
      <c r="H14" s="17"/>
      <c r="I14" s="18"/>
      <c r="J14" s="30"/>
      <c r="K14"/>
      <c r="L14" s="477"/>
      <c r="M14" s="309"/>
      <c r="N14" s="783" t="s">
        <v>770</v>
      </c>
      <c r="O14" s="310"/>
      <c r="P14" s="310"/>
      <c r="Q14" s="311"/>
      <c r="R14" s="477"/>
      <c r="S14" s="134"/>
      <c r="T14" s="467"/>
      <c r="U14" s="479" t="s">
        <v>581</v>
      </c>
      <c r="V14" s="479"/>
      <c r="W14" s="481" t="s">
        <v>771</v>
      </c>
      <c r="X14" s="477"/>
    </row>
    <row r="15" spans="1:24" ht="15" customHeight="1">
      <c r="A15" s="25"/>
      <c r="B15" s="60"/>
      <c r="C15" s="60"/>
      <c r="D15" s="60"/>
      <c r="E15" s="60"/>
      <c r="F15" s="60"/>
      <c r="G15" s="151"/>
      <c r="H15" s="17"/>
      <c r="I15" s="18"/>
      <c r="J15" s="30"/>
      <c r="K15" s="42"/>
      <c r="L15" s="477"/>
      <c r="M15" s="312" t="s">
        <v>83</v>
      </c>
      <c r="N15" s="784" t="s">
        <v>772</v>
      </c>
      <c r="O15" s="784" t="s">
        <v>773</v>
      </c>
      <c r="P15" s="784" t="s">
        <v>774</v>
      </c>
      <c r="Q15" s="785" t="s">
        <v>775</v>
      </c>
      <c r="R15" s="477"/>
      <c r="S15" s="134"/>
      <c r="T15" s="477"/>
      <c r="U15" s="238" t="s">
        <v>637</v>
      </c>
      <c r="V15" s="467"/>
      <c r="W15" s="238" t="s">
        <v>637</v>
      </c>
      <c r="X15" s="477"/>
    </row>
    <row r="16" spans="1:24" ht="15" customHeight="1">
      <c r="A16" s="25"/>
      <c r="B16" s="337"/>
      <c r="C16" s="344" t="s">
        <v>761</v>
      </c>
      <c r="D16" s="338"/>
      <c r="E16" s="338"/>
      <c r="F16" s="339"/>
      <c r="G16" s="151"/>
      <c r="H16" s="17"/>
      <c r="I16" s="18"/>
      <c r="J16" s="30"/>
      <c r="K16"/>
      <c r="L16" s="477"/>
      <c r="M16" s="298">
        <f>B11</f>
        <v>2022</v>
      </c>
      <c r="N16" s="786">
        <f>IFERROR(ROUND(D18/C18,3),"")</f>
        <v>0.76500000000000001</v>
      </c>
      <c r="O16" s="787">
        <f>IFERROR(ROUND(E18/D18,3),"")</f>
        <v>0.64600000000000002</v>
      </c>
      <c r="P16" s="788">
        <f>IFERROR(ROUND(F18/E18,3),"")</f>
        <v>0.53100000000000003</v>
      </c>
      <c r="Q16" s="729"/>
      <c r="R16" s="789" t="s">
        <v>776</v>
      </c>
      <c r="S16" s="790">
        <f>IFERROR(ROUND(U16/W16,3),"")</f>
        <v>0.76500000000000001</v>
      </c>
      <c r="T16" s="481" t="s">
        <v>34</v>
      </c>
      <c r="U16" s="481">
        <f>D18</f>
        <v>23522</v>
      </c>
      <c r="V16" s="236" t="s">
        <v>36</v>
      </c>
      <c r="W16" s="481">
        <f>C18</f>
        <v>30730</v>
      </c>
      <c r="X16" s="477"/>
    </row>
    <row r="17" spans="1:35" ht="15" customHeight="1">
      <c r="A17" s="25"/>
      <c r="B17" s="340" t="s">
        <v>83</v>
      </c>
      <c r="C17" s="341">
        <v>12</v>
      </c>
      <c r="D17" s="341">
        <v>24</v>
      </c>
      <c r="E17" s="341">
        <v>36</v>
      </c>
      <c r="F17" s="278">
        <v>48</v>
      </c>
      <c r="G17" s="151"/>
      <c r="H17" s="17"/>
      <c r="I17" s="18"/>
      <c r="J17" s="30"/>
      <c r="K17"/>
      <c r="L17" s="477"/>
      <c r="M17" s="298">
        <f>M16+1</f>
        <v>2023</v>
      </c>
      <c r="N17" s="728">
        <f>ROUND(D19/C19,3)</f>
        <v>0.73499999999999999</v>
      </c>
      <c r="O17" s="728">
        <f>ROUND(E19/D19,3)</f>
        <v>0.70099999999999996</v>
      </c>
      <c r="P17" s="728"/>
      <c r="Q17" s="729"/>
      <c r="R17" s="791" t="s">
        <v>777</v>
      </c>
      <c r="S17" s="792">
        <f>IFERROR(ROUND(U17/W17,3),"")</f>
        <v>0.64600000000000002</v>
      </c>
      <c r="T17" s="481" t="s">
        <v>34</v>
      </c>
      <c r="U17" s="481">
        <f>E18</f>
        <v>15206</v>
      </c>
      <c r="V17" s="236" t="s">
        <v>36</v>
      </c>
      <c r="W17" s="481">
        <f>D18</f>
        <v>23522</v>
      </c>
      <c r="X17" s="477"/>
    </row>
    <row r="18" spans="1:35" ht="15" customHeight="1">
      <c r="A18" s="25"/>
      <c r="B18" s="342">
        <v>2022</v>
      </c>
      <c r="C18" s="293">
        <v>30730</v>
      </c>
      <c r="D18" s="293">
        <v>23522</v>
      </c>
      <c r="E18" s="293">
        <v>15206</v>
      </c>
      <c r="F18" s="294">
        <v>8078</v>
      </c>
      <c r="G18" s="151"/>
      <c r="H18" s="17"/>
      <c r="I18" s="18"/>
      <c r="J18" s="30"/>
      <c r="K18"/>
      <c r="L18" s="477"/>
      <c r="M18" s="298">
        <f>M17+1</f>
        <v>2024</v>
      </c>
      <c r="N18" s="728">
        <f>ROUND(D20/C20,3)</f>
        <v>0.83299999999999996</v>
      </c>
      <c r="O18" s="728"/>
      <c r="P18" s="728"/>
      <c r="Q18" s="729"/>
      <c r="R18" s="791" t="s">
        <v>778</v>
      </c>
      <c r="S18" s="793">
        <f>IFERROR(ROUND(U18/W18,3),"")</f>
        <v>0.53100000000000003</v>
      </c>
      <c r="T18" s="481" t="s">
        <v>34</v>
      </c>
      <c r="U18" s="481">
        <f>F18</f>
        <v>8078</v>
      </c>
      <c r="V18" s="236" t="s">
        <v>36</v>
      </c>
      <c r="W18" s="481">
        <f>E18</f>
        <v>15206</v>
      </c>
      <c r="X18" s="477"/>
    </row>
    <row r="19" spans="1:35" ht="15" customHeight="1">
      <c r="A19" s="25"/>
      <c r="B19" s="342">
        <f>B18+1</f>
        <v>2023</v>
      </c>
      <c r="C19" s="293">
        <v>31363</v>
      </c>
      <c r="D19" s="293">
        <v>23047</v>
      </c>
      <c r="E19" s="293">
        <v>16157</v>
      </c>
      <c r="F19" s="294"/>
      <c r="G19" s="151"/>
      <c r="H19" s="17"/>
      <c r="I19" s="18"/>
      <c r="J19" s="30"/>
      <c r="K19"/>
      <c r="L19" s="477"/>
      <c r="M19" s="732">
        <f>M18+1</f>
        <v>2025</v>
      </c>
      <c r="N19" s="794">
        <f>IFERROR(ROUND(AVERAGE(N16:N18),3),0)</f>
        <v>0.77800000000000002</v>
      </c>
      <c r="O19" s="794">
        <f>IFERROR(ROUND(AVERAGE(O16:O18),3),0)</f>
        <v>0.67400000000000004</v>
      </c>
      <c r="P19" s="794">
        <f>IFERROR(ROUND(AVERAGE(P16:P18),3),0)</f>
        <v>0.53100000000000003</v>
      </c>
      <c r="Q19" s="795">
        <f>IFERROR(ROUND(AVERAGE(Q16:Q18),3),0)</f>
        <v>0</v>
      </c>
      <c r="R19" s="134" t="s">
        <v>779</v>
      </c>
      <c r="S19" s="477"/>
      <c r="T19" s="477"/>
      <c r="U19" s="477"/>
      <c r="V19" s="477"/>
      <c r="W19" s="477"/>
      <c r="X19" s="477"/>
    </row>
    <row r="20" spans="1:35" ht="15" customHeight="1">
      <c r="A20" s="25"/>
      <c r="B20" s="342">
        <f>B19+1</f>
        <v>2024</v>
      </c>
      <c r="C20" s="293">
        <v>47045</v>
      </c>
      <c r="D20" s="293">
        <v>39204</v>
      </c>
      <c r="E20" s="293"/>
      <c r="F20" s="294"/>
      <c r="G20" s="151"/>
      <c r="H20" s="17"/>
      <c r="I20" s="18"/>
      <c r="J20" s="30"/>
      <c r="K20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477"/>
    </row>
    <row r="21" spans="1:35" ht="15" customHeight="1">
      <c r="A21" s="25"/>
      <c r="B21" s="343">
        <f>B20+1</f>
        <v>2025</v>
      </c>
      <c r="C21" s="291">
        <v>47995</v>
      </c>
      <c r="D21" s="291"/>
      <c r="E21" s="291"/>
      <c r="F21" s="292"/>
      <c r="G21" s="151"/>
      <c r="H21" s="17"/>
      <c r="I21" s="18"/>
      <c r="J21" s="30"/>
      <c r="K21"/>
      <c r="L21" s="182" t="s">
        <v>191</v>
      </c>
      <c r="M21" s="477" t="s">
        <v>780</v>
      </c>
      <c r="N21" s="477"/>
      <c r="O21" s="477"/>
      <c r="P21" s="477"/>
      <c r="Q21" s="477"/>
      <c r="R21" s="477"/>
      <c r="S21" s="477"/>
      <c r="T21" s="477"/>
      <c r="U21" s="477"/>
      <c r="V21" s="477"/>
      <c r="W21" s="477"/>
      <c r="X21" s="477"/>
    </row>
    <row r="22" spans="1:35" ht="15" customHeight="1">
      <c r="A22" s="25"/>
      <c r="B22" s="151"/>
      <c r="C22" s="151"/>
      <c r="D22" s="151"/>
      <c r="E22" s="151"/>
      <c r="F22" s="151"/>
      <c r="G22" s="151"/>
      <c r="H22" s="17"/>
      <c r="I22" s="18"/>
      <c r="J22" s="30"/>
      <c r="K22"/>
      <c r="L22" s="477"/>
      <c r="M22" s="477"/>
      <c r="N22" s="477"/>
      <c r="O22" s="477"/>
      <c r="P22" s="477"/>
      <c r="Q22" s="477"/>
      <c r="R22" s="477"/>
      <c r="S22" s="134"/>
      <c r="T22" s="477"/>
      <c r="U22" s="477"/>
      <c r="V22" s="477"/>
      <c r="W22" s="477"/>
      <c r="X22" s="477"/>
    </row>
    <row r="23" spans="1:35" ht="15" customHeight="1">
      <c r="A23" s="25"/>
      <c r="B23" s="345" t="s">
        <v>762</v>
      </c>
      <c r="C23" s="346"/>
      <c r="D23" s="346"/>
      <c r="E23" s="346"/>
      <c r="F23" s="347"/>
      <c r="G23" s="773">
        <v>1.1100000000000001</v>
      </c>
      <c r="H23" s="17"/>
      <c r="I23" s="18"/>
      <c r="J23" s="30"/>
      <c r="K23"/>
      <c r="L23" s="477"/>
      <c r="M23" s="309"/>
      <c r="N23" s="783" t="s">
        <v>781</v>
      </c>
      <c r="O23" s="310"/>
      <c r="P23" s="310"/>
      <c r="Q23" s="311"/>
      <c r="R23" s="477"/>
      <c r="S23" s="134" t="s">
        <v>782</v>
      </c>
      <c r="T23" s="477"/>
      <c r="U23" s="477"/>
      <c r="V23" s="477"/>
      <c r="W23" s="477"/>
      <c r="X23" s="477"/>
    </row>
    <row r="24" spans="1:35" ht="15" customHeight="1">
      <c r="A24" s="25"/>
      <c r="B24" s="295"/>
      <c r="C24" s="151"/>
      <c r="D24" s="151"/>
      <c r="E24" s="151"/>
      <c r="F24" s="151"/>
      <c r="G24" s="151"/>
      <c r="H24" s="17"/>
      <c r="I24" s="18"/>
      <c r="J24" s="30"/>
      <c r="K24"/>
      <c r="L24" s="477"/>
      <c r="M24" s="312" t="s">
        <v>83</v>
      </c>
      <c r="N24" s="313">
        <v>12</v>
      </c>
      <c r="O24" s="313">
        <v>24</v>
      </c>
      <c r="P24" s="313">
        <v>36</v>
      </c>
      <c r="Q24" s="314">
        <v>48</v>
      </c>
      <c r="R24" s="477"/>
      <c r="S24" s="134"/>
      <c r="T24" s="477"/>
      <c r="U24" s="477"/>
      <c r="V24" s="477"/>
      <c r="W24" s="481" t="s">
        <v>771</v>
      </c>
      <c r="X24" s="477"/>
    </row>
    <row r="25" spans="1:35" ht="15" customHeight="1">
      <c r="A25" s="25"/>
      <c r="B25" s="295" t="s">
        <v>763</v>
      </c>
      <c r="C25" s="151"/>
      <c r="D25" s="151"/>
      <c r="E25" s="151"/>
      <c r="F25" s="151"/>
      <c r="G25" s="151"/>
      <c r="H25" s="17"/>
      <c r="I25" s="18"/>
      <c r="J25" s="30"/>
      <c r="K25"/>
      <c r="L25" s="477"/>
      <c r="M25" s="298">
        <f>B11</f>
        <v>2022</v>
      </c>
      <c r="N25" s="320"/>
      <c r="O25" s="320"/>
      <c r="P25" s="320"/>
      <c r="Q25" s="324">
        <f>F18</f>
        <v>8078</v>
      </c>
      <c r="R25" s="477"/>
      <c r="S25" s="303" t="s">
        <v>783</v>
      </c>
      <c r="T25" s="477"/>
      <c r="U25" s="237" t="s">
        <v>290</v>
      </c>
      <c r="V25" s="477"/>
      <c r="W25" s="238" t="s">
        <v>637</v>
      </c>
      <c r="X25" s="477"/>
    </row>
    <row r="26" spans="1:35" ht="15" customHeight="1">
      <c r="A26" s="25"/>
      <c r="B26" s="17"/>
      <c r="C26" s="17"/>
      <c r="D26" s="17"/>
      <c r="E26" s="17"/>
      <c r="F26" s="17"/>
      <c r="G26" s="17"/>
      <c r="H26" s="17"/>
      <c r="I26" s="18"/>
      <c r="J26" s="30"/>
      <c r="K26"/>
      <c r="L26" s="477"/>
      <c r="M26" s="298">
        <f>M25+1</f>
        <v>2023</v>
      </c>
      <c r="N26" s="320"/>
      <c r="O26" s="320"/>
      <c r="P26" s="324">
        <f>E19</f>
        <v>16157</v>
      </c>
      <c r="Q26" s="796">
        <f>P26*P19</f>
        <v>8579.3670000000002</v>
      </c>
      <c r="R26" s="797" t="s">
        <v>784</v>
      </c>
      <c r="S26" s="210">
        <f>ROUND(U26*W26,0)</f>
        <v>37340</v>
      </c>
      <c r="T26" s="481" t="s">
        <v>34</v>
      </c>
      <c r="U26" s="798">
        <f>N19</f>
        <v>0.77800000000000002</v>
      </c>
      <c r="V26" s="481" t="s">
        <v>148</v>
      </c>
      <c r="W26" s="481">
        <f>N28</f>
        <v>47995</v>
      </c>
      <c r="X26" s="477"/>
    </row>
    <row r="27" spans="1:35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 s="477"/>
      <c r="M27" s="298">
        <f>M26+1</f>
        <v>2024</v>
      </c>
      <c r="N27" s="320"/>
      <c r="O27" s="324">
        <f>D20</f>
        <v>39204</v>
      </c>
      <c r="P27" s="799">
        <f>ROUND(O27*O19,0)</f>
        <v>26423</v>
      </c>
      <c r="Q27" s="796">
        <f>ROUND(P27*P19,0)</f>
        <v>14031</v>
      </c>
      <c r="R27" s="797" t="s">
        <v>785</v>
      </c>
      <c r="S27" s="800">
        <f>ROUND(U27*W27,0)</f>
        <v>25167</v>
      </c>
      <c r="T27" s="481" t="s">
        <v>34</v>
      </c>
      <c r="U27" s="798">
        <f>O19</f>
        <v>0.67400000000000004</v>
      </c>
      <c r="V27" s="481" t="s">
        <v>148</v>
      </c>
      <c r="W27" s="210">
        <f>O28</f>
        <v>37340</v>
      </c>
      <c r="X27" s="477"/>
      <c r="Y27"/>
      <c r="Z27"/>
      <c r="AA27"/>
      <c r="AB27"/>
      <c r="AC27"/>
      <c r="AD27"/>
      <c r="AE27"/>
      <c r="AF27"/>
      <c r="AG27"/>
      <c r="AH27"/>
      <c r="AI27"/>
    </row>
    <row r="28" spans="1:35" ht="15" customHeight="1">
      <c r="A28" s="25"/>
      <c r="B28" s="17"/>
      <c r="C28" s="27"/>
      <c r="D28" s="27"/>
      <c r="E28" s="27"/>
      <c r="F28" s="27"/>
      <c r="G28" s="27"/>
      <c r="H28" s="27"/>
      <c r="I28" s="18"/>
      <c r="J28" s="30"/>
      <c r="K28"/>
      <c r="L28" s="477"/>
      <c r="M28" s="316">
        <f>M27+1</f>
        <v>2025</v>
      </c>
      <c r="N28" s="741">
        <f>C21</f>
        <v>47995</v>
      </c>
      <c r="O28" s="801">
        <f>ROUND(N28*N19,0)</f>
        <v>37340</v>
      </c>
      <c r="P28" s="802">
        <f>ROUND(O28*O19,0)</f>
        <v>25167</v>
      </c>
      <c r="Q28" s="803">
        <f>ROUND(P28*P19,0)</f>
        <v>13364</v>
      </c>
      <c r="R28" s="797" t="s">
        <v>786</v>
      </c>
      <c r="S28" s="322">
        <f>ROUND(U28*W28,0)</f>
        <v>13364</v>
      </c>
      <c r="T28" s="481" t="s">
        <v>34</v>
      </c>
      <c r="U28" s="798">
        <f>P19</f>
        <v>0.53100000000000003</v>
      </c>
      <c r="V28" s="481" t="s">
        <v>148</v>
      </c>
      <c r="W28" s="800">
        <f>P28</f>
        <v>25167</v>
      </c>
      <c r="X28" s="477"/>
      <c r="Y28"/>
      <c r="Z28"/>
      <c r="AA28"/>
      <c r="AB28"/>
      <c r="AC28"/>
      <c r="AD28"/>
      <c r="AE28"/>
      <c r="AF28"/>
      <c r="AG28"/>
      <c r="AH28"/>
      <c r="AI28"/>
    </row>
    <row r="29" spans="1:35" ht="15" customHeight="1">
      <c r="A29" s="25"/>
      <c r="B29" s="17"/>
      <c r="C29" s="27"/>
      <c r="D29" s="27"/>
      <c r="E29" s="27"/>
      <c r="F29" s="27"/>
      <c r="G29" s="27"/>
      <c r="H29" s="27"/>
      <c r="I29" s="18"/>
      <c r="J29" s="30"/>
      <c r="K29"/>
      <c r="L29" s="477"/>
      <c r="M29" s="477"/>
      <c r="N29" s="477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/>
      <c r="Z29"/>
      <c r="AA29"/>
      <c r="AB29"/>
      <c r="AC29"/>
      <c r="AD29"/>
      <c r="AE29"/>
      <c r="AF29"/>
      <c r="AG29"/>
      <c r="AH29"/>
      <c r="AI29"/>
    </row>
    <row r="30" spans="1:35" ht="15" customHeight="1">
      <c r="A30" s="25"/>
      <c r="B30" s="17"/>
      <c r="C30" s="27"/>
      <c r="D30" s="27"/>
      <c r="E30" s="27"/>
      <c r="F30" s="27"/>
      <c r="G30" s="27"/>
      <c r="H30" s="27"/>
      <c r="I30" s="18"/>
      <c r="J30" s="30"/>
      <c r="K30"/>
      <c r="L30" s="800" t="s">
        <v>612</v>
      </c>
      <c r="M30" s="804" t="s">
        <v>787</v>
      </c>
      <c r="N30" s="805"/>
      <c r="O30" s="805"/>
      <c r="P30" s="805"/>
      <c r="Q30" s="805"/>
      <c r="R30" s="805"/>
      <c r="S30" s="806"/>
      <c r="T30" s="806"/>
      <c r="U30" s="806"/>
      <c r="V30" s="806"/>
      <c r="W30" s="805"/>
      <c r="X30" s="477"/>
      <c r="Y30"/>
      <c r="Z30"/>
      <c r="AA30"/>
      <c r="AB30"/>
      <c r="AC30"/>
      <c r="AD30"/>
      <c r="AE30"/>
      <c r="AF30"/>
      <c r="AG30"/>
      <c r="AH30"/>
      <c r="AI30"/>
    </row>
    <row r="31" spans="1:35" ht="15" customHeight="1">
      <c r="A31" s="25"/>
      <c r="B31" s="17"/>
      <c r="C31" s="27"/>
      <c r="D31" s="27"/>
      <c r="E31" s="27"/>
      <c r="F31" s="27"/>
      <c r="G31" s="27"/>
      <c r="H31" s="27"/>
      <c r="I31" s="18"/>
      <c r="J31" s="30"/>
      <c r="K31"/>
      <c r="L31" s="477"/>
      <c r="M31" s="477"/>
      <c r="N31" s="477"/>
      <c r="O31" s="477"/>
      <c r="P31" s="477"/>
      <c r="Q31" s="477"/>
      <c r="R31" s="477"/>
      <c r="S31" s="134" t="s">
        <v>769</v>
      </c>
      <c r="T31" s="477"/>
      <c r="U31" s="477"/>
      <c r="V31" s="477"/>
      <c r="W31" s="477"/>
      <c r="X31" s="477"/>
      <c r="Y31"/>
      <c r="Z31"/>
      <c r="AA31"/>
      <c r="AB31"/>
      <c r="AC31"/>
      <c r="AD31"/>
      <c r="AE31"/>
      <c r="AF31"/>
      <c r="AG31"/>
      <c r="AH31"/>
      <c r="AI31"/>
    </row>
    <row r="32" spans="1:35" ht="15" customHeight="1">
      <c r="A32" s="22"/>
      <c r="B32" s="17"/>
      <c r="C32" s="17"/>
      <c r="D32" s="17"/>
      <c r="E32" s="17"/>
      <c r="F32" s="17"/>
      <c r="G32" s="17"/>
      <c r="H32" s="17"/>
      <c r="I32" s="18"/>
      <c r="J32" s="30"/>
      <c r="K32" s="42"/>
      <c r="L32" s="477"/>
      <c r="M32" s="309"/>
      <c r="N32" s="783" t="s">
        <v>788</v>
      </c>
      <c r="O32" s="310"/>
      <c r="P32" s="310"/>
      <c r="Q32" s="311"/>
      <c r="R32" s="477"/>
      <c r="S32" s="134"/>
      <c r="T32" s="467"/>
      <c r="U32" s="479" t="s">
        <v>581</v>
      </c>
      <c r="V32" s="479"/>
      <c r="W32" s="481" t="s">
        <v>771</v>
      </c>
      <c r="X32" s="477"/>
      <c r="Y32"/>
      <c r="Z32"/>
      <c r="AA32"/>
      <c r="AB32"/>
      <c r="AC32"/>
      <c r="AD32"/>
      <c r="AE32"/>
      <c r="AF32"/>
      <c r="AG32"/>
      <c r="AH32"/>
      <c r="AI32"/>
    </row>
    <row r="33" spans="1:35" ht="15" customHeight="1" thickBot="1">
      <c r="A33" s="24"/>
      <c r="B33" s="31"/>
      <c r="C33" s="31"/>
      <c r="D33" s="31"/>
      <c r="E33" s="31"/>
      <c r="F33" s="31"/>
      <c r="G33" s="31"/>
      <c r="H33" s="31"/>
      <c r="I33" s="32"/>
      <c r="J33" s="30"/>
      <c r="K33"/>
      <c r="L33" s="477"/>
      <c r="M33" s="312" t="s">
        <v>83</v>
      </c>
      <c r="N33" s="784" t="s">
        <v>772</v>
      </c>
      <c r="O33" s="784" t="s">
        <v>773</v>
      </c>
      <c r="P33" s="784" t="s">
        <v>774</v>
      </c>
      <c r="Q33" s="785" t="s">
        <v>775</v>
      </c>
      <c r="R33" s="477"/>
      <c r="S33" s="134"/>
      <c r="T33" s="477"/>
      <c r="U33" s="238" t="s">
        <v>789</v>
      </c>
      <c r="V33" s="467"/>
      <c r="W33" s="238" t="s">
        <v>637</v>
      </c>
      <c r="X33" s="477"/>
      <c r="Y33"/>
      <c r="Z33"/>
      <c r="AA33"/>
      <c r="AB33"/>
      <c r="AC33"/>
      <c r="AD33"/>
      <c r="AE33"/>
      <c r="AF33"/>
      <c r="AG33"/>
      <c r="AH33"/>
      <c r="AI33"/>
    </row>
    <row r="34" spans="1:35" ht="15" customHeight="1">
      <c r="J34" s="30"/>
      <c r="K34" s="42"/>
      <c r="L34" s="477"/>
      <c r="M34" s="298">
        <f>B11</f>
        <v>2022</v>
      </c>
      <c r="N34" s="786">
        <f>IFERROR(O7/C18,"")</f>
        <v>0.71132443865929063</v>
      </c>
      <c r="O34" s="787">
        <f>IFERROR(P7/D18,"")</f>
        <v>1.077459399710909</v>
      </c>
      <c r="P34" s="788">
        <f>IFERROR(Q7/E18,"")</f>
        <v>1.1979481783506511</v>
      </c>
      <c r="Q34" s="729"/>
      <c r="R34" s="789" t="s">
        <v>776</v>
      </c>
      <c r="S34" s="790">
        <f>IFERROR(ROUND(U34/W34,3),"")</f>
        <v>0.71099999999999997</v>
      </c>
      <c r="T34" s="481" t="s">
        <v>34</v>
      </c>
      <c r="U34" s="481">
        <f>O7</f>
        <v>21859</v>
      </c>
      <c r="V34" s="236" t="s">
        <v>36</v>
      </c>
      <c r="W34" s="481">
        <f>C18</f>
        <v>30730</v>
      </c>
      <c r="X34" s="477"/>
      <c r="Y34"/>
      <c r="Z34"/>
      <c r="AA34"/>
      <c r="AB34"/>
      <c r="AC34"/>
      <c r="AD34"/>
      <c r="AE34"/>
      <c r="AF34"/>
      <c r="AG34"/>
      <c r="AH34"/>
      <c r="AI34"/>
    </row>
    <row r="35" spans="1:35" ht="15" customHeight="1">
      <c r="J35" s="30"/>
      <c r="K35"/>
      <c r="L35" s="477"/>
      <c r="M35" s="298">
        <f>M34+1</f>
        <v>2023</v>
      </c>
      <c r="N35" s="728">
        <f>O8/C19</f>
        <v>0.74495424544845834</v>
      </c>
      <c r="O35" s="728">
        <f>P8/D19</f>
        <v>1.0481190610491604</v>
      </c>
      <c r="P35" s="728"/>
      <c r="Q35" s="729"/>
      <c r="R35" s="791" t="s">
        <v>777</v>
      </c>
      <c r="S35" s="792">
        <f>IFERROR(ROUND(U35/W35,3),"")</f>
        <v>1.077</v>
      </c>
      <c r="T35" s="481" t="s">
        <v>34</v>
      </c>
      <c r="U35" s="481">
        <f>P7</f>
        <v>25344</v>
      </c>
      <c r="V35" s="236" t="s">
        <v>36</v>
      </c>
      <c r="W35" s="481">
        <f>D18</f>
        <v>23522</v>
      </c>
      <c r="X35" s="477"/>
      <c r="Y35"/>
      <c r="Z35"/>
      <c r="AA35"/>
      <c r="AB35"/>
      <c r="AC35"/>
      <c r="AD35"/>
      <c r="AE35"/>
      <c r="AF35"/>
      <c r="AG35"/>
      <c r="AH35"/>
      <c r="AI35"/>
    </row>
    <row r="36" spans="1:35" ht="15" customHeight="1">
      <c r="J36" s="30"/>
      <c r="K36"/>
      <c r="L36" s="477"/>
      <c r="M36" s="298">
        <f>M35+1</f>
        <v>2024</v>
      </c>
      <c r="N36" s="728">
        <f>O9/C20</f>
        <v>0.87541715378892548</v>
      </c>
      <c r="O36" s="728"/>
      <c r="P36" s="728"/>
      <c r="Q36" s="729"/>
      <c r="R36" s="791" t="s">
        <v>778</v>
      </c>
      <c r="S36" s="793">
        <f>IFERROR(ROUND(U36/W36,3),"")</f>
        <v>1.198</v>
      </c>
      <c r="T36" s="481" t="s">
        <v>34</v>
      </c>
      <c r="U36" s="481">
        <f>Q7</f>
        <v>18216</v>
      </c>
      <c r="V36" s="236" t="s">
        <v>36</v>
      </c>
      <c r="W36" s="481">
        <f>E18</f>
        <v>15206</v>
      </c>
      <c r="X36" s="477"/>
      <c r="Y36"/>
      <c r="Z36"/>
      <c r="AA36"/>
      <c r="AB36"/>
      <c r="AC36"/>
      <c r="AD36"/>
      <c r="AE36"/>
      <c r="AF36"/>
      <c r="AG36"/>
      <c r="AH36"/>
      <c r="AI36"/>
    </row>
    <row r="37" spans="1:35" ht="15" customHeight="1">
      <c r="J37" s="30"/>
      <c r="K37"/>
      <c r="L37" s="477"/>
      <c r="M37" s="732">
        <f>M36+1</f>
        <v>2025</v>
      </c>
      <c r="N37" s="794">
        <f>IFERROR(ROUND(AVERAGE(N34:N36),3),1)</f>
        <v>0.77700000000000002</v>
      </c>
      <c r="O37" s="794">
        <f>IFERROR(ROUND(AVERAGE(O34:O36),3),1)</f>
        <v>1.0629999999999999</v>
      </c>
      <c r="P37" s="794">
        <f>IFERROR(ROUND(AVERAGE(P34:P36),3),1)</f>
        <v>1.198</v>
      </c>
      <c r="Q37" s="795"/>
      <c r="R37" s="134" t="s">
        <v>779</v>
      </c>
      <c r="S37" s="477"/>
      <c r="T37" s="477"/>
      <c r="U37" s="477"/>
      <c r="V37" s="477"/>
      <c r="W37" s="477"/>
      <c r="X37" s="477"/>
      <c r="Y37"/>
      <c r="Z37"/>
      <c r="AA37"/>
      <c r="AB37"/>
      <c r="AC37"/>
      <c r="AD37"/>
      <c r="AE37"/>
      <c r="AF37"/>
      <c r="AG37"/>
      <c r="AH37"/>
      <c r="AI37"/>
    </row>
    <row r="38" spans="1:35" ht="15" customHeight="1">
      <c r="J38" s="30"/>
      <c r="K38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/>
      <c r="Z38"/>
      <c r="AA38"/>
      <c r="AB38"/>
      <c r="AC38"/>
      <c r="AD38"/>
      <c r="AE38"/>
      <c r="AF38"/>
      <c r="AG38"/>
      <c r="AH38"/>
      <c r="AI38"/>
    </row>
    <row r="39" spans="1:35" ht="15" customHeight="1">
      <c r="J39" s="30"/>
      <c r="K39"/>
      <c r="L39" s="800" t="s">
        <v>230</v>
      </c>
      <c r="M39" s="477" t="s">
        <v>790</v>
      </c>
      <c r="N39" s="477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/>
      <c r="Z39"/>
      <c r="AA39"/>
      <c r="AB39"/>
      <c r="AC39"/>
      <c r="AD39"/>
      <c r="AE39"/>
      <c r="AF39"/>
      <c r="AG39"/>
      <c r="AH39"/>
      <c r="AI39"/>
    </row>
    <row r="40" spans="1:35" ht="15" customHeight="1">
      <c r="J40" s="30"/>
      <c r="K40"/>
      <c r="L40" s="477"/>
      <c r="M40" s="477"/>
      <c r="N40" s="477"/>
      <c r="O40" s="477"/>
      <c r="P40" s="477"/>
      <c r="Q40" s="477"/>
      <c r="R40" s="477"/>
      <c r="S40" s="477"/>
      <c r="T40" s="134" t="s">
        <v>782</v>
      </c>
      <c r="U40" s="477"/>
      <c r="V40" s="477"/>
      <c r="W40" s="477"/>
      <c r="X40" s="477"/>
      <c r="Y40"/>
      <c r="Z40"/>
      <c r="AA40"/>
      <c r="AB40"/>
      <c r="AC40"/>
      <c r="AD40"/>
      <c r="AE40"/>
      <c r="AF40"/>
      <c r="AG40"/>
      <c r="AH40"/>
      <c r="AI40"/>
    </row>
    <row r="41" spans="1:35" ht="15" customHeight="1">
      <c r="J41" s="30"/>
      <c r="K41"/>
      <c r="L41" s="477"/>
      <c r="M41" s="309"/>
      <c r="N41" s="310" t="s">
        <v>791</v>
      </c>
      <c r="O41" s="310"/>
      <c r="P41" s="310"/>
      <c r="Q41" s="310"/>
      <c r="R41" s="283"/>
      <c r="S41" s="467"/>
      <c r="T41" s="134"/>
      <c r="U41" s="477"/>
      <c r="V41" s="477"/>
      <c r="W41" s="477"/>
      <c r="X41" s="481" t="s">
        <v>771</v>
      </c>
      <c r="Y41"/>
      <c r="Z41"/>
      <c r="AA41"/>
      <c r="AB41"/>
      <c r="AC41"/>
      <c r="AD41"/>
      <c r="AE41"/>
      <c r="AF41"/>
      <c r="AG41"/>
      <c r="AH41"/>
      <c r="AI41"/>
    </row>
    <row r="42" spans="1:35" ht="15" customHeight="1">
      <c r="J42" s="30"/>
      <c r="K42"/>
      <c r="L42" s="477"/>
      <c r="M42" s="312" t="s">
        <v>83</v>
      </c>
      <c r="N42" s="313">
        <v>12</v>
      </c>
      <c r="O42" s="313">
        <v>24</v>
      </c>
      <c r="P42" s="313">
        <v>36</v>
      </c>
      <c r="Q42" s="313">
        <v>48</v>
      </c>
      <c r="R42" s="807">
        <v>60</v>
      </c>
      <c r="S42" s="467"/>
      <c r="T42" s="303" t="s">
        <v>783</v>
      </c>
      <c r="U42" s="477"/>
      <c r="V42" s="237" t="s">
        <v>792</v>
      </c>
      <c r="W42" s="477"/>
      <c r="X42" s="238" t="s">
        <v>637</v>
      </c>
      <c r="Y42"/>
      <c r="Z42"/>
      <c r="AA42"/>
      <c r="AB42"/>
      <c r="AC42"/>
      <c r="AD42"/>
      <c r="AE42"/>
      <c r="AF42"/>
      <c r="AG42"/>
      <c r="AH42"/>
      <c r="AI42"/>
    </row>
    <row r="43" spans="1:35" ht="15" customHeight="1">
      <c r="J43" s="30"/>
      <c r="K43"/>
      <c r="L43" s="477"/>
      <c r="M43" s="298">
        <f>B11</f>
        <v>2022</v>
      </c>
      <c r="N43" s="320"/>
      <c r="O43" s="320"/>
      <c r="P43" s="320"/>
      <c r="Q43" s="324"/>
      <c r="R43" s="808">
        <f>G23*Q25</f>
        <v>8966.58</v>
      </c>
      <c r="S43" s="797" t="s">
        <v>784</v>
      </c>
      <c r="T43" s="210">
        <f>ROUND(V43*X43,0)</f>
        <v>37292</v>
      </c>
      <c r="U43" s="481" t="s">
        <v>34</v>
      </c>
      <c r="V43" s="798">
        <f>N37</f>
        <v>0.77700000000000002</v>
      </c>
      <c r="W43" s="481" t="s">
        <v>148</v>
      </c>
      <c r="X43" s="481">
        <f>N28</f>
        <v>47995</v>
      </c>
      <c r="Y43"/>
      <c r="Z43"/>
      <c r="AA43"/>
      <c r="AB43"/>
      <c r="AC43"/>
      <c r="AD43"/>
      <c r="AE43"/>
      <c r="AF43"/>
      <c r="AG43"/>
      <c r="AH43"/>
      <c r="AI43"/>
    </row>
    <row r="44" spans="1:35" ht="15" customHeight="1">
      <c r="J44" s="30"/>
      <c r="K44"/>
      <c r="L44" s="477"/>
      <c r="M44" s="298">
        <f>M43+1</f>
        <v>2023</v>
      </c>
      <c r="N44" s="320"/>
      <c r="O44" s="320"/>
      <c r="P44" s="324"/>
      <c r="Q44" s="799">
        <f>ROUND(P37*P26,0)</f>
        <v>19356</v>
      </c>
      <c r="R44" s="808">
        <f>ROUND(G23*Q26,0)</f>
        <v>9523</v>
      </c>
      <c r="S44" s="797" t="s">
        <v>785</v>
      </c>
      <c r="T44" s="800">
        <f>ROUND(V44*X44,0)</f>
        <v>39692</v>
      </c>
      <c r="U44" s="481" t="s">
        <v>34</v>
      </c>
      <c r="V44" s="798">
        <f>O37</f>
        <v>1.0629999999999999</v>
      </c>
      <c r="W44" s="481" t="s">
        <v>148</v>
      </c>
      <c r="X44" s="809">
        <f>O28</f>
        <v>37340</v>
      </c>
      <c r="Y44"/>
      <c r="Z44"/>
      <c r="AA44"/>
      <c r="AB44"/>
      <c r="AC44"/>
      <c r="AD44"/>
      <c r="AE44"/>
      <c r="AF44"/>
      <c r="AG44"/>
      <c r="AH44"/>
      <c r="AI44"/>
    </row>
    <row r="45" spans="1:35" ht="15" customHeight="1">
      <c r="B45" s="30"/>
      <c r="C45" s="30"/>
      <c r="D45" s="30"/>
      <c r="E45" s="30"/>
      <c r="F45" s="30"/>
      <c r="G45" s="30"/>
      <c r="H45" s="30"/>
      <c r="I45" s="30"/>
      <c r="J45" s="30"/>
      <c r="K45"/>
      <c r="L45" s="477"/>
      <c r="M45" s="298">
        <f>M44+1</f>
        <v>2024</v>
      </c>
      <c r="N45" s="320"/>
      <c r="O45" s="324"/>
      <c r="P45" s="799">
        <f>ROUND(O37*O27,0)</f>
        <v>41674</v>
      </c>
      <c r="Q45" s="799">
        <f>ROUND(P37*P27,0)</f>
        <v>31655</v>
      </c>
      <c r="R45" s="808">
        <f>ROUND(G23*Q27,0)</f>
        <v>15574</v>
      </c>
      <c r="S45" s="797" t="s">
        <v>786</v>
      </c>
      <c r="T45" s="322">
        <f>ROUND(V45*X45,0)</f>
        <v>30150</v>
      </c>
      <c r="U45" s="481" t="s">
        <v>34</v>
      </c>
      <c r="V45" s="798">
        <f>P37</f>
        <v>1.198</v>
      </c>
      <c r="W45" s="481" t="s">
        <v>148</v>
      </c>
      <c r="X45" s="810">
        <f>P28</f>
        <v>25167</v>
      </c>
      <c r="Y45"/>
      <c r="Z45"/>
      <c r="AA45"/>
      <c r="AB45"/>
      <c r="AC45"/>
      <c r="AD45"/>
      <c r="AE45"/>
      <c r="AF45"/>
      <c r="AG45"/>
      <c r="AH45"/>
      <c r="AI45"/>
    </row>
    <row r="46" spans="1:35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 s="477"/>
      <c r="M46" s="316">
        <f>M45+1</f>
        <v>2025</v>
      </c>
      <c r="N46" s="741"/>
      <c r="O46" s="801">
        <f>ROUND(N37*N28,0)</f>
        <v>37292</v>
      </c>
      <c r="P46" s="802">
        <f>ROUND(O37*O28,0)</f>
        <v>39692</v>
      </c>
      <c r="Q46" s="811">
        <f>ROUND(P37*P28,0)</f>
        <v>30150</v>
      </c>
      <c r="R46" s="807">
        <f>Q28*G23</f>
        <v>14834.04</v>
      </c>
      <c r="S46" s="797" t="s">
        <v>793</v>
      </c>
      <c r="T46" s="681">
        <f>ROUND(V46*X46,0)</f>
        <v>14834</v>
      </c>
      <c r="U46" s="481" t="s">
        <v>34</v>
      </c>
      <c r="V46" s="812">
        <f>G23</f>
        <v>1.1100000000000001</v>
      </c>
      <c r="W46" s="481" t="s">
        <v>148</v>
      </c>
      <c r="X46" s="813">
        <f>Q28</f>
        <v>13364</v>
      </c>
      <c r="Y46"/>
      <c r="Z46"/>
      <c r="AA46"/>
      <c r="AB46"/>
      <c r="AC46"/>
      <c r="AD46"/>
      <c r="AE46"/>
      <c r="AF46"/>
      <c r="AG46"/>
      <c r="AH46"/>
      <c r="AI46"/>
    </row>
    <row r="47" spans="1:35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 s="477"/>
      <c r="M47" s="477"/>
      <c r="N47" s="477"/>
      <c r="O47" s="477"/>
      <c r="P47" s="477"/>
      <c r="Q47" s="477"/>
      <c r="R47" s="477"/>
      <c r="S47" s="477"/>
      <c r="T47" s="467"/>
      <c r="U47" s="467"/>
      <c r="V47" s="482"/>
      <c r="W47" s="467"/>
      <c r="X47" s="467"/>
      <c r="Y47"/>
      <c r="Z47"/>
      <c r="AA47"/>
      <c r="AB47"/>
      <c r="AC47"/>
      <c r="AD47"/>
      <c r="AE47"/>
      <c r="AF47"/>
      <c r="AG47"/>
      <c r="AH47"/>
      <c r="AI47"/>
    </row>
    <row r="48" spans="1:35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 s="477"/>
      <c r="M48" s="814" t="s">
        <v>485</v>
      </c>
      <c r="N48" s="134" t="s">
        <v>794</v>
      </c>
      <c r="O48" s="477"/>
      <c r="P48" s="477"/>
      <c r="Q48" s="477"/>
      <c r="R48" s="477"/>
      <c r="S48" s="477"/>
      <c r="T48" s="134" t="s">
        <v>795</v>
      </c>
      <c r="U48" s="477"/>
      <c r="V48" s="482"/>
      <c r="W48" s="477"/>
      <c r="X48" s="477"/>
      <c r="Y48"/>
      <c r="Z48"/>
      <c r="AA48"/>
      <c r="AB48"/>
      <c r="AC48"/>
      <c r="AD48"/>
      <c r="AE48"/>
      <c r="AF48"/>
      <c r="AG48"/>
      <c r="AH48"/>
      <c r="AI48"/>
    </row>
    <row r="49" spans="2:35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 s="477"/>
      <c r="M49" s="477"/>
      <c r="N49" s="134" t="s">
        <v>796</v>
      </c>
      <c r="O49" s="477"/>
      <c r="P49" s="477"/>
      <c r="Q49" s="477"/>
      <c r="R49" s="477"/>
      <c r="S49" s="477"/>
      <c r="T49" s="815" t="s">
        <v>797</v>
      </c>
      <c r="U49" s="477"/>
      <c r="V49" s="481"/>
      <c r="W49" s="477"/>
      <c r="X49" s="477"/>
      <c r="Y49"/>
      <c r="Z49"/>
      <c r="AA49"/>
      <c r="AB49"/>
      <c r="AC49"/>
      <c r="AD49"/>
      <c r="AE49"/>
      <c r="AF49"/>
      <c r="AG49"/>
      <c r="AH49"/>
      <c r="AI49"/>
    </row>
    <row r="50" spans="2:35" ht="15" customHeight="1">
      <c r="B50" s="30"/>
      <c r="C50" s="30"/>
      <c r="D50" s="30"/>
      <c r="E50" s="30"/>
      <c r="F50" s="30"/>
      <c r="G50" s="30"/>
      <c r="H50" s="30"/>
      <c r="I50" s="30"/>
      <c r="J50" s="30"/>
      <c r="L50" s="477"/>
      <c r="M50" s="477"/>
      <c r="N50" s="134" t="s">
        <v>798</v>
      </c>
      <c r="O50" s="477"/>
      <c r="P50" s="477"/>
      <c r="Q50" s="477"/>
      <c r="R50" s="477"/>
      <c r="S50" s="477"/>
      <c r="T50" s="477"/>
      <c r="U50" s="477"/>
      <c r="V50" s="481"/>
      <c r="W50" s="477"/>
      <c r="X50" s="477"/>
      <c r="Y50"/>
      <c r="Z50"/>
      <c r="AA50"/>
      <c r="AB50"/>
      <c r="AC50"/>
      <c r="AD50"/>
      <c r="AE50"/>
      <c r="AF50"/>
      <c r="AG50"/>
      <c r="AH50"/>
      <c r="AI50"/>
    </row>
    <row r="51" spans="2:35" ht="15" customHeight="1">
      <c r="B51" s="30"/>
      <c r="C51" s="30"/>
      <c r="D51" s="30"/>
      <c r="E51" s="30"/>
      <c r="F51" s="30"/>
      <c r="G51" s="30"/>
      <c r="H51" s="30"/>
      <c r="I51" s="30"/>
      <c r="J51" s="30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/>
      <c r="Z51"/>
      <c r="AA51"/>
      <c r="AB51"/>
      <c r="AC51"/>
      <c r="AD51"/>
      <c r="AE51"/>
      <c r="AF51"/>
      <c r="AG51"/>
      <c r="AH51"/>
      <c r="AI51"/>
    </row>
    <row r="52" spans="2:35" ht="15" customHeight="1">
      <c r="B52" s="30"/>
      <c r="C52" s="30"/>
      <c r="D52" s="30"/>
      <c r="E52" s="30"/>
      <c r="F52" s="30"/>
      <c r="G52" s="30"/>
      <c r="H52" s="30"/>
      <c r="I52" s="30"/>
      <c r="J52" s="30"/>
      <c r="L52" s="430" t="s">
        <v>193</v>
      </c>
      <c r="M52" s="467" t="s">
        <v>799</v>
      </c>
      <c r="N52" s="467"/>
      <c r="O52" s="467"/>
      <c r="P52" s="467"/>
      <c r="Q52" s="43" t="s">
        <v>800</v>
      </c>
      <c r="R52" s="479" t="s">
        <v>34</v>
      </c>
      <c r="S52" s="467" t="s">
        <v>801</v>
      </c>
      <c r="T52" s="467"/>
      <c r="U52" s="467"/>
      <c r="V52" s="467"/>
      <c r="W52" s="467"/>
      <c r="X52" s="477"/>
      <c r="Y52"/>
      <c r="Z52"/>
      <c r="AA52"/>
      <c r="AB52"/>
      <c r="AC52"/>
      <c r="AD52"/>
      <c r="AE52"/>
      <c r="AF52"/>
      <c r="AG52"/>
      <c r="AH52"/>
      <c r="AI52"/>
    </row>
    <row r="53" spans="2:35" ht="15" customHeight="1">
      <c r="B53" s="30"/>
      <c r="C53" s="30"/>
      <c r="D53" s="30"/>
      <c r="E53" s="30"/>
      <c r="F53" s="30"/>
      <c r="G53" s="30"/>
      <c r="H53" s="30"/>
      <c r="I53" s="30"/>
      <c r="J53" s="30"/>
      <c r="L53" s="477"/>
      <c r="M53" s="467"/>
      <c r="N53" s="467"/>
      <c r="O53" s="467"/>
      <c r="P53" s="467"/>
      <c r="Q53" s="467" t="s">
        <v>802</v>
      </c>
      <c r="R53" s="479" t="s">
        <v>34</v>
      </c>
      <c r="S53" s="467" t="s">
        <v>803</v>
      </c>
      <c r="T53" s="467"/>
      <c r="U53" s="467"/>
      <c r="V53" s="467"/>
      <c r="W53" s="467"/>
      <c r="X53" s="477"/>
      <c r="Y53"/>
      <c r="Z53"/>
      <c r="AA53"/>
      <c r="AB53"/>
      <c r="AC53"/>
      <c r="AD53"/>
      <c r="AE53"/>
      <c r="AF53"/>
      <c r="AG53"/>
      <c r="AH53"/>
      <c r="AI53"/>
    </row>
    <row r="54" spans="2:35" ht="15" customHeight="1">
      <c r="B54" s="30"/>
      <c r="C54" s="30"/>
      <c r="D54" s="30"/>
      <c r="E54" s="30"/>
      <c r="F54" s="30"/>
      <c r="G54" s="30"/>
      <c r="H54" s="30"/>
      <c r="I54" s="30"/>
      <c r="J54" s="30"/>
      <c r="L54" s="477"/>
      <c r="M54" s="467"/>
      <c r="N54" s="467"/>
      <c r="O54" s="467"/>
      <c r="P54" s="467"/>
      <c r="Q54" s="467"/>
      <c r="R54" s="467"/>
      <c r="S54" s="467"/>
      <c r="T54" s="467"/>
      <c r="U54" s="467"/>
      <c r="V54" s="467"/>
      <c r="W54" s="467"/>
      <c r="X54" s="477"/>
      <c r="Y54"/>
      <c r="Z54"/>
      <c r="AA54"/>
      <c r="AB54"/>
      <c r="AC54"/>
      <c r="AD54"/>
      <c r="AE54"/>
      <c r="AF54"/>
      <c r="AG54"/>
      <c r="AH54"/>
      <c r="AI54"/>
    </row>
    <row r="55" spans="2:35" ht="15" customHeight="1">
      <c r="B55" s="30"/>
      <c r="C55" s="30"/>
      <c r="D55" s="30"/>
      <c r="E55" s="30"/>
      <c r="F55" s="30"/>
      <c r="G55" s="30"/>
      <c r="H55" s="30"/>
      <c r="I55" s="30"/>
      <c r="J55" s="30"/>
      <c r="L55" s="477"/>
      <c r="M55" s="816" t="s">
        <v>83</v>
      </c>
      <c r="N55" s="817" t="s">
        <v>183</v>
      </c>
      <c r="O55" s="818" t="s">
        <v>194</v>
      </c>
      <c r="P55" s="477"/>
      <c r="Q55" s="477"/>
      <c r="R55" s="477"/>
      <c r="S55" s="477"/>
      <c r="T55" s="477"/>
      <c r="U55" s="477"/>
      <c r="V55" s="477"/>
      <c r="W55" s="477"/>
      <c r="X55" s="477"/>
      <c r="Y55"/>
      <c r="Z55"/>
      <c r="AA55"/>
      <c r="AB55"/>
      <c r="AC55"/>
      <c r="AD55"/>
      <c r="AE55"/>
      <c r="AF55"/>
      <c r="AG55"/>
      <c r="AH55"/>
      <c r="AI55"/>
    </row>
    <row r="56" spans="2:35" ht="15" customHeight="1">
      <c r="B56" s="30"/>
      <c r="C56" s="30"/>
      <c r="D56" s="30"/>
      <c r="E56" s="30"/>
      <c r="F56" s="30"/>
      <c r="G56" s="30"/>
      <c r="H56" s="30"/>
      <c r="I56" s="30"/>
      <c r="J56" s="30"/>
      <c r="L56" s="477"/>
      <c r="M56" s="687">
        <f>B11</f>
        <v>2022</v>
      </c>
      <c r="N56" s="685">
        <f>SUM(N7:Q7)+SUM(N43:R43)</f>
        <v>90542.58</v>
      </c>
      <c r="O56" s="686">
        <f>SUM(N43:R43)</f>
        <v>8966.58</v>
      </c>
      <c r="P56" s="477"/>
      <c r="Q56" s="776" t="s">
        <v>804</v>
      </c>
      <c r="R56" s="284"/>
      <c r="S56" s="284"/>
      <c r="T56" s="284"/>
      <c r="U56" s="284"/>
      <c r="V56" s="284"/>
      <c r="W56" s="283"/>
      <c r="X56" s="477"/>
      <c r="Y56"/>
      <c r="Z56"/>
      <c r="AA56"/>
      <c r="AB56"/>
      <c r="AC56"/>
      <c r="AD56"/>
      <c r="AE56"/>
      <c r="AF56"/>
      <c r="AG56"/>
      <c r="AH56"/>
      <c r="AI56"/>
    </row>
    <row r="57" spans="2:35" ht="15" customHeight="1">
      <c r="B57" s="30"/>
      <c r="C57" s="30"/>
      <c r="D57" s="30"/>
      <c r="E57" s="30"/>
      <c r="F57" s="30"/>
      <c r="G57" s="30"/>
      <c r="H57" s="30"/>
      <c r="I57" s="30"/>
      <c r="J57" s="30"/>
      <c r="L57" s="477"/>
      <c r="M57" s="687">
        <f>M56+1</f>
        <v>2023</v>
      </c>
      <c r="N57" s="685">
        <f>SUM(N8:Q8)+SUM(N44:R44)</f>
        <v>92239</v>
      </c>
      <c r="O57" s="686">
        <f>SUM(N44:R44)</f>
        <v>28879</v>
      </c>
      <c r="P57" s="477"/>
      <c r="Q57" s="779" t="s">
        <v>805</v>
      </c>
      <c r="R57" s="237"/>
      <c r="S57" s="237"/>
      <c r="T57" s="237"/>
      <c r="U57" s="237"/>
      <c r="V57" s="237"/>
      <c r="W57" s="665"/>
      <c r="X57" s="477"/>
      <c r="Y57"/>
      <c r="Z57"/>
      <c r="AA57"/>
      <c r="AB57"/>
      <c r="AC57"/>
      <c r="AD57"/>
      <c r="AE57"/>
      <c r="AF57"/>
      <c r="AG57"/>
      <c r="AH57"/>
      <c r="AI57"/>
    </row>
    <row r="58" spans="2:35" ht="15" customHeight="1">
      <c r="B58" s="30"/>
      <c r="C58" s="30"/>
      <c r="D58" s="30"/>
      <c r="E58" s="30"/>
      <c r="F58" s="30"/>
      <c r="G58" s="30"/>
      <c r="H58" s="30"/>
      <c r="I58" s="30"/>
      <c r="J58" s="30"/>
      <c r="L58" s="477"/>
      <c r="M58" s="687">
        <f>M57+1</f>
        <v>2024</v>
      </c>
      <c r="N58" s="685">
        <f>SUM(N9:Q9)+SUM(N45:R45)</f>
        <v>160183</v>
      </c>
      <c r="O58" s="686">
        <f>SUM(N45:R45)</f>
        <v>88903</v>
      </c>
      <c r="P58" s="477"/>
      <c r="Q58" s="477"/>
      <c r="R58" s="477"/>
      <c r="S58" s="477"/>
      <c r="T58" s="477"/>
      <c r="U58" s="477"/>
      <c r="V58" s="477"/>
      <c r="W58" s="477"/>
      <c r="X58" s="477"/>
      <c r="Y58"/>
      <c r="Z58"/>
      <c r="AA58"/>
      <c r="AB58"/>
      <c r="AC58"/>
      <c r="AD58"/>
      <c r="AE58"/>
      <c r="AF58"/>
      <c r="AG58"/>
      <c r="AH58"/>
      <c r="AI58"/>
    </row>
    <row r="59" spans="2:35" ht="15" customHeight="1">
      <c r="B59" s="30"/>
      <c r="C59" s="30"/>
      <c r="D59" s="30"/>
      <c r="E59" s="30"/>
      <c r="F59" s="30"/>
      <c r="G59" s="30"/>
      <c r="H59" s="30"/>
      <c r="I59" s="30"/>
      <c r="J59" s="30"/>
      <c r="L59" s="477"/>
      <c r="M59" s="689">
        <f>M58+1</f>
        <v>2025</v>
      </c>
      <c r="N59" s="238">
        <f>SUM(N10:Q10)+SUM(N46:R46)</f>
        <v>153648.04</v>
      </c>
      <c r="O59" s="280">
        <f>SUM(N46:R46)</f>
        <v>121968.04000000001</v>
      </c>
      <c r="P59" s="477"/>
      <c r="Q59" s="477"/>
      <c r="R59" s="477"/>
      <c r="S59" s="477"/>
      <c r="T59" s="477"/>
      <c r="U59" s="477"/>
      <c r="V59" s="477"/>
      <c r="W59" s="477"/>
      <c r="X59" s="477"/>
      <c r="Y59"/>
      <c r="Z59"/>
      <c r="AA59"/>
      <c r="AB59"/>
      <c r="AC59"/>
      <c r="AD59"/>
      <c r="AE59"/>
      <c r="AF59"/>
      <c r="AG59"/>
      <c r="AH59"/>
      <c r="AI59"/>
    </row>
    <row r="60" spans="2:35" ht="15" customHeight="1">
      <c r="B60" s="30"/>
      <c r="C60" s="30"/>
      <c r="D60" s="30"/>
      <c r="E60" s="30"/>
      <c r="F60" s="30"/>
      <c r="G60" s="30"/>
      <c r="H60" s="30"/>
      <c r="I60" s="30"/>
      <c r="J60" s="30"/>
      <c r="L60" s="477"/>
      <c r="M60" s="477"/>
      <c r="N60" s="477"/>
      <c r="O60" s="477"/>
      <c r="P60" s="477"/>
      <c r="Q60" s="477"/>
      <c r="R60" s="477"/>
      <c r="S60" s="477"/>
      <c r="T60" s="477"/>
      <c r="U60" s="477"/>
      <c r="V60" s="477"/>
      <c r="W60" s="477"/>
      <c r="X60" s="477"/>
      <c r="Y60"/>
      <c r="Z60"/>
      <c r="AA60"/>
      <c r="AB60"/>
      <c r="AC60"/>
      <c r="AD60"/>
      <c r="AE60"/>
      <c r="AF60"/>
      <c r="AG60"/>
      <c r="AH60"/>
      <c r="AI60"/>
    </row>
    <row r="61" spans="2:35" ht="15" customHeight="1">
      <c r="B61" s="30"/>
      <c r="C61" s="30"/>
      <c r="D61" s="30"/>
      <c r="E61" s="30"/>
      <c r="F61" s="30"/>
      <c r="G61" s="30"/>
      <c r="H61" s="30"/>
      <c r="I61" s="30"/>
      <c r="J61" s="30"/>
      <c r="L61" s="467"/>
      <c r="M61" s="477" t="s">
        <v>806</v>
      </c>
      <c r="N61" s="315" t="str">
        <f>E6</f>
        <v>ultimate</v>
      </c>
      <c r="O61" s="481" t="s">
        <v>190</v>
      </c>
      <c r="P61" s="301">
        <f>G6</f>
        <v>2023</v>
      </c>
      <c r="Q61" s="481" t="s">
        <v>807</v>
      </c>
      <c r="R61" s="430">
        <f>VLOOKUP(P61,M56:O59,IF(N61="ultimate",2,3),FALSE)</f>
        <v>92239</v>
      </c>
      <c r="S61" s="134" t="s">
        <v>234</v>
      </c>
      <c r="T61" s="477"/>
      <c r="U61" s="477"/>
      <c r="V61" s="477"/>
      <c r="W61" s="477"/>
      <c r="X61" s="467"/>
      <c r="Y61"/>
      <c r="Z61"/>
      <c r="AA61"/>
      <c r="AB61"/>
      <c r="AC61"/>
      <c r="AD61"/>
      <c r="AE61"/>
      <c r="AF61"/>
      <c r="AG61"/>
      <c r="AH61"/>
      <c r="AI61"/>
    </row>
    <row r="62" spans="2:35" ht="15" customHeight="1">
      <c r="B62" s="30"/>
      <c r="C62" s="30"/>
      <c r="D62" s="30"/>
      <c r="E62" s="30"/>
      <c r="F62" s="30"/>
      <c r="G62" s="30"/>
      <c r="H62" s="30"/>
      <c r="I62" s="30"/>
      <c r="J62" s="30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2:35" ht="15" customHeight="1">
      <c r="B63" s="30"/>
      <c r="C63" s="30"/>
      <c r="D63" s="30"/>
      <c r="E63" s="30"/>
      <c r="F63" s="30"/>
      <c r="G63" s="30"/>
      <c r="H63" s="30"/>
      <c r="I63" s="30"/>
      <c r="J63" s="30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2:35" ht="15" customHeight="1">
      <c r="B64" s="30"/>
      <c r="C64" s="30"/>
      <c r="D64" s="30"/>
      <c r="E64" s="30"/>
      <c r="F64" s="30"/>
      <c r="G64" s="30"/>
      <c r="H64" s="30"/>
      <c r="I64" s="30"/>
      <c r="J64" s="30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2:35" ht="15" customHeight="1">
      <c r="B65" s="30"/>
      <c r="C65" s="30"/>
      <c r="D65" s="30"/>
      <c r="E65" s="30"/>
      <c r="F65" s="30"/>
      <c r="G65" s="30"/>
      <c r="H65" s="30"/>
      <c r="I65" s="30"/>
      <c r="J65" s="30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2:35" ht="15" customHeight="1">
      <c r="B66" s="30"/>
      <c r="C66" s="30"/>
      <c r="D66" s="30"/>
      <c r="E66" s="30"/>
      <c r="F66" s="30"/>
      <c r="G66" s="30"/>
      <c r="H66" s="30"/>
      <c r="I66" s="30"/>
      <c r="J66" s="30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2:35" ht="15" customHeight="1">
      <c r="B67" s="30"/>
      <c r="C67" s="30"/>
      <c r="D67" s="30"/>
      <c r="E67" s="30"/>
      <c r="F67" s="30"/>
      <c r="G67" s="30"/>
      <c r="H67" s="30"/>
      <c r="I67" s="30"/>
      <c r="J67" s="30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2:35" ht="15" customHeight="1">
      <c r="B68" s="30"/>
      <c r="C68" s="30"/>
      <c r="D68" s="30"/>
      <c r="E68" s="30"/>
      <c r="F68" s="30"/>
      <c r="G68" s="30"/>
      <c r="H68" s="30"/>
      <c r="I68" s="30"/>
      <c r="J68" s="30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2:35" ht="15" customHeight="1">
      <c r="B69" s="30"/>
      <c r="C69" s="30"/>
      <c r="D69" s="30"/>
      <c r="E69" s="30"/>
      <c r="F69" s="30"/>
      <c r="G69" s="30"/>
      <c r="H69" s="30"/>
      <c r="I69" s="30"/>
      <c r="J69" s="30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2:35" ht="15" customHeight="1">
      <c r="B70" s="30"/>
      <c r="C70" s="30"/>
      <c r="D70" s="30"/>
      <c r="E70" s="30"/>
      <c r="F70" s="30"/>
      <c r="G70" s="30"/>
      <c r="H70" s="30"/>
      <c r="I70" s="30"/>
      <c r="J70" s="3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2:35" ht="15" customHeight="1">
      <c r="B71" s="30"/>
      <c r="C71" s="30"/>
      <c r="D71" s="30"/>
      <c r="E71" s="30"/>
      <c r="F71" s="30"/>
      <c r="G71" s="30"/>
      <c r="H71" s="30"/>
      <c r="I71" s="30"/>
      <c r="J71" s="30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2:35" ht="15" customHeight="1">
      <c r="B72" s="30"/>
      <c r="C72" s="30"/>
      <c r="D72" s="30"/>
      <c r="E72" s="30"/>
      <c r="F72" s="30"/>
      <c r="G72" s="30"/>
      <c r="H72" s="30"/>
      <c r="I72" s="30"/>
      <c r="J72" s="30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2:35" ht="15" customHeight="1">
      <c r="B73" s="30"/>
      <c r="C73" s="30"/>
      <c r="D73" s="30"/>
      <c r="E73" s="30"/>
      <c r="F73" s="30"/>
      <c r="G73" s="30"/>
      <c r="H73" s="30"/>
      <c r="I73" s="30"/>
      <c r="J73" s="30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2:35" ht="15" customHeight="1">
      <c r="B74" s="30"/>
      <c r="C74" s="30"/>
      <c r="D74" s="30"/>
      <c r="E74" s="30"/>
      <c r="F74" s="30"/>
      <c r="G74" s="30"/>
      <c r="H74" s="30"/>
      <c r="I74" s="30"/>
      <c r="J74" s="30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2:35" ht="15" customHeight="1">
      <c r="B75" s="30"/>
      <c r="C75" s="30"/>
      <c r="D75" s="30"/>
      <c r="E75" s="30"/>
      <c r="F75" s="30"/>
      <c r="G75" s="30"/>
      <c r="H75" s="30"/>
      <c r="I75" s="30"/>
      <c r="J75" s="30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2:35" ht="15" customHeight="1">
      <c r="B76" s="30"/>
      <c r="C76" s="30"/>
      <c r="D76" s="30"/>
      <c r="E76" s="30"/>
      <c r="F76" s="30"/>
      <c r="G76" s="30"/>
      <c r="H76" s="30"/>
      <c r="I76" s="30"/>
      <c r="J76" s="30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2:35" ht="15" customHeight="1">
      <c r="B77" s="30"/>
      <c r="C77" s="30"/>
      <c r="D77" s="30"/>
      <c r="E77" s="30"/>
      <c r="F77" s="30"/>
      <c r="G77" s="30"/>
      <c r="H77" s="30"/>
      <c r="I77" s="30"/>
      <c r="J77" s="30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2:35" ht="15" customHeight="1">
      <c r="B78" s="30"/>
      <c r="C78" s="30"/>
      <c r="D78" s="30"/>
      <c r="E78" s="30"/>
      <c r="F78" s="30"/>
      <c r="G78" s="30"/>
      <c r="H78" s="30"/>
      <c r="I78" s="30"/>
      <c r="J78" s="30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2:35" ht="15" customHeight="1">
      <c r="B79" s="30"/>
      <c r="C79" s="30"/>
      <c r="D79" s="30"/>
      <c r="E79" s="30"/>
      <c r="F79" s="30"/>
      <c r="G79" s="30"/>
      <c r="H79" s="30"/>
      <c r="I79" s="30"/>
      <c r="J79" s="30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2:35" ht="15" customHeight="1">
      <c r="B80" s="30"/>
      <c r="C80" s="30"/>
      <c r="D80" s="30"/>
      <c r="E80" s="30"/>
      <c r="F80" s="30"/>
      <c r="G80" s="30"/>
      <c r="H80" s="30"/>
      <c r="I80" s="30"/>
      <c r="J80" s="3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2:35" ht="15" customHeight="1">
      <c r="B81" s="30"/>
      <c r="C81" s="30"/>
      <c r="D81" s="30"/>
      <c r="E81" s="30"/>
      <c r="F81" s="30"/>
      <c r="G81" s="30"/>
      <c r="H81" s="30"/>
      <c r="I81" s="30"/>
      <c r="J81" s="30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2:35" ht="15" customHeight="1">
      <c r="B82" s="30"/>
      <c r="C82" s="30"/>
      <c r="D82" s="30"/>
      <c r="E82" s="30"/>
      <c r="F82" s="30"/>
      <c r="G82" s="30"/>
      <c r="H82" s="30"/>
      <c r="I82" s="30"/>
      <c r="J82" s="30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2:35" ht="15" customHeight="1">
      <c r="B83" s="30"/>
      <c r="C83" s="30"/>
      <c r="D83" s="30"/>
      <c r="E83" s="30"/>
      <c r="F83" s="30"/>
      <c r="G83" s="30"/>
      <c r="H83" s="30"/>
      <c r="I83" s="30"/>
      <c r="J83" s="30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2:35" ht="15" customHeight="1">
      <c r="B84" s="30"/>
      <c r="C84" s="30"/>
      <c r="D84" s="30"/>
      <c r="E84" s="30"/>
      <c r="F84" s="30"/>
      <c r="G84" s="30"/>
      <c r="H84" s="30"/>
      <c r="I84" s="30"/>
      <c r="J84" s="30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2:35" ht="15" customHeight="1">
      <c r="B85" s="30"/>
      <c r="C85" s="30"/>
      <c r="D85" s="30"/>
      <c r="E85" s="30"/>
      <c r="F85" s="30"/>
      <c r="G85" s="30"/>
      <c r="H85" s="30"/>
      <c r="I85" s="30"/>
      <c r="J85" s="30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2:35" ht="15" customHeight="1">
      <c r="B86" s="30"/>
      <c r="C86" s="30"/>
      <c r="D86" s="30"/>
      <c r="E86" s="30"/>
      <c r="F86" s="30"/>
      <c r="G86" s="30"/>
      <c r="H86" s="30"/>
      <c r="I86" s="30"/>
      <c r="J86" s="30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2:35" ht="15" customHeight="1">
      <c r="B87" s="30"/>
      <c r="C87" s="30"/>
      <c r="D87" s="30"/>
      <c r="E87" s="30"/>
      <c r="F87" s="30"/>
      <c r="G87" s="30"/>
      <c r="H87" s="30"/>
      <c r="I87" s="30"/>
      <c r="J87" s="30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2:35" ht="15" customHeight="1">
      <c r="B88" s="30"/>
      <c r="C88" s="30"/>
      <c r="D88" s="30"/>
      <c r="E88" s="30"/>
      <c r="F88" s="30"/>
      <c r="G88" s="30"/>
      <c r="H88" s="30"/>
      <c r="I88" s="30"/>
      <c r="J88" s="30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2:35" ht="15" customHeight="1">
      <c r="B89" s="30"/>
      <c r="C89" s="30"/>
      <c r="D89" s="30"/>
      <c r="E89" s="30"/>
      <c r="F89" s="30"/>
      <c r="G89" s="30"/>
      <c r="H89" s="30"/>
      <c r="I89" s="30"/>
      <c r="J89" s="30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2:35" ht="15" customHeight="1">
      <c r="B90" s="30"/>
      <c r="C90" s="30"/>
      <c r="D90" s="30"/>
      <c r="E90" s="30"/>
      <c r="F90" s="30"/>
      <c r="G90" s="30"/>
      <c r="H90" s="30"/>
      <c r="I90" s="30"/>
      <c r="J90" s="3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2:35" ht="15" customHeight="1">
      <c r="B91" s="30"/>
      <c r="C91" s="30"/>
      <c r="D91" s="30"/>
      <c r="E91" s="30"/>
      <c r="F91" s="30"/>
      <c r="G91" s="30"/>
      <c r="H91" s="30"/>
      <c r="I91" s="30"/>
      <c r="J91" s="30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2:35" ht="15" customHeight="1">
      <c r="B92" s="30"/>
      <c r="C92" s="30"/>
      <c r="D92" s="30"/>
      <c r="E92" s="30"/>
      <c r="F92" s="30"/>
      <c r="G92" s="30"/>
      <c r="H92" s="30"/>
      <c r="I92" s="30"/>
      <c r="J92" s="30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2:35" ht="15" customHeight="1">
      <c r="B93" s="30"/>
      <c r="C93" s="30"/>
      <c r="D93" s="30"/>
      <c r="E93" s="30"/>
      <c r="F93" s="30"/>
      <c r="G93" s="30"/>
      <c r="H93" s="30"/>
      <c r="I93" s="30"/>
      <c r="J93" s="30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2:35" ht="15" customHeight="1">
      <c r="B94" s="30"/>
      <c r="C94" s="30"/>
      <c r="D94" s="30"/>
      <c r="E94" s="30"/>
      <c r="F94" s="30"/>
      <c r="G94" s="30"/>
      <c r="H94" s="30"/>
      <c r="I94" s="30"/>
      <c r="J94" s="30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2:35" ht="15" customHeight="1">
      <c r="B95" s="30"/>
      <c r="C95" s="30"/>
      <c r="D95" s="30"/>
      <c r="E95" s="30"/>
      <c r="F95" s="30"/>
      <c r="G95" s="30"/>
      <c r="H95" s="30"/>
      <c r="I95" s="30"/>
      <c r="J95" s="30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2:35" ht="15" customHeight="1">
      <c r="B96" s="30"/>
      <c r="C96" s="30"/>
      <c r="D96" s="30"/>
      <c r="E96" s="30"/>
      <c r="F96" s="30"/>
      <c r="G96" s="30"/>
      <c r="H96" s="30"/>
      <c r="I96" s="30"/>
      <c r="J96" s="30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2:35" ht="15" customHeight="1">
      <c r="B97" s="30"/>
      <c r="C97" s="30"/>
      <c r="D97" s="30"/>
      <c r="E97" s="30"/>
      <c r="F97" s="30"/>
      <c r="G97" s="30"/>
      <c r="H97" s="30"/>
      <c r="I97" s="30"/>
      <c r="J97" s="30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2:35" ht="15" customHeight="1">
      <c r="B98" s="30"/>
      <c r="C98" s="30"/>
      <c r="D98" s="30"/>
      <c r="E98" s="30"/>
      <c r="F98" s="30"/>
      <c r="G98" s="30"/>
      <c r="H98" s="30"/>
      <c r="I98" s="30"/>
      <c r="J98" s="30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2:35" ht="15" customHeight="1">
      <c r="B99" s="30"/>
      <c r="C99" s="30"/>
      <c r="D99" s="30"/>
      <c r="E99" s="30"/>
      <c r="F99" s="30"/>
      <c r="G99" s="30"/>
      <c r="H99" s="30"/>
      <c r="I99" s="30"/>
      <c r="J99" s="30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2:35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101"/>
  <sheetViews>
    <sheetView workbookViewId="0"/>
  </sheetViews>
  <sheetFormatPr defaultColWidth="9.140625" defaultRowHeight="15"/>
  <cols>
    <col min="1" max="1" width="9.140625" style="21"/>
    <col min="2" max="6" width="10.7109375" style="21" customWidth="1"/>
    <col min="7" max="7" width="8.7109375" style="21" customWidth="1"/>
    <col min="8" max="11" width="10.7109375" style="21" customWidth="1"/>
    <col min="12" max="12" width="12.7109375" style="21" customWidth="1"/>
    <col min="13" max="13" width="11.140625" style="21" customWidth="1"/>
    <col min="14" max="16384" width="9.140625" style="21"/>
  </cols>
  <sheetData>
    <row r="1" spans="1:41" ht="15" customHeight="1">
      <c r="A1" s="7">
        <v>26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17"/>
      <c r="L1" s="1024" t="s">
        <v>24</v>
      </c>
      <c r="M1" s="1025"/>
      <c r="O1" s="1" t="s">
        <v>33</v>
      </c>
      <c r="P1" s="47" t="str">
        <f>VLOOKUP(A1,'Point Grid'!$L$8:$T$54,9,FALSE)</f>
        <v>Reserving - Chap 13: Berquist-Sherman Methods</v>
      </c>
      <c r="Q1"/>
      <c r="R1"/>
      <c r="S1"/>
      <c r="T1"/>
      <c r="U1"/>
      <c r="V1"/>
      <c r="W1"/>
      <c r="X1"/>
      <c r="Y1"/>
    </row>
    <row r="2" spans="1:41" ht="15" customHeight="1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</row>
    <row r="3" spans="1:41" ht="15" customHeight="1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O3" s="214" t="s">
        <v>2</v>
      </c>
      <c r="P3" s="270" t="s">
        <v>226</v>
      </c>
      <c r="Q3" s="477" t="s">
        <v>723</v>
      </c>
      <c r="R3" s="477"/>
      <c r="S3" s="477" t="s">
        <v>724</v>
      </c>
      <c r="T3" s="134" t="s">
        <v>725</v>
      </c>
      <c r="U3" s="477"/>
      <c r="V3" s="477"/>
      <c r="W3" s="477"/>
      <c r="X3" s="477"/>
      <c r="Y3" s="477"/>
      <c r="Z3" s="477"/>
      <c r="AA3" s="477"/>
      <c r="AB3" s="47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  <c r="AO3" s="467"/>
    </row>
    <row r="4" spans="1:41" ht="15" customHeight="1">
      <c r="A4" s="9">
        <f>INDEX('Point Grid'!B:B,MATCH(A1,'Point Grid'!A:A,0))</f>
        <v>2.75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67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</row>
    <row r="5" spans="1:41" ht="1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P5" s="477"/>
      <c r="Q5" s="309"/>
      <c r="R5" s="310" t="s">
        <v>726</v>
      </c>
      <c r="S5" s="310"/>
      <c r="T5" s="310"/>
      <c r="U5" s="311"/>
      <c r="V5" s="477"/>
      <c r="W5" s="776" t="s">
        <v>819</v>
      </c>
      <c r="X5" s="284"/>
      <c r="Y5" s="284"/>
      <c r="Z5" s="284"/>
      <c r="AA5" s="283"/>
      <c r="AB5" s="47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</row>
    <row r="6" spans="1:41" ht="15" customHeight="1">
      <c r="A6" s="25" t="s">
        <v>2</v>
      </c>
      <c r="B6" s="151" t="s">
        <v>808</v>
      </c>
      <c r="C6" s="151"/>
      <c r="D6" s="151"/>
      <c r="E6" s="151"/>
      <c r="F6" s="151"/>
      <c r="G6" s="207" t="s">
        <v>183</v>
      </c>
      <c r="H6" s="207" t="s">
        <v>190</v>
      </c>
      <c r="I6" s="668">
        <v>2025</v>
      </c>
      <c r="J6" s="100"/>
      <c r="K6" s="17"/>
      <c r="L6" s="17"/>
      <c r="M6" s="18"/>
      <c r="P6" s="477"/>
      <c r="Q6" s="312" t="s">
        <v>83</v>
      </c>
      <c r="R6" s="313">
        <v>12</v>
      </c>
      <c r="S6" s="313">
        <v>24</v>
      </c>
      <c r="T6" s="313">
        <v>36</v>
      </c>
      <c r="U6" s="314">
        <v>48</v>
      </c>
      <c r="V6" s="477"/>
      <c r="W6" s="819" t="s">
        <v>820</v>
      </c>
      <c r="X6" s="667"/>
      <c r="Y6" s="667"/>
      <c r="Z6" s="667"/>
      <c r="AA6" s="650"/>
      <c r="AB6" s="47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</row>
    <row r="7" spans="1:41" ht="15" customHeight="1" thickBot="1">
      <c r="A7" s="9">
        <f>INDEX('Point Grid'!$C$8:$I$54,MATCH($A$1,'Point Grid'!$A$8:$A$54,0),MATCH(A6,'Point Grid'!$C$7:$I$7,0))</f>
        <v>2.75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P7" s="477"/>
      <c r="Q7" s="298">
        <f>B11</f>
        <v>2022</v>
      </c>
      <c r="R7" s="728">
        <f>IFERROR(ROUND(C11/G11,3),"")</f>
        <v>0.5</v>
      </c>
      <c r="S7" s="728">
        <f>IFERROR(ROUND(D11/G11,3),"")</f>
        <v>0.8</v>
      </c>
      <c r="T7" s="728">
        <f>IFERROR(ROUND(E11/G11,3),"")</f>
        <v>0.9</v>
      </c>
      <c r="U7" s="820">
        <f>IFERROR(ROUND(F11/G11,3),"")</f>
        <v>1</v>
      </c>
      <c r="V7" s="477"/>
      <c r="W7" s="819" t="s">
        <v>821</v>
      </c>
      <c r="X7" s="667"/>
      <c r="Y7" s="667"/>
      <c r="Z7" s="667"/>
      <c r="AA7" s="650"/>
      <c r="AB7" s="477"/>
      <c r="AC7" s="467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</row>
    <row r="8" spans="1:41" ht="15" customHeight="1" thickBot="1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P8" s="477"/>
      <c r="Q8" s="298">
        <f>Q7+1</f>
        <v>2023</v>
      </c>
      <c r="R8" s="728">
        <f>ROUND(C12/G12,3)</f>
        <v>0.5</v>
      </c>
      <c r="S8" s="728">
        <f>ROUND(D12/G12,3)</f>
        <v>0.8</v>
      </c>
      <c r="T8" s="821">
        <f>ROUND(E12/G12,3)</f>
        <v>0.9</v>
      </c>
      <c r="U8" s="729"/>
      <c r="V8" s="477"/>
      <c r="W8" s="779" t="s">
        <v>822</v>
      </c>
      <c r="X8" s="237"/>
      <c r="Y8" s="237"/>
      <c r="Z8" s="237"/>
      <c r="AA8" s="665"/>
      <c r="AB8" s="477"/>
      <c r="AC8" s="467"/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</row>
    <row r="9" spans="1:41" ht="15" customHeight="1">
      <c r="A9" s="25"/>
      <c r="B9" s="337"/>
      <c r="C9" s="338" t="s">
        <v>719</v>
      </c>
      <c r="D9" s="338"/>
      <c r="E9" s="338"/>
      <c r="F9" s="339"/>
      <c r="G9" s="277" t="s">
        <v>128</v>
      </c>
      <c r="H9" s="151"/>
      <c r="I9" s="295" t="s">
        <v>809</v>
      </c>
      <c r="J9" s="151"/>
      <c r="K9" s="151"/>
      <c r="L9" s="17"/>
      <c r="M9" s="18"/>
      <c r="P9" s="477"/>
      <c r="Q9" s="298">
        <f>Q8+1</f>
        <v>2024</v>
      </c>
      <c r="R9" s="728">
        <f>ROUND(C13/G13,3)</f>
        <v>0.4</v>
      </c>
      <c r="S9" s="821">
        <f>ROUND(D13/G13,3)</f>
        <v>0.8</v>
      </c>
      <c r="T9" s="728"/>
      <c r="U9" s="729"/>
      <c r="V9" s="477"/>
      <c r="W9" s="467"/>
      <c r="X9" s="467"/>
      <c r="Y9" s="467"/>
      <c r="Z9" s="467"/>
      <c r="AA9" s="467"/>
      <c r="AB9" s="477"/>
      <c r="AC9" s="467"/>
      <c r="AD9" s="467"/>
      <c r="AE9" s="467"/>
      <c r="AF9" s="467"/>
      <c r="AG9" s="467"/>
      <c r="AH9" s="467"/>
      <c r="AI9" s="467"/>
      <c r="AJ9" s="467"/>
      <c r="AK9" s="467"/>
      <c r="AL9" s="467"/>
      <c r="AM9" s="467"/>
      <c r="AN9" s="467"/>
      <c r="AO9" s="467"/>
    </row>
    <row r="10" spans="1:41" ht="15" customHeight="1">
      <c r="A10" s="25"/>
      <c r="B10" s="340" t="s">
        <v>83</v>
      </c>
      <c r="C10" s="341">
        <v>12</v>
      </c>
      <c r="D10" s="341">
        <v>24</v>
      </c>
      <c r="E10" s="341">
        <v>36</v>
      </c>
      <c r="F10" s="278">
        <v>48</v>
      </c>
      <c r="G10" s="726" t="s">
        <v>664</v>
      </c>
      <c r="H10" s="276"/>
      <c r="I10" s="276"/>
      <c r="J10" s="276"/>
      <c r="K10" s="276"/>
      <c r="L10" s="17"/>
      <c r="M10" s="18"/>
      <c r="P10" s="477"/>
      <c r="Q10" s="316">
        <f>Q9+1</f>
        <v>2025</v>
      </c>
      <c r="R10" s="822">
        <f>ROUND(C14/G14,3)</f>
        <v>0.25</v>
      </c>
      <c r="S10" s="730"/>
      <c r="T10" s="730"/>
      <c r="U10" s="731"/>
      <c r="V10" s="477"/>
      <c r="W10" s="477"/>
      <c r="X10" s="477"/>
      <c r="Y10" s="477"/>
      <c r="Z10" s="477"/>
      <c r="AA10" s="477"/>
      <c r="AB10" s="47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</row>
    <row r="11" spans="1:41" ht="15" customHeight="1">
      <c r="A11" s="25"/>
      <c r="B11" s="342">
        <v>2022</v>
      </c>
      <c r="C11" s="833">
        <v>1250</v>
      </c>
      <c r="D11" s="833">
        <v>2000</v>
      </c>
      <c r="E11" s="833">
        <v>2250</v>
      </c>
      <c r="F11" s="834">
        <v>2500</v>
      </c>
      <c r="G11" s="294">
        <v>2500</v>
      </c>
      <c r="H11" s="60"/>
      <c r="I11" s="60"/>
      <c r="J11" s="60"/>
      <c r="K11" s="60"/>
      <c r="L11" s="17"/>
      <c r="M11" s="18"/>
      <c r="P11" s="467"/>
      <c r="Q11" s="732" t="s">
        <v>823</v>
      </c>
      <c r="R11" s="823">
        <f>R10</f>
        <v>0.25</v>
      </c>
      <c r="S11" s="823">
        <f>S9</f>
        <v>0.8</v>
      </c>
      <c r="T11" s="823">
        <f>T8</f>
        <v>0.9</v>
      </c>
      <c r="U11" s="734">
        <f>U7</f>
        <v>1</v>
      </c>
      <c r="V11" s="134" t="s">
        <v>824</v>
      </c>
      <c r="W11" s="477"/>
      <c r="X11" s="477"/>
      <c r="Y11" s="477"/>
      <c r="Z11" s="477"/>
      <c r="AA11" s="47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467"/>
    </row>
    <row r="12" spans="1:41" ht="15" customHeight="1">
      <c r="A12" s="25"/>
      <c r="B12" s="342">
        <f>B11+1</f>
        <v>2023</v>
      </c>
      <c r="C12" s="833">
        <v>1125</v>
      </c>
      <c r="D12" s="833">
        <v>1800</v>
      </c>
      <c r="E12" s="833">
        <v>2025</v>
      </c>
      <c r="F12" s="834"/>
      <c r="G12" s="294">
        <v>2250</v>
      </c>
      <c r="H12" s="151"/>
      <c r="I12" s="151"/>
      <c r="J12" s="151"/>
      <c r="K12" s="151"/>
      <c r="L12" s="17"/>
      <c r="M12" s="18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7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</row>
    <row r="13" spans="1:41" ht="15" customHeight="1">
      <c r="A13" s="25"/>
      <c r="B13" s="342">
        <f>B12+1</f>
        <v>2024</v>
      </c>
      <c r="C13" s="833">
        <v>1250</v>
      </c>
      <c r="D13" s="833">
        <v>2500</v>
      </c>
      <c r="E13" s="833"/>
      <c r="F13" s="834"/>
      <c r="G13" s="294">
        <v>3125</v>
      </c>
      <c r="H13" s="151"/>
      <c r="I13" s="151"/>
      <c r="J13" s="151"/>
      <c r="K13" s="151"/>
      <c r="L13" s="17"/>
      <c r="M13" s="18"/>
      <c r="P13" s="270" t="s">
        <v>228</v>
      </c>
      <c r="Q13" s="467" t="s">
        <v>825</v>
      </c>
      <c r="R13" s="467"/>
      <c r="S13" s="467"/>
      <c r="T13" s="467"/>
      <c r="U13" s="467"/>
      <c r="V13" s="467"/>
      <c r="W13" s="824" t="s">
        <v>826</v>
      </c>
      <c r="X13" s="824"/>
      <c r="Y13" s="824"/>
      <c r="Z13" s="824"/>
      <c r="AA13" s="477"/>
      <c r="AB13" s="47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</row>
    <row r="14" spans="1:41" ht="15" customHeight="1">
      <c r="A14" s="25"/>
      <c r="B14" s="343">
        <f>B13+1</f>
        <v>2025</v>
      </c>
      <c r="C14" s="835">
        <v>875</v>
      </c>
      <c r="D14" s="835"/>
      <c r="E14" s="835"/>
      <c r="F14" s="836"/>
      <c r="G14" s="292">
        <v>3500</v>
      </c>
      <c r="H14" s="151"/>
      <c r="I14" s="151"/>
      <c r="J14" s="151"/>
      <c r="K14" s="151"/>
      <c r="L14" s="17"/>
      <c r="M14" s="18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7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</row>
    <row r="15" spans="1:41" ht="15" customHeight="1">
      <c r="A15" s="25"/>
      <c r="B15" s="60"/>
      <c r="C15" s="60"/>
      <c r="D15" s="60"/>
      <c r="E15" s="60"/>
      <c r="F15" s="60"/>
      <c r="G15" s="60"/>
      <c r="H15" s="151"/>
      <c r="I15" s="151"/>
      <c r="J15" s="151"/>
      <c r="K15" s="151"/>
      <c r="L15" s="17"/>
      <c r="M15" s="18"/>
      <c r="P15" s="467"/>
      <c r="Q15" s="309"/>
      <c r="R15" s="310" t="s">
        <v>827</v>
      </c>
      <c r="S15" s="310"/>
      <c r="T15" s="310"/>
      <c r="U15" s="311"/>
      <c r="V15" s="482" t="s">
        <v>828</v>
      </c>
      <c r="W15" s="309"/>
      <c r="X15" s="783" t="s">
        <v>829</v>
      </c>
      <c r="Y15" s="310"/>
      <c r="Z15" s="310"/>
      <c r="AA15" s="311"/>
      <c r="AB15" s="47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</row>
    <row r="16" spans="1:41" ht="15" customHeight="1">
      <c r="A16" s="25"/>
      <c r="B16" s="337"/>
      <c r="C16" s="338" t="s">
        <v>760</v>
      </c>
      <c r="D16" s="338"/>
      <c r="E16" s="338"/>
      <c r="F16" s="339"/>
      <c r="G16" s="60"/>
      <c r="H16" s="295" t="s">
        <v>809</v>
      </c>
      <c r="I16" s="151"/>
      <c r="J16" s="151"/>
      <c r="K16" s="151"/>
      <c r="L16" s="27"/>
      <c r="M16" s="18"/>
      <c r="P16" s="467"/>
      <c r="Q16" s="312" t="s">
        <v>83</v>
      </c>
      <c r="R16" s="313">
        <v>12</v>
      </c>
      <c r="S16" s="313">
        <v>24</v>
      </c>
      <c r="T16" s="313">
        <v>36</v>
      </c>
      <c r="U16" s="314">
        <v>48</v>
      </c>
      <c r="V16" s="482"/>
      <c r="W16" s="312" t="s">
        <v>83</v>
      </c>
      <c r="X16" s="313">
        <v>12</v>
      </c>
      <c r="Y16" s="313">
        <v>24</v>
      </c>
      <c r="Z16" s="313">
        <v>36</v>
      </c>
      <c r="AA16" s="314">
        <v>48</v>
      </c>
      <c r="AB16" s="47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</row>
    <row r="17" spans="1:41" ht="15" customHeight="1">
      <c r="A17" s="25"/>
      <c r="B17" s="340" t="s">
        <v>83</v>
      </c>
      <c r="C17" s="341">
        <v>12</v>
      </c>
      <c r="D17" s="341">
        <v>24</v>
      </c>
      <c r="E17" s="341">
        <v>36</v>
      </c>
      <c r="F17" s="278">
        <v>48</v>
      </c>
      <c r="G17" s="151"/>
      <c r="H17" s="151"/>
      <c r="I17" s="151"/>
      <c r="J17" s="151"/>
      <c r="K17" s="151"/>
      <c r="L17" s="27"/>
      <c r="M17" s="18"/>
      <c r="P17" s="467"/>
      <c r="Q17" s="298">
        <f>B18</f>
        <v>2022</v>
      </c>
      <c r="R17" s="825">
        <f>ROUND(G11*R11,0)</f>
        <v>625</v>
      </c>
      <c r="S17" s="799">
        <f>ROUND(G11*S11,0)</f>
        <v>2000</v>
      </c>
      <c r="T17" s="799">
        <f>ROUND(G11*T11,0)</f>
        <v>2250</v>
      </c>
      <c r="U17" s="796">
        <f>ROUND(G11*U11,0)</f>
        <v>2500</v>
      </c>
      <c r="V17" s="482"/>
      <c r="W17" s="298">
        <f>B11</f>
        <v>2022</v>
      </c>
      <c r="X17" s="826" t="str">
        <f>(IF(ISNA(MATCH(R17,$D11:$G11,1)),0,MATCH(R17,$D11:$G11,1))+0)*12 &amp; "-" &amp;(IF(ISNA(MATCH(R17,$D11:$G11,1)),0,MATCH(R17,$D11:$G11,1))+1)*12</f>
        <v>0-12</v>
      </c>
      <c r="Y17" s="827" t="str">
        <f>(IF(ISNA(MATCH(S17,$D11:$G11,1)),0,MATCH(S17,$D11:$G11,1))+0)*12 &amp; "-" &amp;(IF(ISNA(MATCH(S17,$D11:$G11,1)),0,MATCH(S17,$D11:$G11,1))+1)*12</f>
        <v>12-24</v>
      </c>
      <c r="Z17" s="827" t="str">
        <f>(IF(ISNA(MATCH(T17,$D11:$G11,1)),0,MATCH(T17,$D11:$G11,1))+0)*12 &amp; "-" &amp;(IF(ISNA(MATCH(T17,$D11:$G11,1)),0,MATCH(T17,$D11:$G11,1))+1)*12</f>
        <v>24-36</v>
      </c>
      <c r="AA17" s="796" t="str">
        <f>(IF(ISNA(MATCH(U17,$D11:$G11,1)),0,MATCH(U17,$D11:$G11,1))+0)*12 &amp; "-" &amp;(IF(ISNA(MATCH(U17,$D11:$G11,1)),0,MATCH(U17,$D11:$G11,1))+1)*12</f>
        <v>48-60</v>
      </c>
      <c r="AB17" s="47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</row>
    <row r="18" spans="1:41" ht="15" customHeight="1">
      <c r="A18" s="25"/>
      <c r="B18" s="342">
        <v>2022</v>
      </c>
      <c r="C18" s="293">
        <v>10000</v>
      </c>
      <c r="D18" s="293">
        <v>14000</v>
      </c>
      <c r="E18" s="293">
        <v>21700</v>
      </c>
      <c r="F18" s="294">
        <v>27125</v>
      </c>
      <c r="G18" s="151"/>
      <c r="H18" s="151"/>
      <c r="I18" s="151"/>
      <c r="J18" s="151"/>
      <c r="K18" s="151"/>
      <c r="L18" s="27"/>
      <c r="M18" s="18"/>
      <c r="P18" s="467"/>
      <c r="Q18" s="298">
        <f>Q17+1</f>
        <v>2023</v>
      </c>
      <c r="R18" s="799">
        <f>ROUND(G12*R11,0)</f>
        <v>563</v>
      </c>
      <c r="S18" s="828">
        <f>ROUND(G12*S11,0)</f>
        <v>1800</v>
      </c>
      <c r="T18" s="799">
        <f>ROUND(G12*T11,0)</f>
        <v>2025</v>
      </c>
      <c r="U18" s="796"/>
      <c r="V18" s="482"/>
      <c r="W18" s="298">
        <f>W17+1</f>
        <v>2023</v>
      </c>
      <c r="X18" s="826" t="str">
        <f>(IF(ISNA(MATCH(R18,$D12:$G12,1)),0,MATCH(R18,$D12:$G12,1))+0)*12 &amp; "-" &amp;(IF(ISNA(MATCH(R18,$D12:$G12,1)),0,MATCH(R18,$D12:$G12,1))+1)*12</f>
        <v>0-12</v>
      </c>
      <c r="Y18" s="827" t="str">
        <f>(IF(ISNA(MATCH(S18,$D12:$G12,1)),0,MATCH(S18,$D12:$G12,1))+0)*12 &amp; "-" &amp;(IF(ISNA(MATCH(S18,$D12:$G12,1)),0,MATCH(S18,$D12:$G12,1))+1)*12</f>
        <v>12-24</v>
      </c>
      <c r="Z18" s="799" t="str">
        <f>(IF(ISNA(MATCH(T18,$D12:$G12,1)),0,MATCH(T18,$D12:$G12,1))+0)*12 &amp; "-" &amp;(IF(ISNA(MATCH(T18,$D12:$G12,1)),0,MATCH(T18,$D12:$G12,1))+1)*12</f>
        <v>24-36</v>
      </c>
      <c r="AA18" s="796"/>
      <c r="AB18" s="47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</row>
    <row r="19" spans="1:41" ht="15" customHeight="1">
      <c r="A19" s="25"/>
      <c r="B19" s="342">
        <f>B18+1</f>
        <v>2023</v>
      </c>
      <c r="C19" s="293">
        <v>10500</v>
      </c>
      <c r="D19" s="293">
        <v>16800</v>
      </c>
      <c r="E19" s="293">
        <v>24360</v>
      </c>
      <c r="F19" s="294"/>
      <c r="G19" s="151"/>
      <c r="H19" s="151"/>
      <c r="I19" s="151"/>
      <c r="J19" s="151"/>
      <c r="K19" s="151"/>
      <c r="L19" s="27"/>
      <c r="M19" s="18"/>
      <c r="P19" s="467"/>
      <c r="Q19" s="298">
        <f>Q18+1</f>
        <v>2024</v>
      </c>
      <c r="R19" s="799">
        <f>ROUND(G13*R11,0)</f>
        <v>781</v>
      </c>
      <c r="S19" s="799">
        <f>ROUND(G13*S11,0)</f>
        <v>2500</v>
      </c>
      <c r="T19" s="799"/>
      <c r="U19" s="796"/>
      <c r="V19" s="482"/>
      <c r="W19" s="298">
        <f>W18+1</f>
        <v>2024</v>
      </c>
      <c r="X19" s="826" t="str">
        <f>(IF(ISNA(MATCH(R19,$D13:$G13,1)),0,MATCH(R19,$D13:$G13,1))+0)*12 &amp; "-" &amp;(IF(ISNA(MATCH(R19,$D13:$G13,1)),0,MATCH(R19,$D13:$G13,1))+1)*12</f>
        <v>0-12</v>
      </c>
      <c r="Y19" s="799" t="str">
        <f>(IF(ISNA(MATCH(S19,$D13:$G13,1)),0,MATCH(S19,$D13:$G13,1))+0)*12 &amp; "-" &amp;(IF(ISNA(MATCH(S19,$D13:$G13,1)),0,MATCH(S19,$D13:$G13,1))+1)*12</f>
        <v>12-24</v>
      </c>
      <c r="Z19" s="799"/>
      <c r="AA19" s="796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</row>
    <row r="20" spans="1:41" ht="15" customHeight="1">
      <c r="A20" s="22"/>
      <c r="B20" s="342">
        <f>B19+1</f>
        <v>2024</v>
      </c>
      <c r="C20" s="293">
        <v>10000</v>
      </c>
      <c r="D20" s="293">
        <v>18750</v>
      </c>
      <c r="E20" s="293"/>
      <c r="F20" s="294"/>
      <c r="G20" s="151"/>
      <c r="H20" s="151"/>
      <c r="I20" s="151"/>
      <c r="J20" s="151"/>
      <c r="K20" s="151"/>
      <c r="L20" s="27"/>
      <c r="M20" s="18"/>
      <c r="P20" s="467"/>
      <c r="Q20" s="316">
        <f>Q19+1</f>
        <v>2025</v>
      </c>
      <c r="R20" s="829">
        <f>ROUND(G14*R11,0)</f>
        <v>875</v>
      </c>
      <c r="S20" s="829"/>
      <c r="T20" s="829"/>
      <c r="U20" s="830"/>
      <c r="V20" s="482"/>
      <c r="W20" s="316">
        <f>W19+1</f>
        <v>2025</v>
      </c>
      <c r="X20" s="829" t="str">
        <f>(IF(ISNA(MATCH(R20,$D14:$G14,1)),0,MATCH(R20,$D14:$G14,1))+0)*12 &amp; "-" &amp;(IF(ISNA(MATCH(R20,$D14:$G14,1)),0,MATCH(R20,$D14:$G14,1))+1)*12</f>
        <v>0-12</v>
      </c>
      <c r="Y20" s="829"/>
      <c r="Z20" s="829"/>
      <c r="AA20" s="830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</row>
    <row r="21" spans="1:41" ht="15" customHeight="1">
      <c r="A21" s="22"/>
      <c r="B21" s="343">
        <f>B20+1</f>
        <v>2025</v>
      </c>
      <c r="C21" s="291">
        <v>8000</v>
      </c>
      <c r="D21" s="291"/>
      <c r="E21" s="291"/>
      <c r="F21" s="292"/>
      <c r="G21" s="151"/>
      <c r="H21" s="151"/>
      <c r="I21" s="151"/>
      <c r="J21" s="151"/>
      <c r="K21" s="151"/>
      <c r="L21" s="27"/>
      <c r="M21" s="18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</row>
    <row r="22" spans="1:41" ht="15" customHeight="1">
      <c r="A22" s="22"/>
      <c r="B22" s="60"/>
      <c r="C22" s="60"/>
      <c r="D22" s="60"/>
      <c r="E22" s="60"/>
      <c r="F22" s="60"/>
      <c r="G22" s="60"/>
      <c r="H22" s="151"/>
      <c r="I22" s="151"/>
      <c r="J22" s="151"/>
      <c r="K22" s="151"/>
      <c r="L22" s="27"/>
      <c r="M22" s="18"/>
      <c r="P22" s="467"/>
      <c r="Q22" s="479" t="s">
        <v>227</v>
      </c>
      <c r="R22" s="221">
        <f>R17</f>
        <v>625</v>
      </c>
      <c r="S22" s="479" t="s">
        <v>34</v>
      </c>
      <c r="T22" s="467" t="str">
        <f>R11&amp;" x "&amp;G11</f>
        <v>0.25 x 2500</v>
      </c>
      <c r="U22" s="467"/>
      <c r="V22" s="467"/>
      <c r="W22" s="420" t="s">
        <v>830</v>
      </c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</row>
    <row r="23" spans="1:41" ht="15" customHeight="1">
      <c r="A23" s="22"/>
      <c r="B23" s="837"/>
      <c r="C23" s="305" t="s">
        <v>818</v>
      </c>
      <c r="D23" s="306"/>
      <c r="E23" s="306"/>
      <c r="F23" s="306"/>
      <c r="G23" s="306"/>
      <c r="H23" s="838"/>
      <c r="I23" s="838"/>
      <c r="J23" s="838"/>
      <c r="K23" s="838"/>
      <c r="L23" s="839"/>
      <c r="M23" s="18"/>
      <c r="P23" s="467"/>
      <c r="Q23" s="479" t="s">
        <v>227</v>
      </c>
      <c r="R23" s="210">
        <f>S18</f>
        <v>1800</v>
      </c>
      <c r="S23" s="479" t="s">
        <v>34</v>
      </c>
      <c r="T23" s="467" t="str">
        <f>S11&amp;" x "&amp;G12</f>
        <v>0.8 x 2250</v>
      </c>
      <c r="U23" s="467"/>
      <c r="V23" s="467"/>
      <c r="W23" s="420" t="s">
        <v>831</v>
      </c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</row>
    <row r="24" spans="1:41" ht="15" customHeight="1">
      <c r="A24" s="22"/>
      <c r="B24" s="840"/>
      <c r="C24" s="1036" t="s">
        <v>810</v>
      </c>
      <c r="D24" s="1037"/>
      <c r="E24" s="1038" t="s">
        <v>811</v>
      </c>
      <c r="F24" s="1037"/>
      <c r="G24" s="1039" t="s">
        <v>812</v>
      </c>
      <c r="H24" s="1037"/>
      <c r="I24" s="1039" t="s">
        <v>813</v>
      </c>
      <c r="J24" s="1037"/>
      <c r="K24" s="1039" t="s">
        <v>814</v>
      </c>
      <c r="L24" s="1037"/>
      <c r="M24" s="18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  <c r="AD24" s="467"/>
      <c r="AE24" s="467"/>
      <c r="AF24" s="467"/>
      <c r="AG24" s="467"/>
      <c r="AH24" s="467"/>
      <c r="AI24" s="467"/>
      <c r="AJ24" s="467"/>
      <c r="AK24" s="467"/>
      <c r="AL24" s="467"/>
      <c r="AM24" s="467"/>
      <c r="AN24" s="467"/>
      <c r="AO24" s="467"/>
    </row>
    <row r="25" spans="1:41" ht="15" customHeight="1">
      <c r="A25" s="22"/>
      <c r="B25" s="340" t="s">
        <v>83</v>
      </c>
      <c r="C25" s="843" t="s">
        <v>545</v>
      </c>
      <c r="D25" s="844" t="s">
        <v>815</v>
      </c>
      <c r="E25" s="843" t="s">
        <v>545</v>
      </c>
      <c r="F25" s="844" t="s">
        <v>815</v>
      </c>
      <c r="G25" s="843" t="s">
        <v>545</v>
      </c>
      <c r="H25" s="844" t="s">
        <v>815</v>
      </c>
      <c r="I25" s="843" t="s">
        <v>545</v>
      </c>
      <c r="J25" s="844" t="s">
        <v>815</v>
      </c>
      <c r="K25" s="843" t="s">
        <v>545</v>
      </c>
      <c r="L25" s="844" t="s">
        <v>815</v>
      </c>
      <c r="M25" s="18"/>
      <c r="P25" s="544" t="s">
        <v>100</v>
      </c>
      <c r="Q25" s="467" t="s">
        <v>832</v>
      </c>
      <c r="R25" s="467"/>
      <c r="S25" s="467"/>
      <c r="T25" s="467"/>
      <c r="U25" s="467"/>
      <c r="V25" s="467"/>
      <c r="AC25" s="467"/>
      <c r="AD25" s="467"/>
      <c r="AE25" s="467"/>
      <c r="AF25" s="467"/>
      <c r="AG25" s="467"/>
      <c r="AH25" s="467"/>
      <c r="AI25" s="467"/>
      <c r="AJ25" s="467"/>
      <c r="AK25" s="467"/>
      <c r="AL25" s="467"/>
      <c r="AM25" s="467"/>
      <c r="AN25" s="467"/>
      <c r="AO25" s="467"/>
    </row>
    <row r="26" spans="1:41" ht="15" customHeight="1">
      <c r="A26" s="22"/>
      <c r="B26" s="342">
        <v>2022</v>
      </c>
      <c r="C26" s="845" t="s">
        <v>816</v>
      </c>
      <c r="D26" s="644"/>
      <c r="E26" s="293">
        <v>5708</v>
      </c>
      <c r="F26" s="846">
        <v>4.4999999999999999E-4</v>
      </c>
      <c r="G26" s="293">
        <v>420</v>
      </c>
      <c r="H26" s="846">
        <v>1.75E-3</v>
      </c>
      <c r="I26" s="293">
        <v>2913</v>
      </c>
      <c r="J26" s="846">
        <v>8.8999999999999995E-4</v>
      </c>
      <c r="K26" s="847" t="s">
        <v>817</v>
      </c>
      <c r="L26" s="848"/>
      <c r="M26" s="18"/>
      <c r="P26" s="467"/>
      <c r="Q26" s="467"/>
      <c r="R26" s="467"/>
      <c r="S26" s="467"/>
      <c r="T26" s="467"/>
      <c r="U26" s="467"/>
      <c r="V26" s="467"/>
      <c r="AC26" s="467"/>
      <c r="AD26" s="467"/>
      <c r="AE26" s="467"/>
      <c r="AF26" s="467"/>
      <c r="AG26" s="467"/>
      <c r="AH26" s="467"/>
      <c r="AI26" s="467"/>
      <c r="AJ26" s="467"/>
      <c r="AK26" s="467"/>
      <c r="AL26" s="467"/>
      <c r="AM26" s="467"/>
      <c r="AN26" s="467"/>
      <c r="AO26" s="467"/>
    </row>
    <row r="27" spans="1:41" ht="15" customHeight="1">
      <c r="A27" s="22"/>
      <c r="B27" s="342">
        <v>2023</v>
      </c>
      <c r="C27" s="845" t="s">
        <v>816</v>
      </c>
      <c r="D27" s="644"/>
      <c r="E27" s="293">
        <v>4797</v>
      </c>
      <c r="F27" s="846">
        <v>6.9999999999999999E-4</v>
      </c>
      <c r="G27" s="293">
        <v>860</v>
      </c>
      <c r="H27" s="846">
        <v>1.65E-3</v>
      </c>
      <c r="I27" s="293"/>
      <c r="J27" s="294"/>
      <c r="K27" s="671"/>
      <c r="L27" s="275"/>
      <c r="M27" s="18"/>
      <c r="P27" s="467"/>
      <c r="Q27" s="309"/>
      <c r="R27" s="310" t="s">
        <v>833</v>
      </c>
      <c r="S27" s="310"/>
      <c r="T27" s="310"/>
      <c r="U27" s="311"/>
      <c r="V27" s="467"/>
      <c r="AC27" s="467"/>
      <c r="AD27" s="467"/>
      <c r="AE27" s="467"/>
      <c r="AF27" s="467"/>
      <c r="AG27" s="467"/>
      <c r="AH27" s="467"/>
      <c r="AI27" s="467"/>
      <c r="AJ27" s="467"/>
      <c r="AK27" s="467"/>
      <c r="AL27" s="467"/>
      <c r="AM27" s="467"/>
      <c r="AN27" s="467"/>
      <c r="AO27" s="467"/>
    </row>
    <row r="28" spans="1:41" ht="15" customHeight="1">
      <c r="A28" s="22"/>
      <c r="B28" s="342">
        <v>2024</v>
      </c>
      <c r="C28" s="845" t="s">
        <v>816</v>
      </c>
      <c r="D28" s="644"/>
      <c r="E28" s="293">
        <v>5333</v>
      </c>
      <c r="F28" s="846">
        <v>5.0000000000000001E-4</v>
      </c>
      <c r="G28" s="293"/>
      <c r="H28" s="294"/>
      <c r="I28" s="293"/>
      <c r="J28" s="294"/>
      <c r="K28" s="671"/>
      <c r="L28" s="275"/>
      <c r="M28" s="18"/>
      <c r="P28" s="467"/>
      <c r="Q28" s="312" t="s">
        <v>83</v>
      </c>
      <c r="R28" s="313">
        <v>12</v>
      </c>
      <c r="S28" s="313">
        <v>24</v>
      </c>
      <c r="T28" s="313">
        <v>36</v>
      </c>
      <c r="U28" s="314">
        <v>48</v>
      </c>
      <c r="V28" s="467"/>
      <c r="AC28" s="467"/>
      <c r="AD28" s="467"/>
      <c r="AE28" s="467"/>
      <c r="AF28" s="467"/>
      <c r="AG28" s="467"/>
      <c r="AH28" s="467"/>
      <c r="AI28" s="467"/>
      <c r="AJ28" s="467"/>
      <c r="AK28" s="467"/>
      <c r="AL28" s="467"/>
      <c r="AM28" s="467"/>
      <c r="AN28" s="467"/>
      <c r="AO28" s="467"/>
    </row>
    <row r="29" spans="1:41" ht="15" customHeight="1">
      <c r="A29" s="22"/>
      <c r="B29" s="343">
        <v>2025</v>
      </c>
      <c r="C29" s="849" t="s">
        <v>816</v>
      </c>
      <c r="D29" s="850"/>
      <c r="E29" s="291"/>
      <c r="F29" s="292"/>
      <c r="G29" s="291"/>
      <c r="H29" s="292"/>
      <c r="I29" s="291"/>
      <c r="J29" s="292"/>
      <c r="K29" s="413"/>
      <c r="L29" s="308"/>
      <c r="M29" s="18"/>
      <c r="P29" s="467"/>
      <c r="Q29" s="298">
        <v>2022</v>
      </c>
      <c r="R29" s="825">
        <f>ROUND(IF(RIGHT(X17,2)=RIGHT(X16,2),E26*EXP(F26*R17),E26*EXP(F26*R17)),0)</f>
        <v>7562</v>
      </c>
      <c r="S29" s="799">
        <f>ROUND(IF(RIGHT(Y17,2)=RIGHT(Y16,2),E26*EXP(F26*S17),G26*EXP(H26*S17)),0)</f>
        <v>14039</v>
      </c>
      <c r="T29" s="831">
        <f>ROUND(IF(RIGHT(Z17,2)=RIGHT(Z16,2),G26*EXP(H26*T17),I26*EXP(J26*T17)),0)</f>
        <v>21542</v>
      </c>
      <c r="U29" s="796">
        <f>ROUND(F18,0)</f>
        <v>27125</v>
      </c>
      <c r="V29" s="467"/>
      <c r="AC29" s="467"/>
      <c r="AD29" s="467"/>
      <c r="AE29" s="467"/>
      <c r="AF29" s="467"/>
      <c r="AG29" s="467"/>
      <c r="AH29" s="467"/>
      <c r="AI29" s="467"/>
      <c r="AJ29" s="467"/>
      <c r="AK29" s="467"/>
      <c r="AL29" s="467"/>
      <c r="AM29" s="467"/>
      <c r="AN29" s="467"/>
      <c r="AO29" s="467"/>
    </row>
    <row r="30" spans="1:41" ht="15" customHeight="1">
      <c r="A30" s="22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  <c r="P30" s="467"/>
      <c r="Q30" s="298">
        <f>Q29+1</f>
        <v>2023</v>
      </c>
      <c r="R30" s="799">
        <f>ROUND(IF(RIGHT(X18,2)=RIGHT(X16,2),E27*EXP(F27*R18),E27*EXP(F27*R18)),0)</f>
        <v>7114</v>
      </c>
      <c r="S30" s="828">
        <f>ROUND(IF(RIGHT(Y18,2)=RIGHT(Y16,2),E27*EXP(F27*S18),G27*EXP(H27*S18)),0)</f>
        <v>16911</v>
      </c>
      <c r="T30" s="799">
        <f>ROUND(E19,0)</f>
        <v>24360</v>
      </c>
      <c r="U30" s="796"/>
      <c r="V30" s="467"/>
      <c r="AC30" s="467"/>
      <c r="AD30" s="467"/>
      <c r="AE30" s="467"/>
      <c r="AF30" s="467"/>
      <c r="AG30" s="467"/>
      <c r="AH30" s="467"/>
      <c r="AI30" s="467"/>
      <c r="AJ30" s="467"/>
      <c r="AK30" s="467"/>
      <c r="AL30" s="467"/>
      <c r="AM30" s="467"/>
      <c r="AN30" s="467"/>
      <c r="AO30" s="467"/>
    </row>
    <row r="31" spans="1:41" ht="15" customHeight="1" thickBot="1">
      <c r="A31" s="24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P31" s="467"/>
      <c r="Q31" s="298">
        <f>Q30+1</f>
        <v>2024</v>
      </c>
      <c r="R31" s="799">
        <f>ROUND(IF(RIGHT(X19,2)=RIGHT(X16,2),E28*EXP(F28*R19),E28*EXP(F28*R19)),0)</f>
        <v>7881</v>
      </c>
      <c r="S31" s="799">
        <f>ROUND(D20,0)</f>
        <v>18750</v>
      </c>
      <c r="T31" s="799"/>
      <c r="U31" s="796"/>
      <c r="V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</row>
    <row r="32" spans="1:41" ht="15" customHeight="1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P32" s="467"/>
      <c r="Q32" s="316">
        <f>Q31+1</f>
        <v>2025</v>
      </c>
      <c r="R32" s="829">
        <f>ROUND(C21,0)</f>
        <v>8000</v>
      </c>
      <c r="S32" s="829"/>
      <c r="T32" s="829"/>
      <c r="U32" s="830"/>
      <c r="V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</row>
    <row r="33" spans="2:41" ht="1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P33" s="479" t="s">
        <v>834</v>
      </c>
      <c r="Q33" s="467"/>
      <c r="R33" s="467"/>
      <c r="S33" s="467"/>
      <c r="T33" s="467"/>
      <c r="U33" s="467"/>
      <c r="V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</row>
    <row r="34" spans="2:41" ht="15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P34" s="467"/>
      <c r="Q34" s="467"/>
      <c r="R34" s="221">
        <f>R29</f>
        <v>7562</v>
      </c>
      <c r="S34" s="467" t="str">
        <f>IF(RIGHT(X17,2)=RIGHT(X16,2),"= "&amp;E26&amp;" x EXP("&amp;F26&amp;" x "&amp;R17&amp;")","= "&amp;E26&amp;" x EXP("&amp;F26&amp;" x "&amp;R17&amp;")")</f>
        <v>= 5708 x EXP(0.00045 x 625)</v>
      </c>
      <c r="T34" s="467"/>
      <c r="U34" s="467"/>
      <c r="V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</row>
    <row r="35" spans="2:41" ht="1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P35" s="467"/>
      <c r="Q35" s="467"/>
      <c r="R35" s="210">
        <f>S30</f>
        <v>16911</v>
      </c>
      <c r="S35" s="467" t="str">
        <f>IF(RIGHT(Y18,2)=RIGHT(Y16,2),"= "&amp;E27&amp;" x "&amp; "EXP("&amp;F27&amp;" x "&amp;S18&amp;")","= "&amp;G27&amp;" x "&amp;"EXP("&amp;H27&amp;" x "&amp;S18&amp;")")</f>
        <v>= 4797 x EXP(0.0007 x 1800)</v>
      </c>
      <c r="T35" s="467"/>
      <c r="U35" s="467"/>
      <c r="V35" s="467"/>
      <c r="AC35" s="467"/>
      <c r="AD35" s="467"/>
      <c r="AE35" s="467"/>
      <c r="AF35" s="467"/>
      <c r="AG35" s="467"/>
      <c r="AH35" s="467"/>
      <c r="AI35" s="467"/>
      <c r="AJ35" s="467"/>
      <c r="AK35" s="467"/>
      <c r="AL35" s="467"/>
      <c r="AM35" s="467"/>
      <c r="AN35" s="467"/>
      <c r="AO35" s="467"/>
    </row>
    <row r="36" spans="2:41" ht="15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P36" s="467"/>
      <c r="Q36" s="467"/>
      <c r="R36" s="800">
        <f>T29</f>
        <v>21542</v>
      </c>
      <c r="S36" s="467" t="str">
        <f>IF(RIGHT(Z17,2)=RIGHT(Z16,2),"= "&amp;G26&amp;" x EXP("&amp;H26&amp;" x "&amp;T17&amp;")","= "&amp;I26&amp;" x EXP("&amp;J26&amp;" x "&amp;T17&amp;")")</f>
        <v>= 420 x EXP(0.00175 x 2250)</v>
      </c>
      <c r="T36" s="467"/>
      <c r="U36" s="467"/>
      <c r="V36" s="467"/>
      <c r="AC36" s="467"/>
      <c r="AD36" s="467"/>
      <c r="AE36" s="467"/>
      <c r="AF36" s="467"/>
      <c r="AG36" s="467"/>
      <c r="AH36" s="467"/>
      <c r="AI36" s="467"/>
      <c r="AJ36" s="467"/>
      <c r="AK36" s="467"/>
      <c r="AL36" s="467"/>
      <c r="AM36" s="467"/>
      <c r="AN36" s="467"/>
      <c r="AO36" s="467"/>
    </row>
    <row r="37" spans="2:41" ht="1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P37" s="467"/>
      <c r="Q37" s="467"/>
      <c r="R37" s="467"/>
      <c r="S37" s="467"/>
      <c r="T37" s="467"/>
      <c r="U37" s="467"/>
      <c r="V37" s="467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</row>
    <row r="38" spans="2:41" ht="1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P38" s="430" t="s">
        <v>612</v>
      </c>
      <c r="Q38" s="325" t="s">
        <v>835</v>
      </c>
      <c r="R38" s="325"/>
      <c r="S38" s="325"/>
      <c r="T38" s="325"/>
      <c r="U38" s="325"/>
      <c r="V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</row>
    <row r="39" spans="2:41" ht="1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P39" s="467"/>
      <c r="Q39" s="467"/>
      <c r="R39" s="467"/>
      <c r="S39" s="467"/>
      <c r="T39" s="467"/>
      <c r="U39" s="467"/>
      <c r="V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</row>
    <row r="40" spans="2:41" ht="1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P40" s="241" t="s">
        <v>231</v>
      </c>
      <c r="Q40" s="103" t="s">
        <v>83</v>
      </c>
      <c r="R40" s="326" t="s">
        <v>186</v>
      </c>
      <c r="S40" s="243" t="s">
        <v>184</v>
      </c>
      <c r="T40" s="244" t="s">
        <v>185</v>
      </c>
      <c r="U40" s="245" t="s">
        <v>179</v>
      </c>
      <c r="V40" s="467"/>
      <c r="AC40" s="467"/>
      <c r="AD40" s="467"/>
      <c r="AE40" s="467"/>
      <c r="AF40" s="467"/>
      <c r="AG40" s="467"/>
      <c r="AH40" s="467"/>
      <c r="AI40" s="467"/>
      <c r="AJ40" s="467"/>
      <c r="AK40" s="467"/>
      <c r="AL40" s="467"/>
      <c r="AM40" s="467"/>
      <c r="AN40" s="467"/>
      <c r="AO40" s="467"/>
    </row>
    <row r="41" spans="2:41" ht="1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P41" s="478"/>
      <c r="Q41" s="145">
        <f>Q29</f>
        <v>2022</v>
      </c>
      <c r="R41" s="327">
        <f>IFERROR(ROUND(S29/R29,3),"")</f>
        <v>1.857</v>
      </c>
      <c r="S41" s="328">
        <f>IFERROR(ROUND(T29/S29,3),"")</f>
        <v>1.534</v>
      </c>
      <c r="T41" s="329">
        <f>IFERROR(ROUND(U29/T29,3),"")</f>
        <v>1.2589999999999999</v>
      </c>
      <c r="U41" s="478"/>
      <c r="V41" s="467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467"/>
      <c r="AO41" s="467"/>
    </row>
    <row r="42" spans="2:41" ht="15" customHeight="1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P42" s="425"/>
      <c r="Q42" s="145">
        <f>Q41+1</f>
        <v>2023</v>
      </c>
      <c r="R42" s="330">
        <f>IFERROR(ROUND(S30/R30,3),"")</f>
        <v>2.3769999999999998</v>
      </c>
      <c r="S42" s="331">
        <f>IFERROR(ROUND(T30/S30,3),"")</f>
        <v>1.44</v>
      </c>
      <c r="T42" s="332"/>
      <c r="U42" s="425"/>
      <c r="V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</row>
    <row r="43" spans="2:41" ht="15" customHeight="1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P43" s="425"/>
      <c r="Q43" s="145">
        <f>Q42+1</f>
        <v>2024</v>
      </c>
      <c r="R43" s="330">
        <f>IFERROR(ROUND(S31/R31,3),"")</f>
        <v>2.379</v>
      </c>
      <c r="S43" s="333"/>
      <c r="T43" s="332" t="str">
        <f>IFERROR(ROUND(U31/T31,3),"")</f>
        <v/>
      </c>
      <c r="U43" s="832" t="s">
        <v>836</v>
      </c>
      <c r="V43" s="467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</row>
    <row r="44" spans="2:41" ht="1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P44" s="425"/>
      <c r="Q44" s="146">
        <f>Q43+1</f>
        <v>2025</v>
      </c>
      <c r="R44" s="334"/>
      <c r="S44" s="335" t="str">
        <f>IFERROR(ROUND(T32/S32,3),"")</f>
        <v/>
      </c>
      <c r="T44" s="336" t="str">
        <f>IFERROR(ROUND(U32/T32,3),"")</f>
        <v/>
      </c>
      <c r="U44" s="832" t="s">
        <v>837</v>
      </c>
      <c r="V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</row>
    <row r="45" spans="2:41" ht="15" customHeight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P45" s="241"/>
      <c r="Q45" s="248" t="s">
        <v>180</v>
      </c>
      <c r="R45" s="249">
        <f>AVERAGE(R41:R43)</f>
        <v>2.204333333333333</v>
      </c>
      <c r="S45" s="250">
        <f>AVERAGE(S41:S43)</f>
        <v>1.4870000000000001</v>
      </c>
      <c r="T45" s="251">
        <f>AVERAGE(T41:T43)</f>
        <v>1.2589999999999999</v>
      </c>
      <c r="U45" s="252">
        <v>1</v>
      </c>
      <c r="V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</row>
    <row r="46" spans="2:41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P46" s="425"/>
      <c r="Q46" s="478"/>
      <c r="R46" s="478"/>
      <c r="S46" s="478"/>
      <c r="T46" s="478"/>
      <c r="U46" s="478"/>
      <c r="V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</row>
    <row r="47" spans="2:41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P47" s="435" t="s">
        <v>232</v>
      </c>
      <c r="Q47" s="253"/>
      <c r="R47" s="326" t="s">
        <v>106</v>
      </c>
      <c r="S47" s="243" t="s">
        <v>107</v>
      </c>
      <c r="T47" s="243" t="s">
        <v>108</v>
      </c>
      <c r="U47" s="254" t="str">
        <f>U40</f>
        <v>48-ult</v>
      </c>
      <c r="V47" s="467"/>
      <c r="AC47" s="467"/>
      <c r="AD47" s="467"/>
      <c r="AE47" s="467"/>
      <c r="AF47" s="467"/>
      <c r="AG47" s="467"/>
      <c r="AH47" s="467"/>
      <c r="AI47" s="467"/>
      <c r="AJ47" s="467"/>
      <c r="AK47" s="467"/>
      <c r="AL47" s="467"/>
      <c r="AM47" s="467"/>
      <c r="AN47" s="467"/>
      <c r="AO47" s="467"/>
    </row>
    <row r="48" spans="2:41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P48" s="425"/>
      <c r="Q48" s="255" t="s">
        <v>181</v>
      </c>
      <c r="R48" s="256">
        <f>S48*R45</f>
        <v>4.1268051763333329</v>
      </c>
      <c r="S48" s="256">
        <f>T48*S45</f>
        <v>1.872133</v>
      </c>
      <c r="T48" s="256">
        <f>U48*T45</f>
        <v>1.2589999999999999</v>
      </c>
      <c r="U48" s="257">
        <f>U45</f>
        <v>1</v>
      </c>
      <c r="V48" s="467"/>
      <c r="AC48" s="467"/>
      <c r="AD48" s="467"/>
      <c r="AE48" s="467"/>
      <c r="AF48" s="467"/>
      <c r="AG48" s="467"/>
      <c r="AH48" s="467"/>
      <c r="AI48" s="467"/>
      <c r="AJ48" s="467"/>
      <c r="AK48" s="467"/>
      <c r="AL48" s="467"/>
      <c r="AM48" s="467"/>
      <c r="AN48" s="467"/>
      <c r="AO48" s="467"/>
    </row>
    <row r="49" spans="2:41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P49" s="425"/>
      <c r="Q49" s="478"/>
      <c r="R49" s="478"/>
      <c r="S49" s="478"/>
      <c r="T49" s="478"/>
      <c r="U49" s="478"/>
      <c r="V49" s="467"/>
      <c r="AC49" s="467"/>
      <c r="AD49" s="467"/>
      <c r="AE49" s="467"/>
      <c r="AF49" s="467"/>
      <c r="AG49" s="467"/>
      <c r="AH49" s="467"/>
      <c r="AI49" s="467"/>
      <c r="AJ49" s="467"/>
      <c r="AK49" s="467"/>
      <c r="AL49" s="467"/>
      <c r="AM49" s="467"/>
      <c r="AN49" s="467"/>
      <c r="AO49" s="467"/>
    </row>
    <row r="50" spans="2:41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P50" s="241" t="s">
        <v>233</v>
      </c>
      <c r="Q50" s="253"/>
      <c r="R50" s="258" t="s">
        <v>839</v>
      </c>
      <c r="S50" s="259" t="s">
        <v>840</v>
      </c>
      <c r="T50" s="259" t="s">
        <v>841</v>
      </c>
      <c r="U50" s="260" t="s">
        <v>842</v>
      </c>
      <c r="V50" s="467"/>
      <c r="AC50" s="467"/>
      <c r="AD50" s="467"/>
      <c r="AE50" s="467"/>
      <c r="AF50" s="467"/>
      <c r="AG50" s="467"/>
      <c r="AH50" s="467"/>
      <c r="AI50" s="467"/>
      <c r="AJ50" s="467"/>
      <c r="AK50" s="467"/>
      <c r="AL50" s="467"/>
      <c r="AM50" s="467"/>
      <c r="AN50" s="467"/>
      <c r="AO50" s="467"/>
    </row>
    <row r="51" spans="2:41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P51" s="425"/>
      <c r="Q51" s="261" t="s">
        <v>182</v>
      </c>
      <c r="R51" s="262">
        <f>R32</f>
        <v>8000</v>
      </c>
      <c r="S51" s="262">
        <f>S31</f>
        <v>18750</v>
      </c>
      <c r="T51" s="262">
        <f>T30</f>
        <v>24360</v>
      </c>
      <c r="U51" s="263">
        <f>U29</f>
        <v>27125</v>
      </c>
      <c r="V51" s="467"/>
      <c r="AC51" s="467"/>
      <c r="AD51" s="467"/>
      <c r="AE51" s="467"/>
      <c r="AF51" s="467"/>
      <c r="AG51" s="467"/>
      <c r="AH51" s="467"/>
      <c r="AI51" s="467"/>
      <c r="AJ51" s="467"/>
      <c r="AK51" s="467"/>
      <c r="AL51" s="467"/>
      <c r="AM51" s="467"/>
      <c r="AN51" s="467"/>
      <c r="AO51" s="467"/>
    </row>
    <row r="52" spans="2:41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P52" s="425"/>
      <c r="Q52" s="264" t="s">
        <v>183</v>
      </c>
      <c r="R52" s="675">
        <f>R51*R48</f>
        <v>33014.441410666666</v>
      </c>
      <c r="S52" s="265">
        <f>S51*S48</f>
        <v>35102.493750000001</v>
      </c>
      <c r="T52" s="104">
        <f>T51*T48</f>
        <v>30669.239999999998</v>
      </c>
      <c r="U52" s="105">
        <f>U51*U48</f>
        <v>27125</v>
      </c>
      <c r="V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7"/>
      <c r="AN52" s="467"/>
      <c r="AO52" s="467"/>
    </row>
    <row r="53" spans="2:41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P53" s="467"/>
      <c r="Q53" s="467"/>
      <c r="R53" s="467"/>
      <c r="S53" s="467"/>
      <c r="T53" s="467"/>
      <c r="U53" s="467"/>
      <c r="V53" s="467"/>
      <c r="W53" s="467"/>
      <c r="X53" s="467"/>
      <c r="Y53" s="467"/>
      <c r="Z53" s="467"/>
      <c r="AA53" s="467"/>
      <c r="AB53" s="467"/>
      <c r="AC53" s="467"/>
      <c r="AD53" s="467"/>
      <c r="AE53" s="467"/>
      <c r="AF53" s="467"/>
      <c r="AG53" s="467"/>
      <c r="AH53" s="467"/>
      <c r="AI53" s="467"/>
      <c r="AJ53" s="467"/>
      <c r="AK53" s="467"/>
      <c r="AL53" s="467"/>
      <c r="AM53" s="467"/>
      <c r="AN53" s="467"/>
      <c r="AO53" s="467"/>
    </row>
    <row r="54" spans="2:41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P54" s="132" t="s">
        <v>230</v>
      </c>
      <c r="Q54" s="272" t="str">
        <f>G6</f>
        <v>ultimate</v>
      </c>
      <c r="R54" s="272" t="s">
        <v>190</v>
      </c>
      <c r="S54" s="272">
        <f>I6</f>
        <v>2025</v>
      </c>
      <c r="T54" s="479" t="s">
        <v>34</v>
      </c>
      <c r="U54" s="210">
        <f>ROUND(INDEX(R52:U52,1,2026-S54)-IF(Q54="ultimate",0,INDEX(C18:F21,S54-2021,2026-S54)),0)</f>
        <v>33014</v>
      </c>
      <c r="V54" s="134" t="s">
        <v>838</v>
      </c>
      <c r="W54" s="467"/>
      <c r="X54" s="467"/>
      <c r="Y54" s="467"/>
      <c r="Z54" s="467"/>
      <c r="AA54" s="467"/>
      <c r="AB54" s="467"/>
      <c r="AC54" s="467"/>
      <c r="AD54" s="467"/>
      <c r="AE54" s="467"/>
      <c r="AF54" s="467"/>
      <c r="AG54" s="467"/>
      <c r="AH54" s="467"/>
      <c r="AI54" s="467"/>
      <c r="AJ54" s="467"/>
      <c r="AK54" s="467"/>
      <c r="AL54" s="467"/>
      <c r="AM54" s="467"/>
      <c r="AN54" s="467"/>
      <c r="AO54" s="467"/>
    </row>
    <row r="55" spans="2:41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P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67"/>
      <c r="AH55" s="467"/>
      <c r="AI55" s="467"/>
      <c r="AJ55" s="467"/>
      <c r="AK55" s="467"/>
      <c r="AL55" s="467"/>
      <c r="AM55" s="467"/>
      <c r="AN55" s="467"/>
      <c r="AO55" s="467"/>
    </row>
    <row r="56" spans="2:41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P56" s="467"/>
      <c r="Q56" s="467"/>
      <c r="R56" s="467"/>
      <c r="S56" s="467"/>
      <c r="T56" s="467"/>
      <c r="U56" s="467"/>
      <c r="V56" s="467"/>
      <c r="W56" s="467"/>
      <c r="X56" s="467"/>
      <c r="Y56" s="467"/>
      <c r="Z56" s="467"/>
      <c r="AA56" s="467"/>
      <c r="AB56" s="467"/>
      <c r="AC56" s="467"/>
      <c r="AD56" s="467"/>
      <c r="AE56" s="467"/>
      <c r="AF56" s="467"/>
      <c r="AG56" s="467"/>
      <c r="AH56" s="467"/>
      <c r="AI56" s="467"/>
      <c r="AJ56" s="467"/>
      <c r="AK56" s="467"/>
      <c r="AL56" s="467"/>
      <c r="AM56" s="467"/>
      <c r="AN56" s="467"/>
      <c r="AO56" s="467"/>
    </row>
    <row r="57" spans="2:41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P57" s="467"/>
      <c r="Q57" s="467"/>
      <c r="R57" s="467"/>
      <c r="S57" s="467"/>
      <c r="T57" s="467"/>
      <c r="U57" s="467"/>
      <c r="V57" s="467"/>
      <c r="W57" s="467"/>
      <c r="X57" s="467"/>
      <c r="Y57" s="467"/>
      <c r="Z57" s="467"/>
      <c r="AA57" s="467"/>
      <c r="AB57" s="467"/>
      <c r="AC57" s="467"/>
      <c r="AD57" s="467"/>
      <c r="AE57" s="467"/>
      <c r="AF57" s="467"/>
      <c r="AG57" s="467"/>
      <c r="AH57" s="467"/>
      <c r="AI57" s="467"/>
      <c r="AJ57" s="467"/>
      <c r="AK57" s="467"/>
      <c r="AL57" s="467"/>
      <c r="AM57" s="467"/>
      <c r="AN57" s="467"/>
      <c r="AO57" s="467"/>
    </row>
    <row r="58" spans="2:41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  <c r="AE58" s="467"/>
      <c r="AF58" s="467"/>
      <c r="AG58" s="467"/>
      <c r="AH58" s="467"/>
      <c r="AI58" s="467"/>
      <c r="AJ58" s="467"/>
      <c r="AK58" s="467"/>
      <c r="AL58" s="467"/>
      <c r="AM58" s="467"/>
      <c r="AN58" s="467"/>
      <c r="AO58" s="467"/>
    </row>
    <row r="59" spans="2:41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P59" s="467"/>
      <c r="Q59" s="467"/>
      <c r="R59" s="467"/>
      <c r="S59" s="467"/>
      <c r="T59" s="467"/>
      <c r="U59" s="467"/>
      <c r="V59" s="467"/>
      <c r="W59" s="467"/>
      <c r="X59" s="467"/>
      <c r="Y59" s="467"/>
      <c r="Z59" s="467"/>
      <c r="AA59" s="467"/>
      <c r="AB59" s="467"/>
      <c r="AC59" s="467"/>
      <c r="AD59" s="467"/>
      <c r="AE59" s="467"/>
      <c r="AF59" s="467"/>
      <c r="AG59" s="467"/>
      <c r="AH59" s="467"/>
      <c r="AI59" s="467"/>
      <c r="AJ59" s="467"/>
      <c r="AK59" s="467"/>
      <c r="AL59" s="467"/>
      <c r="AM59" s="467"/>
      <c r="AN59" s="467"/>
      <c r="AO59" s="467"/>
    </row>
    <row r="60" spans="2:41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7"/>
      <c r="AK60" s="467"/>
      <c r="AL60" s="467"/>
      <c r="AM60" s="467"/>
      <c r="AN60" s="467"/>
      <c r="AO60" s="467"/>
    </row>
    <row r="61" spans="2:41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  <c r="AB61" s="467"/>
      <c r="AC61" s="467"/>
      <c r="AD61" s="467"/>
      <c r="AE61" s="467"/>
      <c r="AF61" s="467"/>
      <c r="AG61" s="467"/>
      <c r="AH61" s="467"/>
      <c r="AI61" s="467"/>
      <c r="AJ61" s="467"/>
      <c r="AK61" s="467"/>
      <c r="AL61" s="467"/>
      <c r="AM61" s="467"/>
      <c r="AN61" s="467"/>
      <c r="AO61" s="467"/>
    </row>
    <row r="62" spans="2:41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  <c r="AF62" s="467"/>
      <c r="AG62" s="467"/>
      <c r="AH62" s="467"/>
      <c r="AI62" s="467"/>
      <c r="AJ62" s="467"/>
      <c r="AK62" s="467"/>
      <c r="AL62" s="467"/>
      <c r="AM62" s="467"/>
      <c r="AN62" s="467"/>
      <c r="AO62" s="467"/>
    </row>
    <row r="63" spans="2:41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P63" s="467"/>
      <c r="Q63" s="467"/>
      <c r="R63" s="467"/>
      <c r="S63" s="467"/>
      <c r="T63" s="467"/>
      <c r="U63" s="467"/>
      <c r="V63" s="467"/>
      <c r="W63" s="467"/>
      <c r="X63" s="467"/>
      <c r="Y63" s="467"/>
      <c r="Z63" s="467"/>
      <c r="AA63" s="467"/>
      <c r="AB63" s="467"/>
      <c r="AC63" s="467"/>
      <c r="AD63" s="467"/>
      <c r="AE63" s="467"/>
      <c r="AF63" s="467"/>
      <c r="AG63" s="467"/>
      <c r="AH63" s="467"/>
      <c r="AI63" s="467"/>
      <c r="AJ63" s="467"/>
      <c r="AK63" s="467"/>
      <c r="AL63" s="467"/>
      <c r="AM63" s="467"/>
      <c r="AN63" s="467"/>
      <c r="AO63" s="467"/>
    </row>
    <row r="64" spans="2:41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 s="467"/>
      <c r="AA64" s="467"/>
      <c r="AB64" s="467"/>
      <c r="AC64" s="467"/>
      <c r="AD64" s="467"/>
      <c r="AE64" s="467"/>
      <c r="AF64" s="467"/>
      <c r="AG64" s="467"/>
      <c r="AH64" s="467"/>
      <c r="AI64" s="467"/>
      <c r="AJ64" s="467"/>
      <c r="AK64" s="467"/>
      <c r="AL64" s="467"/>
      <c r="AM64" s="467"/>
      <c r="AN64" s="467"/>
      <c r="AO64" s="467"/>
    </row>
    <row r="65" spans="2:41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P65" s="467"/>
      <c r="Q65" s="467"/>
      <c r="R65" s="467"/>
      <c r="S65" s="467"/>
      <c r="T65" s="467"/>
      <c r="U65" s="467"/>
      <c r="V65" s="467"/>
      <c r="W65" s="467"/>
      <c r="X65" s="467"/>
      <c r="Y65" s="467"/>
      <c r="Z65" s="467"/>
      <c r="AA65" s="467"/>
      <c r="AB65" s="467"/>
      <c r="AC65" s="467"/>
      <c r="AD65" s="467"/>
      <c r="AE65" s="467"/>
      <c r="AF65" s="467"/>
      <c r="AG65" s="467"/>
      <c r="AH65" s="467"/>
      <c r="AI65" s="467"/>
      <c r="AJ65" s="467"/>
      <c r="AK65" s="467"/>
      <c r="AL65" s="467"/>
      <c r="AM65" s="467"/>
      <c r="AN65" s="467"/>
      <c r="AO65" s="467"/>
    </row>
    <row r="66" spans="2:41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P66" s="467"/>
      <c r="Q66" s="467"/>
      <c r="R66" s="467"/>
      <c r="S66" s="467"/>
      <c r="T66" s="467"/>
      <c r="U66" s="467"/>
      <c r="V66" s="467"/>
      <c r="W66" s="467"/>
      <c r="X66" s="467"/>
      <c r="Y66" s="467"/>
      <c r="Z66" s="467"/>
      <c r="AA66" s="467"/>
      <c r="AB66" s="467"/>
      <c r="AC66" s="467"/>
      <c r="AD66" s="467"/>
      <c r="AE66" s="467"/>
      <c r="AF66" s="467"/>
      <c r="AG66" s="467"/>
      <c r="AH66" s="467"/>
      <c r="AI66" s="467"/>
      <c r="AJ66" s="467"/>
      <c r="AK66" s="467"/>
      <c r="AL66" s="467"/>
      <c r="AM66" s="467"/>
      <c r="AN66" s="467"/>
      <c r="AO66" s="467"/>
    </row>
    <row r="67" spans="2:41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P67" s="467"/>
      <c r="Q67" s="467"/>
      <c r="R67" s="467"/>
      <c r="S67" s="467"/>
      <c r="T67" s="467"/>
      <c r="U67" s="467"/>
      <c r="V67" s="467"/>
      <c r="W67" s="467"/>
      <c r="X67" s="467"/>
      <c r="Y67" s="467"/>
      <c r="Z67" s="467"/>
      <c r="AA67" s="467"/>
      <c r="AB67" s="467"/>
      <c r="AC67" s="467"/>
      <c r="AD67" s="467"/>
      <c r="AE67" s="467"/>
      <c r="AF67" s="467"/>
      <c r="AG67" s="467"/>
      <c r="AH67" s="467"/>
      <c r="AI67" s="467"/>
      <c r="AJ67" s="467"/>
      <c r="AK67" s="467"/>
      <c r="AL67" s="467"/>
      <c r="AM67" s="467"/>
      <c r="AN67" s="467"/>
      <c r="AO67" s="467"/>
    </row>
    <row r="68" spans="2:41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P68" s="467"/>
      <c r="Q68" s="467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  <c r="AF68" s="467"/>
      <c r="AG68" s="467"/>
      <c r="AH68" s="467"/>
      <c r="AI68" s="467"/>
      <c r="AJ68" s="467"/>
      <c r="AK68" s="467"/>
      <c r="AL68" s="467"/>
      <c r="AM68" s="467"/>
      <c r="AN68" s="467"/>
      <c r="AO68" s="467"/>
    </row>
    <row r="69" spans="2:41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P69" s="467"/>
      <c r="Q69" s="467"/>
      <c r="R69" s="467"/>
      <c r="S69" s="467"/>
      <c r="T69" s="467"/>
      <c r="U69" s="467"/>
      <c r="V69" s="467"/>
      <c r="W69" s="467"/>
      <c r="X69" s="467"/>
      <c r="Y69" s="467"/>
      <c r="Z69" s="467"/>
      <c r="AA69" s="467"/>
      <c r="AB69" s="467"/>
      <c r="AC69" s="467"/>
      <c r="AD69" s="467"/>
      <c r="AE69" s="467"/>
      <c r="AF69" s="467"/>
      <c r="AG69" s="467"/>
      <c r="AH69" s="467"/>
      <c r="AI69" s="467"/>
      <c r="AJ69" s="467"/>
      <c r="AK69" s="467"/>
      <c r="AL69" s="467"/>
      <c r="AM69" s="467"/>
      <c r="AN69" s="467"/>
      <c r="AO69" s="467"/>
    </row>
    <row r="70" spans="2:41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P70" s="467"/>
      <c r="Q70" s="467"/>
      <c r="R70" s="467"/>
      <c r="S70" s="467"/>
      <c r="T70" s="467"/>
      <c r="U70" s="467"/>
      <c r="V70" s="467"/>
      <c r="W70" s="467"/>
      <c r="X70" s="467"/>
      <c r="Y70" s="467"/>
      <c r="Z70" s="467"/>
      <c r="AA70" s="467"/>
      <c r="AB70" s="467"/>
      <c r="AC70" s="467"/>
      <c r="AD70" s="467"/>
      <c r="AE70" s="467"/>
      <c r="AF70" s="467"/>
      <c r="AG70" s="467"/>
      <c r="AH70" s="467"/>
      <c r="AI70" s="467"/>
      <c r="AJ70" s="467"/>
      <c r="AK70" s="467"/>
      <c r="AL70" s="467"/>
      <c r="AM70" s="467"/>
      <c r="AN70" s="467"/>
      <c r="AO70" s="467"/>
    </row>
    <row r="71" spans="2:41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P71" s="467"/>
      <c r="Q71" s="467"/>
      <c r="R71" s="467"/>
      <c r="S71" s="467"/>
      <c r="T71" s="467"/>
      <c r="U71" s="467"/>
      <c r="V71" s="467"/>
      <c r="W71" s="467"/>
      <c r="X71" s="467"/>
      <c r="Y71" s="467"/>
      <c r="Z71" s="467"/>
      <c r="AA71" s="467"/>
      <c r="AB71" s="467"/>
      <c r="AC71" s="467"/>
      <c r="AD71" s="467"/>
      <c r="AE71" s="467"/>
      <c r="AF71" s="467"/>
      <c r="AG71" s="467"/>
      <c r="AH71" s="467"/>
      <c r="AI71" s="467"/>
      <c r="AJ71" s="467"/>
      <c r="AK71" s="467"/>
      <c r="AL71" s="467"/>
      <c r="AM71" s="467"/>
      <c r="AN71" s="467"/>
      <c r="AO71" s="467"/>
    </row>
    <row r="72" spans="2:41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P72" s="467"/>
      <c r="Q72" s="467"/>
      <c r="R72" s="467"/>
      <c r="S72" s="467"/>
      <c r="T72" s="467"/>
      <c r="U72" s="467"/>
      <c r="V72" s="467"/>
      <c r="W72" s="467"/>
      <c r="X72" s="467"/>
      <c r="Y72" s="467"/>
      <c r="Z72" s="467"/>
      <c r="AA72" s="467"/>
      <c r="AB72" s="467"/>
      <c r="AC72" s="467"/>
      <c r="AD72" s="467"/>
      <c r="AE72" s="467"/>
      <c r="AF72" s="467"/>
      <c r="AG72" s="467"/>
      <c r="AH72" s="467"/>
      <c r="AI72" s="467"/>
      <c r="AJ72" s="467"/>
      <c r="AK72" s="467"/>
      <c r="AL72" s="467"/>
      <c r="AM72" s="467"/>
      <c r="AN72" s="467"/>
      <c r="AO72" s="467"/>
    </row>
    <row r="73" spans="2:41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P73" s="467"/>
      <c r="Q73" s="467"/>
      <c r="R73" s="467"/>
      <c r="S73" s="467"/>
      <c r="T73" s="467"/>
      <c r="U73" s="467"/>
      <c r="V73" s="467"/>
      <c r="W73" s="467"/>
      <c r="X73" s="467"/>
      <c r="Y73" s="467"/>
      <c r="Z73" s="467"/>
      <c r="AA73" s="467"/>
      <c r="AB73" s="467"/>
      <c r="AC73" s="467"/>
      <c r="AD73" s="467"/>
      <c r="AE73" s="467"/>
      <c r="AF73" s="467"/>
      <c r="AG73" s="467"/>
      <c r="AH73" s="467"/>
      <c r="AI73" s="467"/>
      <c r="AJ73" s="467"/>
      <c r="AK73" s="467"/>
      <c r="AL73" s="467"/>
      <c r="AM73" s="467"/>
      <c r="AN73" s="467"/>
      <c r="AO73" s="467"/>
    </row>
    <row r="74" spans="2:41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P74" s="467"/>
      <c r="Q74" s="467"/>
      <c r="R74" s="467"/>
      <c r="S74" s="467"/>
      <c r="T74" s="467"/>
      <c r="U74" s="467"/>
      <c r="V74" s="467"/>
      <c r="W74" s="467"/>
      <c r="X74" s="467"/>
      <c r="Y74" s="467"/>
      <c r="Z74" s="467"/>
      <c r="AA74" s="467"/>
      <c r="AB74" s="467"/>
      <c r="AC74" s="467"/>
      <c r="AD74" s="467"/>
      <c r="AE74" s="467"/>
      <c r="AF74" s="467"/>
      <c r="AG74" s="467"/>
      <c r="AH74" s="467"/>
      <c r="AI74" s="467"/>
      <c r="AJ74" s="467"/>
      <c r="AK74" s="467"/>
      <c r="AL74" s="467"/>
      <c r="AM74" s="467"/>
      <c r="AN74" s="467"/>
      <c r="AO74" s="467"/>
    </row>
    <row r="75" spans="2:41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P75" s="467"/>
      <c r="Q75" s="467"/>
      <c r="R75" s="467"/>
      <c r="S75" s="467"/>
      <c r="T75" s="467"/>
      <c r="U75" s="467"/>
      <c r="V75" s="467"/>
      <c r="W75" s="467"/>
      <c r="X75" s="467"/>
      <c r="Y75" s="467"/>
      <c r="Z75" s="467"/>
      <c r="AA75" s="467"/>
      <c r="AB75" s="467"/>
      <c r="AC75" s="467"/>
      <c r="AD75" s="467"/>
      <c r="AE75" s="467"/>
      <c r="AF75" s="467"/>
      <c r="AG75" s="467"/>
      <c r="AH75" s="467"/>
      <c r="AI75" s="467"/>
      <c r="AJ75" s="467"/>
      <c r="AK75" s="467"/>
      <c r="AL75" s="467"/>
      <c r="AM75" s="467"/>
      <c r="AN75" s="467"/>
      <c r="AO75" s="467"/>
    </row>
    <row r="76" spans="2:41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P76" s="467"/>
      <c r="Q76" s="467"/>
      <c r="R76" s="467"/>
      <c r="S76" s="467"/>
      <c r="T76" s="467"/>
      <c r="U76" s="467"/>
      <c r="V76" s="467"/>
      <c r="W76" s="467"/>
      <c r="X76" s="467"/>
      <c r="Y76" s="467"/>
      <c r="Z76" s="467"/>
      <c r="AA76" s="467"/>
      <c r="AB76" s="467"/>
      <c r="AC76" s="467"/>
      <c r="AD76" s="467"/>
      <c r="AE76" s="467"/>
      <c r="AF76" s="467"/>
      <c r="AG76" s="467"/>
      <c r="AH76" s="467"/>
      <c r="AI76" s="467"/>
      <c r="AJ76" s="467"/>
      <c r="AK76" s="467"/>
      <c r="AL76" s="467"/>
      <c r="AM76" s="467"/>
      <c r="AN76" s="467"/>
      <c r="AO76" s="467"/>
    </row>
    <row r="77" spans="2:41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P77" s="467"/>
      <c r="Q77" s="467"/>
      <c r="R77" s="467"/>
      <c r="S77" s="467"/>
      <c r="T77" s="467"/>
      <c r="U77" s="467"/>
      <c r="V77" s="467"/>
      <c r="W77" s="467"/>
      <c r="X77" s="467"/>
      <c r="Y77" s="467"/>
      <c r="Z77" s="467"/>
      <c r="AA77" s="467"/>
      <c r="AB77" s="467"/>
      <c r="AC77" s="467"/>
      <c r="AD77" s="467"/>
      <c r="AE77" s="467"/>
      <c r="AF77" s="467"/>
      <c r="AG77" s="467"/>
      <c r="AH77" s="467"/>
      <c r="AI77" s="467"/>
      <c r="AJ77" s="467"/>
      <c r="AK77" s="467"/>
      <c r="AL77" s="467"/>
      <c r="AM77" s="467"/>
      <c r="AN77" s="467"/>
      <c r="AO77" s="467"/>
    </row>
    <row r="78" spans="2:41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P78" s="467"/>
      <c r="Q78" s="467"/>
      <c r="R78" s="467"/>
      <c r="S78" s="467"/>
      <c r="T78" s="467"/>
      <c r="U78" s="467"/>
      <c r="V78" s="467"/>
      <c r="W78" s="467"/>
      <c r="X78" s="467"/>
      <c r="Y78" s="467"/>
      <c r="Z78" s="467"/>
      <c r="AA78" s="467"/>
      <c r="AB78" s="467"/>
      <c r="AC78" s="467"/>
      <c r="AD78" s="467"/>
      <c r="AE78" s="467"/>
      <c r="AF78" s="467"/>
      <c r="AG78" s="467"/>
      <c r="AH78" s="467"/>
      <c r="AI78" s="467"/>
      <c r="AJ78" s="467"/>
      <c r="AK78" s="467"/>
      <c r="AL78" s="467"/>
      <c r="AM78" s="467"/>
      <c r="AN78" s="467"/>
      <c r="AO78" s="467"/>
    </row>
    <row r="79" spans="2:41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P79" s="467"/>
      <c r="Q79" s="467"/>
      <c r="R79" s="467"/>
      <c r="S79" s="467"/>
      <c r="T79" s="467"/>
      <c r="U79" s="467"/>
      <c r="V79" s="467"/>
      <c r="W79" s="467"/>
      <c r="X79" s="467"/>
      <c r="Y79" s="467"/>
      <c r="Z79" s="467"/>
      <c r="AA79" s="467"/>
      <c r="AB79" s="467"/>
      <c r="AC79" s="467"/>
      <c r="AD79" s="467"/>
      <c r="AE79" s="467"/>
      <c r="AF79" s="467"/>
      <c r="AG79" s="467"/>
      <c r="AH79" s="467"/>
      <c r="AI79" s="467"/>
      <c r="AJ79" s="467"/>
      <c r="AK79" s="467"/>
      <c r="AL79" s="467"/>
      <c r="AM79" s="467"/>
      <c r="AN79" s="467"/>
      <c r="AO79" s="467"/>
    </row>
    <row r="80" spans="2:41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P80" s="467"/>
      <c r="Q80" s="467"/>
      <c r="R80" s="467"/>
      <c r="S80" s="467"/>
      <c r="T80" s="467"/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7"/>
      <c r="AF80" s="467"/>
      <c r="AG80" s="467"/>
      <c r="AH80" s="467"/>
      <c r="AI80" s="467"/>
      <c r="AJ80" s="467"/>
      <c r="AK80" s="467"/>
      <c r="AL80" s="467"/>
      <c r="AM80" s="467"/>
      <c r="AN80" s="467"/>
      <c r="AO80" s="467"/>
    </row>
    <row r="81" spans="2:41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P81" s="467"/>
      <c r="Q81" s="467"/>
      <c r="R81" s="467"/>
      <c r="S81" s="467"/>
      <c r="T81" s="467"/>
      <c r="U81" s="467"/>
      <c r="V81" s="467"/>
      <c r="W81" s="467"/>
      <c r="X81" s="467"/>
      <c r="Y81" s="467"/>
      <c r="Z81" s="467"/>
      <c r="AA81" s="467"/>
      <c r="AB81" s="467"/>
      <c r="AC81" s="467"/>
      <c r="AD81" s="467"/>
      <c r="AE81" s="467"/>
      <c r="AF81" s="467"/>
      <c r="AG81" s="467"/>
      <c r="AH81" s="467"/>
      <c r="AI81" s="467"/>
      <c r="AJ81" s="467"/>
      <c r="AK81" s="467"/>
      <c r="AL81" s="467"/>
      <c r="AM81" s="467"/>
      <c r="AN81" s="467"/>
      <c r="AO81" s="467"/>
    </row>
    <row r="82" spans="2:41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41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41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41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41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41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41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41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41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41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41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41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41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41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41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</sheetData>
  <mergeCells count="6">
    <mergeCell ref="L1:M1"/>
    <mergeCell ref="C24:D24"/>
    <mergeCell ref="E24:F24"/>
    <mergeCell ref="G24:H24"/>
    <mergeCell ref="I24:J24"/>
    <mergeCell ref="K24:L24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101"/>
  <sheetViews>
    <sheetView workbookViewId="0"/>
  </sheetViews>
  <sheetFormatPr defaultColWidth="9.140625" defaultRowHeight="15"/>
  <cols>
    <col min="1" max="1" width="9.140625" style="21"/>
    <col min="2" max="2" width="16" style="21" customWidth="1"/>
    <col min="3" max="6" width="8.28515625" style="21" customWidth="1"/>
    <col min="7" max="7" width="2.7109375" style="21" customWidth="1"/>
    <col min="8" max="8" width="16" style="21" customWidth="1"/>
    <col min="9" max="12" width="8.28515625" style="21" customWidth="1"/>
    <col min="13" max="13" width="11.140625" style="21" customWidth="1"/>
    <col min="14" max="16384" width="9.140625" style="21"/>
  </cols>
  <sheetData>
    <row r="1" spans="1:34">
      <c r="A1" s="7">
        <v>27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1024" t="s">
        <v>24</v>
      </c>
      <c r="M1" s="1025"/>
      <c r="O1" s="1" t="s">
        <v>33</v>
      </c>
      <c r="P1" s="47" t="str">
        <f>VLOOKUP(A1,'Point Grid'!$L$8:$T$54,9,FALSE)</f>
        <v>Reserving - Chap 14: Recoveries</v>
      </c>
      <c r="Q1"/>
      <c r="R1"/>
      <c r="S1"/>
      <c r="T1"/>
      <c r="U1"/>
      <c r="V1"/>
      <c r="W1"/>
      <c r="X1"/>
      <c r="Y1"/>
    </row>
    <row r="2" spans="1:34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1"/>
      <c r="P2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7"/>
    </row>
    <row r="3" spans="1:34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 s="42" t="s">
        <v>2</v>
      </c>
      <c r="P3" s="132" t="s">
        <v>242</v>
      </c>
      <c r="Q3" s="478" t="s">
        <v>856</v>
      </c>
      <c r="R3" s="478"/>
      <c r="S3" s="478"/>
      <c r="T3" s="478"/>
      <c r="U3" s="478"/>
      <c r="V3" s="478"/>
      <c r="W3" s="478"/>
      <c r="X3" s="478"/>
      <c r="Y3" s="478"/>
      <c r="Z3" s="478"/>
      <c r="AA3" s="467"/>
      <c r="AB3" s="467"/>
      <c r="AC3" s="467"/>
      <c r="AD3" s="467"/>
      <c r="AE3" s="467"/>
      <c r="AF3" s="467"/>
      <c r="AG3" s="467"/>
      <c r="AH3" s="467"/>
    </row>
    <row r="4" spans="1:34">
      <c r="A4" s="9">
        <f>INDEX('Point Grid'!B:B,MATCH(A1,'Point Grid'!A:A,0))</f>
        <v>1.75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67"/>
      <c r="AB4" s="467"/>
      <c r="AC4" s="467"/>
      <c r="AD4" s="467"/>
      <c r="AE4" s="467"/>
      <c r="AF4" s="467"/>
      <c r="AG4" s="467"/>
      <c r="AH4" s="467"/>
    </row>
    <row r="5" spans="1:34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P5" s="425"/>
      <c r="Q5" s="285" t="s">
        <v>83</v>
      </c>
      <c r="R5" s="61">
        <v>12</v>
      </c>
      <c r="S5" s="61">
        <v>24</v>
      </c>
      <c r="T5" s="61">
        <v>36</v>
      </c>
      <c r="U5" s="61">
        <v>48</v>
      </c>
      <c r="V5" s="425"/>
      <c r="W5" s="425"/>
      <c r="X5" s="425"/>
      <c r="Y5" s="425"/>
      <c r="Z5" s="425"/>
      <c r="AA5" s="467"/>
      <c r="AB5" s="467"/>
      <c r="AC5" s="467"/>
      <c r="AD5" s="467"/>
      <c r="AE5" s="467"/>
      <c r="AF5" s="467"/>
      <c r="AG5" s="467"/>
      <c r="AH5" s="467"/>
    </row>
    <row r="6" spans="1:34">
      <c r="A6" s="25" t="s">
        <v>2</v>
      </c>
      <c r="B6" s="118" t="s">
        <v>843</v>
      </c>
      <c r="C6" s="118"/>
      <c r="D6" s="118"/>
      <c r="E6" s="118"/>
      <c r="F6" s="118"/>
      <c r="G6" s="118"/>
      <c r="H6" s="118"/>
      <c r="I6" s="118"/>
      <c r="J6" s="118"/>
      <c r="K6" s="118"/>
      <c r="L6" s="151"/>
      <c r="M6" s="18"/>
      <c r="P6" s="425"/>
      <c r="Q6" s="358">
        <f>Q7-1</f>
        <v>2013</v>
      </c>
      <c r="R6" s="425">
        <f>C11-I11</f>
        <v>2020</v>
      </c>
      <c r="S6" s="425">
        <f>D11-J11</f>
        <v>3214</v>
      </c>
      <c r="T6" s="425">
        <f>E11-K11</f>
        <v>3535</v>
      </c>
      <c r="U6" s="851">
        <f>F11-L11</f>
        <v>3630</v>
      </c>
      <c r="V6" s="425"/>
      <c r="W6" s="425"/>
      <c r="X6" s="425"/>
      <c r="Y6" s="425"/>
      <c r="Z6" s="425"/>
      <c r="AA6" s="467"/>
      <c r="AB6" s="467"/>
      <c r="AC6" s="467"/>
      <c r="AD6" s="467"/>
      <c r="AE6" s="467"/>
      <c r="AF6" s="467"/>
      <c r="AG6" s="467"/>
      <c r="AH6" s="467"/>
    </row>
    <row r="7" spans="1:34" ht="15.75" thickBot="1">
      <c r="A7" s="9">
        <f>INDEX('Point Grid'!$C$8:$I$54,MATCH($A$1,'Point Grid'!$A$8:$A$54,0),MATCH(A6,'Point Grid'!$C$7:$I$7,0))</f>
        <v>1.75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51"/>
      <c r="M7" s="18"/>
      <c r="P7" s="425"/>
      <c r="Q7" s="358">
        <f>Q8-1</f>
        <v>2014</v>
      </c>
      <c r="R7" s="425">
        <f>C12-I12</f>
        <v>9000</v>
      </c>
      <c r="S7" s="425">
        <f>D12-J12</f>
        <v>14319</v>
      </c>
      <c r="T7" s="851">
        <f>E12-K12</f>
        <v>15751</v>
      </c>
      <c r="U7" s="425"/>
      <c r="V7" s="425"/>
      <c r="W7" s="425"/>
      <c r="X7" s="425"/>
      <c r="Y7" s="425"/>
      <c r="Z7" s="425"/>
      <c r="AA7" s="467"/>
      <c r="AB7" s="467"/>
      <c r="AC7" s="467"/>
      <c r="AD7" s="467"/>
      <c r="AE7" s="467"/>
      <c r="AF7" s="467"/>
      <c r="AG7" s="467"/>
      <c r="AH7" s="467"/>
    </row>
    <row r="8" spans="1:34" ht="15.75" thickBot="1">
      <c r="A8" s="5"/>
      <c r="B8" s="60" t="s">
        <v>844</v>
      </c>
      <c r="C8" s="60"/>
      <c r="D8" s="60"/>
      <c r="E8" s="60"/>
      <c r="F8" s="60"/>
      <c r="G8" s="60"/>
      <c r="H8" s="60" t="s">
        <v>845</v>
      </c>
      <c r="I8" s="60"/>
      <c r="J8" s="60"/>
      <c r="K8" s="60"/>
      <c r="L8" s="60"/>
      <c r="M8" s="18"/>
      <c r="P8" s="425"/>
      <c r="Q8" s="358">
        <f>Q9-1</f>
        <v>2015</v>
      </c>
      <c r="R8" s="425">
        <f>C13-I13</f>
        <v>2100</v>
      </c>
      <c r="S8" s="851">
        <f>D13-J13</f>
        <v>3341</v>
      </c>
      <c r="T8" s="425"/>
      <c r="U8" s="425"/>
      <c r="V8" s="425"/>
      <c r="W8" s="425"/>
      <c r="X8" s="425"/>
      <c r="Y8" s="425"/>
      <c r="Z8" s="425"/>
      <c r="AA8" s="467"/>
      <c r="AB8" s="467"/>
      <c r="AC8" s="467"/>
      <c r="AD8" s="467"/>
      <c r="AE8" s="467"/>
      <c r="AF8" s="467"/>
      <c r="AG8" s="467"/>
      <c r="AH8" s="467"/>
    </row>
    <row r="9" spans="1:34">
      <c r="A9" s="25"/>
      <c r="B9" s="208" t="s">
        <v>846</v>
      </c>
      <c r="C9" s="60"/>
      <c r="D9" s="60"/>
      <c r="E9" s="60"/>
      <c r="F9" s="60"/>
      <c r="G9" s="60"/>
      <c r="H9" s="208" t="s">
        <v>847</v>
      </c>
      <c r="I9" s="60"/>
      <c r="J9" s="60"/>
      <c r="K9" s="60"/>
      <c r="L9" s="60"/>
      <c r="M9" s="18"/>
      <c r="P9" s="425"/>
      <c r="Q9" s="358">
        <f>B14</f>
        <v>2016</v>
      </c>
      <c r="R9" s="851">
        <f>C14-I14</f>
        <v>6100</v>
      </c>
      <c r="S9" s="425"/>
      <c r="T9" s="425"/>
      <c r="U9" s="425"/>
      <c r="V9" s="425"/>
      <c r="W9" s="425"/>
      <c r="X9" s="425"/>
      <c r="Y9" s="425"/>
      <c r="Z9" s="425"/>
      <c r="AA9" s="467"/>
      <c r="AB9" s="467"/>
      <c r="AC9" s="467"/>
      <c r="AD9" s="467"/>
      <c r="AE9" s="467"/>
      <c r="AF9" s="467"/>
      <c r="AG9" s="467"/>
      <c r="AH9" s="467"/>
    </row>
    <row r="10" spans="1:34">
      <c r="A10" s="25"/>
      <c r="B10" s="368" t="s">
        <v>83</v>
      </c>
      <c r="C10" s="231">
        <v>12</v>
      </c>
      <c r="D10" s="231">
        <v>24</v>
      </c>
      <c r="E10" s="231">
        <v>36</v>
      </c>
      <c r="F10" s="231">
        <v>48</v>
      </c>
      <c r="G10" s="60"/>
      <c r="H10" s="368" t="s">
        <v>83</v>
      </c>
      <c r="I10" s="231">
        <v>12</v>
      </c>
      <c r="J10" s="231">
        <v>24</v>
      </c>
      <c r="K10" s="231">
        <v>36</v>
      </c>
      <c r="L10" s="231">
        <v>48</v>
      </c>
      <c r="M10" s="18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67"/>
      <c r="AB10" s="467"/>
      <c r="AC10" s="467"/>
      <c r="AD10" s="467"/>
      <c r="AE10" s="467"/>
      <c r="AF10" s="467"/>
      <c r="AG10" s="467"/>
      <c r="AH10" s="467"/>
    </row>
    <row r="11" spans="1:34">
      <c r="A11" s="25"/>
      <c r="B11" s="369">
        <v>2013</v>
      </c>
      <c r="C11" s="370">
        <v>2200</v>
      </c>
      <c r="D11" s="370">
        <v>4084</v>
      </c>
      <c r="E11" s="370">
        <v>4405</v>
      </c>
      <c r="F11" s="370">
        <v>4800</v>
      </c>
      <c r="G11" s="60"/>
      <c r="H11" s="369">
        <v>2013</v>
      </c>
      <c r="I11" s="370">
        <v>180</v>
      </c>
      <c r="J11" s="370">
        <v>870</v>
      </c>
      <c r="K11" s="370">
        <v>870</v>
      </c>
      <c r="L11" s="370">
        <v>1170</v>
      </c>
      <c r="M11" s="18"/>
      <c r="P11" s="132" t="s">
        <v>245</v>
      </c>
      <c r="Q11" s="478" t="s">
        <v>857</v>
      </c>
      <c r="R11" s="478"/>
      <c r="S11" s="478"/>
      <c r="T11" s="478"/>
      <c r="U11" s="478"/>
      <c r="V11" s="478"/>
      <c r="W11" s="478"/>
      <c r="X11" s="478"/>
      <c r="Y11" s="467"/>
      <c r="Z11" s="478"/>
      <c r="AA11" s="467"/>
      <c r="AB11" s="467"/>
      <c r="AC11" s="467"/>
      <c r="AD11" s="467"/>
      <c r="AE11" s="467"/>
      <c r="AF11" s="467"/>
      <c r="AG11" s="467"/>
      <c r="AH11" s="467"/>
    </row>
    <row r="12" spans="1:34">
      <c r="A12" s="25"/>
      <c r="B12" s="369">
        <v>2014</v>
      </c>
      <c r="C12" s="370">
        <v>9000</v>
      </c>
      <c r="D12" s="370">
        <v>14319</v>
      </c>
      <c r="E12" s="370">
        <v>17021</v>
      </c>
      <c r="F12" s="60"/>
      <c r="G12" s="60"/>
      <c r="H12" s="369">
        <v>2014</v>
      </c>
      <c r="I12" s="370">
        <v>0</v>
      </c>
      <c r="J12" s="370">
        <v>0</v>
      </c>
      <c r="K12" s="370">
        <v>1270</v>
      </c>
      <c r="L12" s="370"/>
      <c r="M12" s="18"/>
      <c r="P12" s="478"/>
      <c r="Q12" s="478"/>
      <c r="R12" s="478"/>
      <c r="S12" s="478"/>
      <c r="T12" s="478"/>
      <c r="U12" s="478"/>
      <c r="V12" s="478"/>
      <c r="W12" s="478"/>
      <c r="X12" s="478"/>
      <c r="Y12" s="467"/>
      <c r="Z12" s="478"/>
      <c r="AA12" s="467"/>
      <c r="AB12" s="467"/>
      <c r="AC12" s="467"/>
      <c r="AD12" s="467"/>
      <c r="AE12" s="467"/>
      <c r="AF12" s="467"/>
      <c r="AG12" s="467"/>
      <c r="AH12" s="467"/>
    </row>
    <row r="13" spans="1:34">
      <c r="A13" s="25"/>
      <c r="B13" s="369">
        <v>2015</v>
      </c>
      <c r="C13" s="370">
        <v>2100</v>
      </c>
      <c r="D13" s="370">
        <v>4101</v>
      </c>
      <c r="E13" s="60"/>
      <c r="F13" s="60"/>
      <c r="G13" s="60"/>
      <c r="H13" s="369">
        <v>2015</v>
      </c>
      <c r="I13" s="370">
        <v>0</v>
      </c>
      <c r="J13" s="370">
        <v>760</v>
      </c>
      <c r="K13" s="370"/>
      <c r="L13" s="370"/>
      <c r="M13" s="18"/>
      <c r="P13" s="478"/>
      <c r="Q13" s="285" t="s">
        <v>83</v>
      </c>
      <c r="R13" s="61" t="str">
        <f>R5&amp;"-"&amp;S5</f>
        <v>12-24</v>
      </c>
      <c r="S13" s="61" t="str">
        <f>S5&amp;"-"&amp;T5</f>
        <v>24-36</v>
      </c>
      <c r="T13" s="61" t="str">
        <f>T5&amp;"-"&amp;U5</f>
        <v>36-48</v>
      </c>
      <c r="U13" s="61" t="str">
        <f>U5&amp;"-"&amp;G10</f>
        <v>48-</v>
      </c>
      <c r="V13" s="420"/>
      <c r="W13" s="359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</row>
    <row r="14" spans="1:34">
      <c r="A14" s="25"/>
      <c r="B14" s="369">
        <v>2016</v>
      </c>
      <c r="C14" s="370">
        <v>6100</v>
      </c>
      <c r="D14" s="60"/>
      <c r="E14" s="60"/>
      <c r="F14" s="60"/>
      <c r="G14" s="60"/>
      <c r="H14" s="369">
        <v>2016</v>
      </c>
      <c r="I14" s="370">
        <v>0</v>
      </c>
      <c r="J14" s="370"/>
      <c r="K14" s="370"/>
      <c r="L14" s="370"/>
      <c r="M14" s="18"/>
      <c r="P14" s="478"/>
      <c r="Q14" s="358">
        <f>Q6</f>
        <v>2013</v>
      </c>
      <c r="R14" s="360">
        <f>ROUND(IF(C6="additive",S6-R6,S6/R6),4)</f>
        <v>1.5911</v>
      </c>
      <c r="S14" s="360">
        <f>ROUND(IF(C6="additive",T6-S6,T6/S6),4)</f>
        <v>1.0999000000000001</v>
      </c>
      <c r="T14" s="360">
        <f>ROUND(IF(C6="additive",U6-T6,U6/T6),4)</f>
        <v>1.0268999999999999</v>
      </c>
      <c r="U14" s="361"/>
      <c r="V14" s="429" t="s">
        <v>246</v>
      </c>
      <c r="W14" s="299" t="str">
        <f>IF(C6="additive","ADDITIVE ", "MULTIPLICATIVE ") &amp; "development"</f>
        <v>MULTIPLICATIVE development</v>
      </c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</row>
    <row r="15" spans="1:34">
      <c r="A15" s="25"/>
      <c r="B15" s="118"/>
      <c r="C15" s="118"/>
      <c r="D15" s="118"/>
      <c r="E15" s="118"/>
      <c r="F15" s="118"/>
      <c r="G15" s="118"/>
      <c r="H15" s="118"/>
      <c r="I15" s="118"/>
      <c r="J15" s="151"/>
      <c r="K15" s="151"/>
      <c r="L15" s="151"/>
      <c r="M15" s="18"/>
      <c r="P15" s="478"/>
      <c r="Q15" s="358">
        <f>Q7</f>
        <v>2014</v>
      </c>
      <c r="R15" s="360">
        <f>ROUND(IF(C6="additive",S7-R7,S7/R7),4)</f>
        <v>1.591</v>
      </c>
      <c r="S15" s="360">
        <f>ROUND(IF(C6="additive",T7-S7,T7/S7),4)</f>
        <v>1.1000000000000001</v>
      </c>
      <c r="T15" s="362"/>
      <c r="U15" s="361"/>
      <c r="V15" s="478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</row>
    <row r="16" spans="1:34">
      <c r="A16" s="25"/>
      <c r="B16" s="118"/>
      <c r="C16" s="118"/>
      <c r="D16" s="118"/>
      <c r="E16" s="118"/>
      <c r="F16" s="118"/>
      <c r="G16" s="118"/>
      <c r="H16" s="208"/>
      <c r="I16" s="118"/>
      <c r="J16" s="118"/>
      <c r="K16" s="118"/>
      <c r="L16" s="151"/>
      <c r="M16" s="18"/>
      <c r="P16" s="478"/>
      <c r="Q16" s="358">
        <f>Q8</f>
        <v>2015</v>
      </c>
      <c r="R16" s="360">
        <f>ROUND(IF(C6="additive",S8-R8,S8/R8),4)</f>
        <v>1.591</v>
      </c>
      <c r="S16" s="360"/>
      <c r="T16" s="362"/>
      <c r="U16" s="361"/>
      <c r="V16" s="478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</row>
    <row r="17" spans="1:34">
      <c r="A17" s="25"/>
      <c r="B17" s="60" t="s">
        <v>848</v>
      </c>
      <c r="C17" s="118"/>
      <c r="D17" s="118"/>
      <c r="E17" s="118"/>
      <c r="F17" s="118"/>
      <c r="G17" s="118"/>
      <c r="H17" s="118" t="s">
        <v>849</v>
      </c>
      <c r="I17" s="118"/>
      <c r="J17" s="118"/>
      <c r="K17" s="118"/>
      <c r="L17" s="151"/>
      <c r="M17" s="18"/>
      <c r="P17" s="478"/>
      <c r="Q17" s="358">
        <f>B14</f>
        <v>2016</v>
      </c>
      <c r="R17" s="361"/>
      <c r="S17" s="361"/>
      <c r="T17" s="361"/>
      <c r="U17" s="361"/>
      <c r="V17" s="478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</row>
    <row r="18" spans="1:34" ht="15" customHeight="1">
      <c r="A18" s="25"/>
      <c r="B18" s="208" t="s">
        <v>850</v>
      </c>
      <c r="C18" s="118"/>
      <c r="D18" s="118"/>
      <c r="E18" s="118"/>
      <c r="F18" s="118"/>
      <c r="G18" s="118"/>
      <c r="H18" s="208" t="s">
        <v>851</v>
      </c>
      <c r="I18" s="118"/>
      <c r="J18" s="118"/>
      <c r="K18" s="118"/>
      <c r="L18" s="151"/>
      <c r="M18" s="18"/>
      <c r="P18" s="478"/>
      <c r="Q18" s="852" t="s">
        <v>180</v>
      </c>
      <c r="R18" s="853">
        <f>ROUND(AVERAGE(R14:R16),4)</f>
        <v>1.591</v>
      </c>
      <c r="S18" s="854">
        <f>ROUND(AVERAGE(S14:S16),4)</f>
        <v>1.1000000000000001</v>
      </c>
      <c r="T18" s="854">
        <f>ROUND(AVERAGE(T14:T16),4)</f>
        <v>1.0268999999999999</v>
      </c>
      <c r="U18" s="363">
        <f>IF(C6="additive",0,1)</f>
        <v>1</v>
      </c>
      <c r="V18" s="429" t="s">
        <v>246</v>
      </c>
      <c r="W18" s="429" t="s">
        <v>858</v>
      </c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</row>
    <row r="19" spans="1:34" ht="15" customHeight="1">
      <c r="A19" s="25"/>
      <c r="B19" s="368" t="s">
        <v>83</v>
      </c>
      <c r="C19" s="172" t="s">
        <v>852</v>
      </c>
      <c r="D19" s="118"/>
      <c r="E19" s="118"/>
      <c r="F19" s="118"/>
      <c r="G19" s="118"/>
      <c r="H19" s="368" t="s">
        <v>83</v>
      </c>
      <c r="I19" s="172" t="s">
        <v>853</v>
      </c>
      <c r="J19" s="118"/>
      <c r="K19" s="118"/>
      <c r="L19" s="151"/>
      <c r="M19" s="18"/>
      <c r="P19" s="478"/>
      <c r="Q19" s="855" t="s">
        <v>247</v>
      </c>
      <c r="R19" s="856">
        <f>ROUND(IF(C6="additive",R18+S19,R18*S19),4)</f>
        <v>1.7971999999999999</v>
      </c>
      <c r="S19" s="856">
        <f>ROUND(IF(C6="additive",S18+T19,S18*T19),4)</f>
        <v>1.1295999999999999</v>
      </c>
      <c r="T19" s="856">
        <f>ROUND(IF(C6="additive",T18+U19,T18*U19),4)</f>
        <v>1.0268999999999999</v>
      </c>
      <c r="U19" s="856">
        <f>U18</f>
        <v>1</v>
      </c>
      <c r="V19" s="429" t="s">
        <v>246</v>
      </c>
      <c r="W19" s="299" t="s">
        <v>859</v>
      </c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</row>
    <row r="20" spans="1:34" ht="15" customHeight="1">
      <c r="A20" s="25"/>
      <c r="B20" s="369">
        <v>2013</v>
      </c>
      <c r="C20" s="195">
        <v>3800</v>
      </c>
      <c r="D20" s="118"/>
      <c r="E20" s="118"/>
      <c r="F20" s="118"/>
      <c r="G20" s="118"/>
      <c r="H20" s="369">
        <v>2013</v>
      </c>
      <c r="I20" s="195">
        <v>10000</v>
      </c>
      <c r="J20" s="118"/>
      <c r="K20" s="118"/>
      <c r="L20" s="151"/>
      <c r="M20" s="18"/>
      <c r="P20" s="478"/>
      <c r="Q20" s="857" t="s">
        <v>860</v>
      </c>
      <c r="R20" s="858">
        <f>ROUND(IF(C6="additive",R9+R19,R9*R19),0)</f>
        <v>10963</v>
      </c>
      <c r="S20" s="859">
        <f>ROUND(IF(C6="additive",S8+S19,S8*S19),0)</f>
        <v>3774</v>
      </c>
      <c r="T20" s="859">
        <f>ROUND(IF(C6="additive",T7+T19,T7*T19),0)</f>
        <v>16175</v>
      </c>
      <c r="U20" s="859">
        <f>ROUND(IF(C6="additive",U6+U19,U6*U19),0)</f>
        <v>3630</v>
      </c>
      <c r="V20" s="364" t="s">
        <v>246</v>
      </c>
      <c r="W20" s="449" t="s">
        <v>861</v>
      </c>
      <c r="X20" s="449"/>
      <c r="Y20" s="449"/>
      <c r="Z20" s="449"/>
      <c r="AA20" s="467"/>
      <c r="AB20" s="467"/>
      <c r="AC20" s="467"/>
      <c r="AD20" s="467"/>
      <c r="AE20" s="467"/>
      <c r="AF20" s="467"/>
      <c r="AG20" s="467"/>
      <c r="AH20" s="467"/>
    </row>
    <row r="21" spans="1:34" ht="15" customHeight="1">
      <c r="A21" s="25"/>
      <c r="B21" s="369">
        <v>2014</v>
      </c>
      <c r="C21" s="195">
        <v>11900</v>
      </c>
      <c r="D21" s="118"/>
      <c r="E21" s="118"/>
      <c r="F21" s="118"/>
      <c r="G21" s="118"/>
      <c r="H21" s="369">
        <v>2014</v>
      </c>
      <c r="I21" s="195">
        <v>9500</v>
      </c>
      <c r="J21" s="118"/>
      <c r="K21" s="118"/>
      <c r="L21" s="151"/>
      <c r="M21" s="18"/>
      <c r="P21" s="478"/>
      <c r="Q21" s="860" t="s">
        <v>862</v>
      </c>
      <c r="R21" s="478"/>
      <c r="S21" s="478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</row>
    <row r="22" spans="1:34" ht="15" customHeight="1">
      <c r="A22" s="25"/>
      <c r="B22" s="369">
        <v>2015</v>
      </c>
      <c r="C22" s="195">
        <v>2300</v>
      </c>
      <c r="D22" s="118"/>
      <c r="E22" s="118"/>
      <c r="F22" s="118"/>
      <c r="G22" s="118"/>
      <c r="H22" s="369">
        <v>2015</v>
      </c>
      <c r="I22" s="195">
        <v>10000</v>
      </c>
      <c r="J22" s="118"/>
      <c r="K22" s="118"/>
      <c r="L22" s="151"/>
      <c r="M22" s="1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67"/>
      <c r="AB22" s="467"/>
      <c r="AC22" s="467"/>
      <c r="AD22" s="467"/>
      <c r="AE22" s="467"/>
      <c r="AF22" s="467"/>
      <c r="AG22" s="467"/>
      <c r="AH22" s="467"/>
    </row>
    <row r="23" spans="1:34" ht="15" customHeight="1">
      <c r="A23" s="25"/>
      <c r="B23" s="369">
        <v>2016</v>
      </c>
      <c r="C23" s="195">
        <v>2400</v>
      </c>
      <c r="D23" s="118"/>
      <c r="E23" s="118"/>
      <c r="F23" s="118"/>
      <c r="G23" s="118"/>
      <c r="H23" s="369">
        <v>2016</v>
      </c>
      <c r="I23" s="195" t="s">
        <v>854</v>
      </c>
      <c r="J23" s="118"/>
      <c r="K23" s="118"/>
      <c r="L23" s="151"/>
      <c r="M23" s="18"/>
      <c r="P23" s="132" t="s">
        <v>248</v>
      </c>
      <c r="Q23" s="478" t="s">
        <v>863</v>
      </c>
      <c r="R23" s="478"/>
      <c r="S23" s="478"/>
      <c r="T23" s="478"/>
      <c r="U23" s="478"/>
      <c r="V23" s="478"/>
      <c r="W23" s="478"/>
      <c r="X23" s="478"/>
      <c r="Y23" s="478"/>
      <c r="Z23" s="478"/>
      <c r="AA23" s="467"/>
      <c r="AB23" s="467"/>
      <c r="AC23" s="467"/>
      <c r="AD23" s="467"/>
      <c r="AE23" s="467"/>
      <c r="AF23" s="467"/>
      <c r="AG23" s="467"/>
      <c r="AH23" s="467"/>
    </row>
    <row r="24" spans="1:34" ht="15" customHeight="1">
      <c r="A24" s="25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67"/>
      <c r="AB24" s="467"/>
      <c r="AC24" s="467"/>
      <c r="AD24" s="467"/>
      <c r="AE24" s="467"/>
      <c r="AF24" s="467"/>
      <c r="AG24" s="467"/>
      <c r="AH24" s="467"/>
    </row>
    <row r="25" spans="1:34" ht="15" customHeight="1">
      <c r="A25" s="25"/>
      <c r="B25" s="167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8"/>
      <c r="P25" s="478"/>
      <c r="Q25" s="110"/>
      <c r="R25" s="861" t="s">
        <v>860</v>
      </c>
      <c r="S25" s="424" t="s">
        <v>864</v>
      </c>
      <c r="T25" s="424" t="s">
        <v>860</v>
      </c>
      <c r="U25" s="862" t="s">
        <v>865</v>
      </c>
      <c r="V25" s="424" t="s">
        <v>865</v>
      </c>
      <c r="W25" s="478"/>
      <c r="X25" s="425"/>
      <c r="Y25" s="425"/>
      <c r="Z25" s="425"/>
      <c r="AA25" s="467"/>
      <c r="AB25" s="467"/>
      <c r="AC25" s="467"/>
      <c r="AD25" s="467"/>
      <c r="AE25" s="467"/>
      <c r="AF25" s="467"/>
      <c r="AG25" s="467"/>
      <c r="AH25" s="467"/>
    </row>
    <row r="26" spans="1:34" ht="15" customHeight="1">
      <c r="A26" s="25"/>
      <c r="B26" s="167" t="s">
        <v>855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8"/>
      <c r="P26" s="425"/>
      <c r="Q26" s="285" t="s">
        <v>83</v>
      </c>
      <c r="R26" s="863" t="s">
        <v>862</v>
      </c>
      <c r="S26" s="98" t="s">
        <v>853</v>
      </c>
      <c r="T26" s="98" t="s">
        <v>866</v>
      </c>
      <c r="U26" s="445" t="s">
        <v>195</v>
      </c>
      <c r="V26" s="98" t="s">
        <v>194</v>
      </c>
      <c r="W26" s="425"/>
      <c r="X26" s="425"/>
      <c r="Y26" s="425"/>
      <c r="Z26" s="425"/>
      <c r="AA26" s="467"/>
      <c r="AB26" s="467"/>
      <c r="AC26" s="467"/>
      <c r="AD26" s="467"/>
      <c r="AE26" s="467"/>
      <c r="AF26" s="467"/>
      <c r="AG26" s="467"/>
      <c r="AH26" s="467"/>
    </row>
    <row r="27" spans="1:34" ht="15" customHeight="1" thickBot="1">
      <c r="A27" s="24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  <c r="P27" s="425"/>
      <c r="Q27" s="358">
        <f>Q6</f>
        <v>2013</v>
      </c>
      <c r="R27" s="94">
        <f>U20</f>
        <v>3630</v>
      </c>
      <c r="S27" s="480">
        <f>I20</f>
        <v>10000</v>
      </c>
      <c r="T27" s="480">
        <f>MIN(R27,S27)</f>
        <v>3630</v>
      </c>
      <c r="U27" s="186">
        <f>C20</f>
        <v>3800</v>
      </c>
      <c r="V27" s="430">
        <f>MAX(0,T27-U27)</f>
        <v>0</v>
      </c>
      <c r="W27" s="429" t="s">
        <v>246</v>
      </c>
      <c r="X27" s="192" t="s">
        <v>249</v>
      </c>
      <c r="Y27" s="425"/>
      <c r="Z27" s="425"/>
      <c r="AA27" s="467"/>
      <c r="AB27" s="467"/>
      <c r="AC27" s="467"/>
      <c r="AD27" s="467"/>
      <c r="AE27" s="467"/>
      <c r="AF27" s="467"/>
      <c r="AG27" s="467"/>
      <c r="AH27" s="467"/>
    </row>
    <row r="28" spans="1:34" ht="15" customHeight="1">
      <c r="P28" s="425"/>
      <c r="Q28" s="358">
        <f>Q7</f>
        <v>2014</v>
      </c>
      <c r="R28" s="94">
        <f>T20</f>
        <v>16175</v>
      </c>
      <c r="S28" s="480">
        <f>I21</f>
        <v>9500</v>
      </c>
      <c r="T28" s="480">
        <f>MIN(R28,S28)</f>
        <v>9500</v>
      </c>
      <c r="U28" s="186">
        <f>C21</f>
        <v>11900</v>
      </c>
      <c r="V28" s="430">
        <f>MAX(0,T28-U28)</f>
        <v>0</v>
      </c>
      <c r="W28" s="429" t="s">
        <v>246</v>
      </c>
      <c r="X28" s="192" t="s">
        <v>249</v>
      </c>
      <c r="Y28" s="425"/>
      <c r="Z28" s="425"/>
      <c r="AA28" s="467"/>
      <c r="AB28" s="467"/>
      <c r="AC28" s="467"/>
      <c r="AD28" s="467"/>
      <c r="AE28" s="467"/>
      <c r="AF28" s="467"/>
      <c r="AG28" s="467"/>
      <c r="AH28" s="467"/>
    </row>
    <row r="29" spans="1:34" ht="15" customHeight="1">
      <c r="P29" s="425"/>
      <c r="Q29" s="358">
        <f>Q8</f>
        <v>2015</v>
      </c>
      <c r="R29" s="94">
        <f>S20</f>
        <v>3774</v>
      </c>
      <c r="S29" s="480">
        <f>I22</f>
        <v>10000</v>
      </c>
      <c r="T29" s="480">
        <f>MIN(R29,S29)</f>
        <v>3774</v>
      </c>
      <c r="U29" s="186">
        <f>C22</f>
        <v>2300</v>
      </c>
      <c r="V29" s="430">
        <f>MAX(0,T29-U29)</f>
        <v>1474</v>
      </c>
      <c r="W29" s="429" t="s">
        <v>246</v>
      </c>
      <c r="X29" s="192" t="s">
        <v>249</v>
      </c>
      <c r="Y29" s="425"/>
      <c r="Z29" s="425"/>
      <c r="AA29" s="467"/>
      <c r="AB29" s="467"/>
      <c r="AC29" s="467"/>
      <c r="AD29" s="467"/>
      <c r="AE29" s="467"/>
      <c r="AF29" s="467"/>
      <c r="AG29" s="467"/>
      <c r="AH29" s="467"/>
    </row>
    <row r="30" spans="1:34" ht="15" customHeight="1">
      <c r="P30" s="425"/>
      <c r="Q30" s="358">
        <f>Q9</f>
        <v>2016</v>
      </c>
      <c r="R30" s="94">
        <f>R20</f>
        <v>10963</v>
      </c>
      <c r="S30" s="480" t="str">
        <f>I23</f>
        <v>none</v>
      </c>
      <c r="T30" s="480">
        <f>MIN(R30,S30)</f>
        <v>10963</v>
      </c>
      <c r="U30" s="186">
        <f>C23</f>
        <v>2400</v>
      </c>
      <c r="V30" s="430">
        <f>MAX(0,T30-U30)</f>
        <v>8563</v>
      </c>
      <c r="W30" s="429" t="s">
        <v>246</v>
      </c>
      <c r="X30" s="192" t="s">
        <v>249</v>
      </c>
      <c r="Y30" s="425"/>
      <c r="Z30" s="425"/>
      <c r="AA30" s="467"/>
      <c r="AB30" s="467"/>
      <c r="AC30" s="467"/>
      <c r="AD30" s="467"/>
      <c r="AE30" s="467"/>
      <c r="AF30" s="467"/>
      <c r="AG30" s="467"/>
      <c r="AH30" s="467"/>
    </row>
    <row r="31" spans="1:34" ht="15" customHeight="1">
      <c r="P31" s="425"/>
      <c r="Q31" s="185" t="s">
        <v>867</v>
      </c>
      <c r="R31" s="864"/>
      <c r="S31" s="106"/>
      <c r="T31" s="106"/>
      <c r="U31" s="107"/>
      <c r="V31" s="184">
        <f>SUM(V27:V30)</f>
        <v>10037</v>
      </c>
      <c r="W31" s="425"/>
      <c r="X31" s="425"/>
      <c r="Y31" s="425"/>
      <c r="Z31" s="425"/>
      <c r="AA31" s="467"/>
      <c r="AB31" s="467"/>
      <c r="AC31" s="467"/>
      <c r="AD31" s="467"/>
      <c r="AE31" s="467"/>
      <c r="AF31" s="467"/>
      <c r="AG31" s="467"/>
      <c r="AH31" s="467"/>
    </row>
    <row r="32" spans="1:34" ht="15" customHeight="1"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</row>
    <row r="33" spans="2:34" ht="15" customHeight="1">
      <c r="N33" s="30"/>
      <c r="O33" s="42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</row>
    <row r="34" spans="2:34" ht="15" customHeight="1">
      <c r="N34" s="30"/>
      <c r="O34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</row>
    <row r="35" spans="2:34" ht="15" customHeight="1">
      <c r="N35" s="30"/>
      <c r="O35" s="42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  <c r="AF35" s="467"/>
      <c r="AG35" s="467"/>
      <c r="AH35" s="467"/>
    </row>
    <row r="36" spans="2:34" ht="15" customHeight="1">
      <c r="N36" s="30"/>
      <c r="O36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  <c r="AF36" s="467"/>
      <c r="AG36" s="467"/>
      <c r="AH36" s="467"/>
    </row>
    <row r="37" spans="2:34" ht="15" customHeight="1">
      <c r="N37" s="30"/>
      <c r="O3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</row>
    <row r="38" spans="2:34" ht="15" customHeight="1">
      <c r="N38" s="30"/>
      <c r="O38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</row>
    <row r="39" spans="2:34" ht="15" customHeight="1">
      <c r="N39" s="30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</row>
    <row r="40" spans="2:34" ht="15" customHeight="1">
      <c r="N40" s="30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</row>
    <row r="41" spans="2:34" ht="15" customHeight="1">
      <c r="N41" s="30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 s="467"/>
      <c r="AF41" s="467"/>
      <c r="AG41" s="467"/>
      <c r="AH41" s="467"/>
    </row>
    <row r="42" spans="2:34" ht="15" customHeight="1">
      <c r="N42" s="30"/>
      <c r="O42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</row>
    <row r="43" spans="2:34" ht="15" customHeight="1">
      <c r="N43" s="30"/>
      <c r="O43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</row>
    <row r="44" spans="2:34" ht="15" customHeight="1">
      <c r="N44" s="30"/>
      <c r="O44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</row>
    <row r="45" spans="2:34" ht="15" customHeight="1">
      <c r="N45" s="30"/>
      <c r="O45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</row>
    <row r="46" spans="2:34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</row>
    <row r="47" spans="2:34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/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 s="467"/>
      <c r="AA47" s="467"/>
      <c r="AB47" s="467"/>
      <c r="AC47" s="467"/>
      <c r="AD47" s="467"/>
      <c r="AE47" s="467"/>
      <c r="AF47" s="467"/>
      <c r="AG47" s="467"/>
      <c r="AH47" s="467"/>
    </row>
    <row r="48" spans="2:34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 s="467"/>
      <c r="AF48" s="467"/>
      <c r="AG48" s="467"/>
      <c r="AH48" s="467"/>
    </row>
    <row r="49" spans="2:34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/>
      <c r="P49" s="467"/>
      <c r="Q49" s="467"/>
      <c r="R49" s="467"/>
      <c r="S49" s="467"/>
      <c r="T49" s="467"/>
      <c r="U49" s="467"/>
      <c r="V49" s="467"/>
      <c r="W49" s="467"/>
      <c r="X49" s="467"/>
      <c r="Y49" s="467"/>
      <c r="Z49" s="467"/>
      <c r="AA49" s="467"/>
      <c r="AB49" s="467"/>
      <c r="AC49" s="467"/>
      <c r="AD49" s="467"/>
      <c r="AE49" s="467"/>
      <c r="AF49" s="467"/>
      <c r="AG49" s="467"/>
      <c r="AH49" s="467"/>
    </row>
    <row r="50" spans="2:34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/>
      <c r="P50" s="467"/>
      <c r="Q50" s="467"/>
      <c r="R50" s="467"/>
      <c r="S50" s="467"/>
      <c r="T50" s="467"/>
      <c r="U50" s="467"/>
      <c r="V50" s="467"/>
      <c r="W50" s="467"/>
      <c r="X50" s="467"/>
      <c r="Y50" s="467"/>
      <c r="Z50" s="467"/>
      <c r="AA50" s="467"/>
      <c r="AB50" s="467"/>
      <c r="AC50" s="467"/>
      <c r="AD50" s="467"/>
      <c r="AE50" s="467"/>
      <c r="AF50" s="467"/>
      <c r="AG50" s="467"/>
      <c r="AH50" s="467"/>
    </row>
    <row r="51" spans="2:34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P51" s="467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  <c r="AB51" s="467"/>
      <c r="AC51" s="467"/>
      <c r="AD51" s="467"/>
      <c r="AE51" s="467"/>
      <c r="AF51" s="467"/>
      <c r="AG51" s="467"/>
      <c r="AH51" s="467"/>
    </row>
    <row r="52" spans="2:34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P52" s="467"/>
      <c r="Q52" s="467"/>
      <c r="R52" s="467"/>
      <c r="S52" s="467"/>
      <c r="T52" s="467"/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</row>
    <row r="53" spans="2:34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P53" s="467"/>
      <c r="Q53" s="467"/>
      <c r="R53" s="467"/>
      <c r="S53" s="467"/>
      <c r="T53" s="467"/>
      <c r="U53" s="467"/>
      <c r="V53" s="467"/>
      <c r="W53" s="467"/>
      <c r="X53" s="467"/>
      <c r="Y53" s="467"/>
      <c r="Z53" s="467"/>
      <c r="AA53" s="467"/>
      <c r="AB53" s="467"/>
      <c r="AC53" s="467"/>
      <c r="AD53" s="467"/>
      <c r="AE53" s="467"/>
      <c r="AF53" s="467"/>
      <c r="AG53" s="467"/>
      <c r="AH53" s="467"/>
    </row>
    <row r="54" spans="2:34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P54" s="467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7"/>
      <c r="AE54" s="467"/>
      <c r="AF54" s="467"/>
      <c r="AG54" s="467"/>
      <c r="AH54" s="467"/>
    </row>
    <row r="55" spans="2:34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67"/>
      <c r="AH55" s="467"/>
    </row>
    <row r="56" spans="2:34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2:34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2:34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34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34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2:34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2:34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2:34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2:34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14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2:14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2:14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14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14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14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14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4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14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</sheetData>
  <mergeCells count="1">
    <mergeCell ref="L1:M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40"/>
  <sheetViews>
    <sheetView workbookViewId="0"/>
  </sheetViews>
  <sheetFormatPr defaultColWidth="9.140625" defaultRowHeight="15"/>
  <cols>
    <col min="1" max="1" width="9.140625" style="21"/>
    <col min="2" max="2" width="16" style="21" customWidth="1"/>
    <col min="3" max="3" width="11.140625" style="21" customWidth="1"/>
    <col min="4" max="7" width="20.7109375" style="21" customWidth="1"/>
    <col min="8" max="9" width="11.140625" style="21" customWidth="1"/>
    <col min="10" max="16384" width="9.140625" style="21"/>
  </cols>
  <sheetData>
    <row r="1" spans="1:21">
      <c r="A1" s="7">
        <v>28</v>
      </c>
      <c r="B1" s="26" t="s">
        <v>12</v>
      </c>
      <c r="C1" s="20"/>
      <c r="D1" s="20"/>
      <c r="E1" s="20"/>
      <c r="F1" s="20"/>
      <c r="G1" s="20"/>
      <c r="H1" s="1024" t="s">
        <v>24</v>
      </c>
      <c r="I1" s="1025"/>
      <c r="K1" s="1" t="s">
        <v>33</v>
      </c>
      <c r="L1" s="47" t="str">
        <f>VLOOKUP(A1,'Point Grid'!$L$8:$T$54,9,FALSE)</f>
        <v>Reserving - Chap 15: Evaluation of Methods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2" t="s">
        <v>2</v>
      </c>
      <c r="L3" s="467" t="s">
        <v>1069</v>
      </c>
      <c r="M3" s="467"/>
      <c r="N3" s="467"/>
      <c r="O3" s="467"/>
      <c r="P3" s="467"/>
      <c r="Q3" s="467"/>
      <c r="R3" s="467"/>
      <c r="S3" s="467"/>
      <c r="T3"/>
      <c r="U3"/>
    </row>
    <row r="4" spans="1:21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8"/>
      <c r="J4" s="30"/>
      <c r="K4" s="42"/>
      <c r="L4" s="478" t="s">
        <v>1070</v>
      </c>
      <c r="M4" s="467"/>
      <c r="N4" s="467"/>
      <c r="O4" s="467"/>
      <c r="P4" s="467"/>
      <c r="Q4" s="467"/>
      <c r="R4" s="467"/>
      <c r="S4" s="467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2"/>
      <c r="L5" s="467" t="s">
        <v>1071</v>
      </c>
      <c r="M5" s="467"/>
      <c r="N5" s="467"/>
      <c r="O5" s="467"/>
      <c r="P5" s="467"/>
      <c r="Q5" s="467"/>
      <c r="R5" s="467"/>
      <c r="S5" s="467"/>
      <c r="T5"/>
      <c r="U5"/>
    </row>
    <row r="6" spans="1:21">
      <c r="A6" s="25" t="s">
        <v>2</v>
      </c>
      <c r="B6" s="17" t="s">
        <v>239</v>
      </c>
      <c r="C6" s="17"/>
      <c r="D6" s="17"/>
      <c r="E6" s="17"/>
      <c r="F6" s="17"/>
      <c r="G6" s="17"/>
      <c r="H6" s="17"/>
      <c r="I6" s="18"/>
      <c r="J6" s="30"/>
      <c r="K6" s="42"/>
      <c r="L6" s="467" t="s">
        <v>1072</v>
      </c>
      <c r="M6" s="467"/>
      <c r="N6" s="467"/>
      <c r="O6" s="467"/>
      <c r="P6" s="467"/>
      <c r="Q6" s="467"/>
      <c r="R6" s="467"/>
      <c r="S6" s="467"/>
      <c r="T6"/>
      <c r="U6"/>
    </row>
    <row r="7" spans="1:21" ht="15.75" thickBot="1">
      <c r="A7" s="9">
        <f>INDEX('Point Grid'!$C$8:$I$54,MATCH($A$1,'Point Grid'!$A$8:$A$54,0),MATCH(A6,'Point Grid'!$C$7:$I$7,0))</f>
        <v>0.5</v>
      </c>
      <c r="B7" s="17" t="s">
        <v>240</v>
      </c>
      <c r="C7" s="17"/>
      <c r="D7" s="17"/>
      <c r="E7" s="17"/>
      <c r="F7" s="17"/>
      <c r="G7" s="17"/>
      <c r="H7" s="17"/>
      <c r="I7" s="18"/>
      <c r="J7" s="30"/>
      <c r="K7" s="42"/>
      <c r="L7" s="467" t="s">
        <v>1073</v>
      </c>
      <c r="M7" s="467"/>
      <c r="N7" s="467"/>
      <c r="O7" s="467"/>
      <c r="P7" s="467"/>
      <c r="Q7" s="467"/>
      <c r="R7" s="467"/>
      <c r="S7" s="467"/>
      <c r="T7"/>
      <c r="U7"/>
    </row>
    <row r="8" spans="1:21" ht="15.75" thickBot="1">
      <c r="A8" s="5"/>
      <c r="B8" s="17"/>
      <c r="C8" s="27"/>
      <c r="D8" s="27"/>
      <c r="E8" s="27"/>
      <c r="F8" s="27"/>
      <c r="G8" s="27"/>
      <c r="H8" s="27"/>
      <c r="I8" s="18"/>
      <c r="J8" s="30"/>
      <c r="K8"/>
      <c r="L8" s="467"/>
      <c r="M8" s="467"/>
      <c r="N8" s="467"/>
      <c r="O8" s="467"/>
      <c r="P8" s="467"/>
      <c r="Q8" s="467"/>
      <c r="R8" s="467"/>
      <c r="S8" s="467"/>
      <c r="T8"/>
      <c r="U8"/>
    </row>
    <row r="9" spans="1:21">
      <c r="A9" s="25"/>
      <c r="B9" s="17"/>
      <c r="C9" s="349" t="s">
        <v>83</v>
      </c>
      <c r="D9" s="349" t="s">
        <v>236</v>
      </c>
      <c r="E9" s="349" t="s">
        <v>87</v>
      </c>
      <c r="F9" s="349" t="s">
        <v>236</v>
      </c>
      <c r="G9" s="349" t="s">
        <v>87</v>
      </c>
      <c r="H9" s="17"/>
      <c r="I9" s="18"/>
      <c r="J9" s="30"/>
      <c r="K9" s="479" t="s">
        <v>3</v>
      </c>
      <c r="L9" s="467" t="s">
        <v>1077</v>
      </c>
      <c r="M9" s="467"/>
      <c r="N9" s="467"/>
      <c r="O9" s="467"/>
      <c r="P9" s="467"/>
      <c r="Q9" s="467"/>
      <c r="R9" s="467"/>
      <c r="S9" s="467"/>
    </row>
    <row r="10" spans="1:21" ht="15.75" thickBot="1">
      <c r="A10" s="25"/>
      <c r="B10" s="17"/>
      <c r="C10" s="350"/>
      <c r="D10" s="350" t="s">
        <v>237</v>
      </c>
      <c r="E10" s="350" t="s">
        <v>237</v>
      </c>
      <c r="F10" s="350" t="s">
        <v>238</v>
      </c>
      <c r="G10" s="350" t="s">
        <v>238</v>
      </c>
      <c r="H10" s="17"/>
      <c r="I10" s="18"/>
      <c r="J10" s="30"/>
      <c r="K10" s="42"/>
      <c r="L10" s="467" t="s">
        <v>1078</v>
      </c>
      <c r="M10" s="467"/>
      <c r="N10" s="467"/>
      <c r="O10" s="467"/>
      <c r="P10" s="467"/>
      <c r="Q10" s="467"/>
      <c r="R10" s="467"/>
      <c r="S10" s="467"/>
    </row>
    <row r="11" spans="1:21" ht="15.75" thickBot="1">
      <c r="A11" s="25"/>
      <c r="B11" s="17"/>
      <c r="C11" s="351">
        <v>2020</v>
      </c>
      <c r="D11" s="352">
        <v>1000</v>
      </c>
      <c r="E11" s="352">
        <v>1000</v>
      </c>
      <c r="F11" s="352">
        <v>1000</v>
      </c>
      <c r="G11" s="352">
        <v>1000</v>
      </c>
      <c r="H11" s="17"/>
      <c r="I11" s="18"/>
      <c r="J11" s="30"/>
      <c r="K11" s="42"/>
      <c r="L11" s="467" t="s">
        <v>1079</v>
      </c>
      <c r="M11" s="467"/>
      <c r="N11" s="467"/>
      <c r="O11" s="467"/>
      <c r="P11" s="467"/>
      <c r="Q11" s="467"/>
      <c r="R11" s="467"/>
      <c r="S11" s="467"/>
    </row>
    <row r="12" spans="1:21" ht="15.75" thickBot="1">
      <c r="A12" s="25"/>
      <c r="B12" s="17"/>
      <c r="C12" s="351">
        <v>2021</v>
      </c>
      <c r="D12" s="352">
        <v>1000</v>
      </c>
      <c r="E12" s="352">
        <v>1000</v>
      </c>
      <c r="F12" s="352">
        <v>1000</v>
      </c>
      <c r="G12" s="352">
        <v>1000</v>
      </c>
      <c r="H12" s="17"/>
      <c r="I12" s="18"/>
      <c r="J12" s="30"/>
      <c r="K12" s="42"/>
      <c r="L12" s="467"/>
      <c r="M12" s="467"/>
      <c r="N12" s="467"/>
      <c r="O12" s="467"/>
      <c r="P12" s="467"/>
      <c r="Q12" s="467"/>
      <c r="R12" s="467"/>
      <c r="S12" s="467"/>
    </row>
    <row r="13" spans="1:21" ht="15.75" thickBot="1">
      <c r="A13" s="25"/>
      <c r="B13" s="17"/>
      <c r="C13" s="351">
        <v>2022</v>
      </c>
      <c r="D13" s="352">
        <v>1000</v>
      </c>
      <c r="E13" s="1011">
        <f>1.05*E12</f>
        <v>1050</v>
      </c>
      <c r="F13" s="352">
        <v>1000</v>
      </c>
      <c r="G13" s="352">
        <v>1000</v>
      </c>
      <c r="H13" s="17"/>
      <c r="I13" s="18"/>
      <c r="J13" s="30"/>
      <c r="K13" s="42"/>
      <c r="L13" s="467"/>
      <c r="M13" s="467"/>
      <c r="N13" s="467"/>
      <c r="O13" s="467"/>
      <c r="P13" s="467"/>
      <c r="Q13" s="467"/>
      <c r="R13" s="467"/>
      <c r="S13" s="467"/>
    </row>
    <row r="14" spans="1:21" ht="15.75" thickBot="1">
      <c r="A14" s="25"/>
      <c r="B14" s="17"/>
      <c r="C14" s="351">
        <v>2023</v>
      </c>
      <c r="D14" s="352">
        <v>1000</v>
      </c>
      <c r="E14" s="1011">
        <f t="shared" ref="E14:E16" si="0">1.05*E13</f>
        <v>1102.5</v>
      </c>
      <c r="F14" s="352">
        <v>1000</v>
      </c>
      <c r="G14" s="352">
        <v>1000</v>
      </c>
      <c r="H14" s="17"/>
      <c r="I14" s="18"/>
      <c r="J14" s="30"/>
      <c r="K14" s="42"/>
      <c r="L14" s="467"/>
      <c r="M14" s="467"/>
      <c r="N14" s="467"/>
      <c r="O14" s="467"/>
      <c r="P14" s="467"/>
      <c r="Q14" s="467"/>
      <c r="R14" s="467"/>
      <c r="S14" s="467"/>
    </row>
    <row r="15" spans="1:21" ht="15.75" thickBot="1">
      <c r="A15" s="25"/>
      <c r="B15" s="17"/>
      <c r="C15" s="351">
        <v>2024</v>
      </c>
      <c r="D15" s="352">
        <v>1000</v>
      </c>
      <c r="E15" s="1011">
        <f t="shared" si="0"/>
        <v>1157.625</v>
      </c>
      <c r="F15" s="352">
        <v>1000</v>
      </c>
      <c r="G15" s="352">
        <v>1000</v>
      </c>
      <c r="H15" s="17"/>
      <c r="I15" s="18"/>
      <c r="J15" s="30"/>
      <c r="K15" s="42"/>
      <c r="L15" s="467"/>
      <c r="M15" s="467"/>
      <c r="N15" s="467"/>
      <c r="O15" s="467"/>
      <c r="P15" s="467"/>
      <c r="Q15" s="467"/>
      <c r="R15" s="467"/>
      <c r="S15" s="467"/>
    </row>
    <row r="16" spans="1:21" ht="15.75" thickBot="1">
      <c r="A16" s="25"/>
      <c r="B16" s="17"/>
      <c r="C16" s="351">
        <v>2025</v>
      </c>
      <c r="D16" s="352">
        <v>1000</v>
      </c>
      <c r="E16" s="1011">
        <f t="shared" si="0"/>
        <v>1215.5062500000001</v>
      </c>
      <c r="F16" s="352">
        <v>1000</v>
      </c>
      <c r="G16" s="352">
        <v>1000</v>
      </c>
      <c r="H16" s="17"/>
      <c r="I16" s="18"/>
      <c r="J16" s="30"/>
      <c r="K16" s="42"/>
      <c r="L16" s="467"/>
      <c r="M16" s="467"/>
      <c r="N16" s="467"/>
      <c r="O16" s="467"/>
      <c r="P16" s="467"/>
      <c r="Q16" s="467"/>
      <c r="R16" s="467"/>
      <c r="S16" s="467"/>
    </row>
    <row r="17" spans="1:24">
      <c r="A17" s="25"/>
      <c r="B17" s="17"/>
      <c r="C17" s="17"/>
      <c r="D17" s="17"/>
      <c r="E17" s="17"/>
      <c r="F17" s="17"/>
      <c r="G17" s="17"/>
      <c r="H17" s="17"/>
      <c r="I17" s="18"/>
      <c r="J17" s="30"/>
      <c r="K17" s="42"/>
      <c r="L17" s="467"/>
      <c r="M17" s="467"/>
      <c r="N17" s="467"/>
      <c r="O17" s="467"/>
      <c r="P17" s="467"/>
      <c r="Q17" s="467"/>
      <c r="R17" s="467"/>
      <c r="S17" s="467"/>
    </row>
    <row r="18" spans="1:24">
      <c r="A18" s="25"/>
      <c r="B18" s="17" t="s">
        <v>1074</v>
      </c>
      <c r="C18" s="17"/>
      <c r="D18" s="17"/>
      <c r="E18" s="17"/>
      <c r="F18" s="17"/>
      <c r="G18" s="17"/>
      <c r="H18" s="17"/>
      <c r="I18" s="18"/>
      <c r="J18" s="30"/>
      <c r="K18" s="42"/>
      <c r="L18" s="467"/>
      <c r="M18" s="467"/>
      <c r="N18" s="467"/>
      <c r="O18" s="467"/>
      <c r="P18" s="467"/>
      <c r="Q18" s="467"/>
      <c r="R18" s="467"/>
      <c r="S18" s="467"/>
    </row>
    <row r="19" spans="1:24">
      <c r="A19" s="25"/>
      <c r="B19" s="17"/>
      <c r="C19" s="17"/>
      <c r="D19" s="17"/>
      <c r="E19" s="17"/>
      <c r="F19" s="17"/>
      <c r="G19" s="17"/>
      <c r="H19" s="17"/>
      <c r="I19" s="18"/>
      <c r="J19" s="30"/>
      <c r="K19" s="42"/>
      <c r="L19" s="467"/>
      <c r="M19" s="467"/>
      <c r="N19" s="467"/>
      <c r="O19" s="467"/>
      <c r="P19" s="467"/>
      <c r="Q19" s="467"/>
      <c r="R19" s="467"/>
      <c r="S19" s="467"/>
    </row>
    <row r="20" spans="1:24">
      <c r="A20" s="25"/>
      <c r="B20" s="17"/>
      <c r="C20" s="17"/>
      <c r="D20" s="17"/>
      <c r="E20" s="17"/>
      <c r="F20" s="17"/>
      <c r="G20" s="17"/>
      <c r="H20" s="17"/>
      <c r="I20" s="18"/>
      <c r="J20" s="30"/>
      <c r="K20" s="42"/>
      <c r="L20" s="467"/>
      <c r="M20" s="467"/>
      <c r="N20" s="467"/>
      <c r="O20" s="467"/>
      <c r="P20" s="467"/>
      <c r="Q20" s="467"/>
      <c r="R20" s="467"/>
      <c r="S20" s="467"/>
    </row>
    <row r="21" spans="1:24">
      <c r="A21" s="25" t="s">
        <v>3</v>
      </c>
      <c r="B21" s="17" t="s">
        <v>1075</v>
      </c>
      <c r="C21" s="17"/>
      <c r="D21" s="17"/>
      <c r="E21" s="17"/>
      <c r="F21" s="17"/>
      <c r="G21" s="17"/>
      <c r="H21" s="17"/>
      <c r="I21" s="18"/>
      <c r="J21" s="30"/>
      <c r="K21" s="42"/>
      <c r="L21" s="467"/>
      <c r="M21" s="467"/>
      <c r="N21" s="467"/>
      <c r="O21" s="467"/>
      <c r="P21" s="467"/>
      <c r="Q21" s="467"/>
      <c r="R21" s="467"/>
      <c r="S21" s="467"/>
      <c r="T21" s="45"/>
      <c r="U21"/>
    </row>
    <row r="22" spans="1:24" ht="15.75" thickBot="1">
      <c r="A22" s="9">
        <f>INDEX('Point Grid'!$C$8:$I$54,MATCH($A$1,'Point Grid'!$A$8:$A$54,0),MATCH(A21,'Point Grid'!$C$7:$I$7,0))</f>
        <v>0.5</v>
      </c>
      <c r="B22" s="17" t="s">
        <v>1076</v>
      </c>
      <c r="C22" s="17"/>
      <c r="D22" s="17"/>
      <c r="E22" s="17"/>
      <c r="F22" s="17"/>
      <c r="G22" s="17"/>
      <c r="H22" s="17"/>
      <c r="I22" s="18"/>
      <c r="J22" s="30"/>
      <c r="K22"/>
      <c r="L22" s="467"/>
      <c r="M22" s="467"/>
      <c r="N22" s="467"/>
      <c r="O22" s="467"/>
      <c r="P22" s="467"/>
      <c r="Q22" s="467"/>
      <c r="R22" s="467"/>
      <c r="S22" s="467"/>
      <c r="T22"/>
      <c r="U22"/>
    </row>
    <row r="23" spans="1:24" ht="15.75" thickBot="1">
      <c r="A23" s="5"/>
      <c r="B23" s="17"/>
      <c r="C23" s="27"/>
      <c r="D23" s="27"/>
      <c r="E23" s="27"/>
      <c r="F23" s="27"/>
      <c r="G23" s="27"/>
      <c r="H23" s="27"/>
      <c r="I23" s="18"/>
      <c r="J23" s="30"/>
      <c r="K23"/>
      <c r="L23" s="467"/>
      <c r="M23" s="467"/>
      <c r="N23" s="467"/>
      <c r="O23" s="467"/>
      <c r="P23" s="467"/>
      <c r="Q23" s="467"/>
      <c r="R23" s="467"/>
      <c r="S23" s="467"/>
      <c r="T23"/>
      <c r="U23"/>
    </row>
    <row r="24" spans="1:24">
      <c r="A24" s="25"/>
      <c r="B24" s="17"/>
      <c r="C24" s="27"/>
      <c r="D24" s="27"/>
      <c r="E24" s="27"/>
      <c r="F24" s="27"/>
      <c r="G24" s="27"/>
      <c r="H24" s="27"/>
      <c r="I24" s="18"/>
      <c r="J24" s="30"/>
      <c r="K24" s="42"/>
      <c r="L24" s="467"/>
      <c r="M24" s="467"/>
      <c r="N24" s="467"/>
      <c r="O24" s="467"/>
      <c r="P24" s="467"/>
      <c r="Q24" s="467"/>
      <c r="R24" s="467"/>
      <c r="S24" s="467"/>
      <c r="T24"/>
      <c r="U24"/>
    </row>
    <row r="25" spans="1:24">
      <c r="A25" s="22"/>
      <c r="B25" s="17"/>
      <c r="C25" s="17"/>
      <c r="D25" s="17"/>
      <c r="E25" s="17"/>
      <c r="F25" s="17"/>
      <c r="G25" s="17"/>
      <c r="H25" s="17"/>
      <c r="I25" s="18"/>
      <c r="J25" s="30"/>
      <c r="K25" s="467"/>
      <c r="L25" s="467"/>
      <c r="M25" s="467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467"/>
    </row>
    <row r="26" spans="1:24" ht="15.75" thickBot="1">
      <c r="A26" s="24"/>
      <c r="B26" s="31"/>
      <c r="C26" s="31"/>
      <c r="D26" s="31"/>
      <c r="E26" s="31"/>
      <c r="F26" s="31"/>
      <c r="G26" s="31"/>
      <c r="H26" s="31"/>
      <c r="I26" s="32"/>
      <c r="J26" s="30"/>
      <c r="K26" s="467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/>
    </row>
    <row r="27" spans="1:24">
      <c r="B27" s="30"/>
      <c r="C27" s="30"/>
      <c r="D27" s="30"/>
      <c r="E27" s="30"/>
      <c r="F27" s="30"/>
      <c r="G27" s="30"/>
      <c r="H27" s="30"/>
      <c r="I27" s="30"/>
      <c r="J27" s="30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7"/>
      <c r="V27" s="467"/>
      <c r="W27" s="467"/>
      <c r="X27" s="467"/>
    </row>
    <row r="28" spans="1:24">
      <c r="J28" s="30"/>
      <c r="K28" s="467"/>
      <c r="L28" s="467"/>
      <c r="M28" s="467"/>
      <c r="N28" s="467"/>
      <c r="O28" s="467"/>
      <c r="P28" s="467"/>
      <c r="Q28" s="467"/>
      <c r="R28" s="467"/>
      <c r="S28" s="467"/>
      <c r="T28" s="467"/>
      <c r="U28" s="467"/>
      <c r="V28" s="467"/>
      <c r="W28" s="467"/>
      <c r="X28" s="467"/>
    </row>
    <row r="29" spans="1:24">
      <c r="J29" s="30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7"/>
      <c r="W29" s="467"/>
      <c r="X29" s="467"/>
    </row>
    <row r="30" spans="1:24">
      <c r="J30" s="30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</row>
    <row r="31" spans="1:24">
      <c r="J31" s="30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</row>
    <row r="32" spans="1:24">
      <c r="J32" s="30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</row>
    <row r="33" spans="2:24">
      <c r="J33" s="30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</row>
    <row r="34" spans="2:24">
      <c r="J34" s="30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</row>
    <row r="35" spans="2:24">
      <c r="J35" s="30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</row>
    <row r="36" spans="2:24">
      <c r="J36" s="30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</row>
    <row r="37" spans="2:24" ht="15" customHeight="1">
      <c r="J37" s="30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</row>
    <row r="38" spans="2:24" ht="15" customHeight="1">
      <c r="J38" s="30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</row>
    <row r="39" spans="2:24" ht="15" customHeight="1">
      <c r="J39" s="30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</row>
    <row r="40" spans="2:24" ht="15" customHeight="1">
      <c r="J40" s="30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</row>
    <row r="41" spans="2:24" ht="15" customHeight="1">
      <c r="J41" s="30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</row>
    <row r="42" spans="2:24" ht="15" customHeight="1">
      <c r="B42" s="30"/>
      <c r="C42" s="30"/>
      <c r="D42" s="30"/>
      <c r="E42" s="30"/>
      <c r="F42" s="30"/>
      <c r="G42" s="30"/>
      <c r="H42" s="30"/>
      <c r="I42" s="30"/>
      <c r="J42" s="30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</row>
    <row r="43" spans="2:24" ht="15" customHeight="1">
      <c r="B43" s="30"/>
      <c r="C43" s="30"/>
      <c r="D43" s="30"/>
      <c r="E43" s="30"/>
      <c r="F43" s="30"/>
      <c r="G43" s="30"/>
      <c r="H43" s="30"/>
      <c r="I43" s="30"/>
      <c r="J43" s="30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</row>
    <row r="44" spans="2:24" ht="15" customHeight="1">
      <c r="B44" s="30"/>
      <c r="C44" s="30"/>
      <c r="D44" s="30"/>
      <c r="E44" s="30"/>
      <c r="F44" s="30"/>
      <c r="G44" s="30"/>
      <c r="H44" s="30"/>
      <c r="I44" s="30"/>
      <c r="J44" s="30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</row>
    <row r="45" spans="2:24" ht="15" customHeight="1">
      <c r="J45" s="30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</row>
    <row r="46" spans="2:24" ht="15" customHeight="1">
      <c r="J46" s="30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</row>
    <row r="47" spans="2:24" ht="15" customHeight="1">
      <c r="J47" s="30"/>
      <c r="K47" s="467"/>
      <c r="L47" s="467"/>
      <c r="M47" s="467"/>
      <c r="N47" s="467"/>
      <c r="O47" s="467"/>
      <c r="P47" s="467"/>
      <c r="Q47" s="467"/>
      <c r="R47" s="467"/>
      <c r="S47" s="467"/>
      <c r="T47" s="467"/>
      <c r="U47" s="467"/>
      <c r="V47" s="467"/>
      <c r="W47" s="467"/>
      <c r="X47" s="467"/>
    </row>
    <row r="48" spans="2:24" ht="15" customHeight="1">
      <c r="J48" s="30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</row>
    <row r="49" spans="2:24" ht="15" customHeight="1">
      <c r="J49" s="30"/>
      <c r="K49" s="467"/>
      <c r="L49" s="467"/>
      <c r="M49" s="467"/>
      <c r="N49" s="467"/>
      <c r="O49" s="467"/>
      <c r="P49" s="467"/>
      <c r="Q49" s="467"/>
      <c r="R49" s="467"/>
      <c r="S49" s="467"/>
      <c r="T49" s="467"/>
      <c r="U49" s="467"/>
      <c r="V49" s="467"/>
      <c r="W49" s="467"/>
      <c r="X49" s="467"/>
    </row>
    <row r="50" spans="2:24" ht="15" customHeight="1">
      <c r="J50" s="30"/>
      <c r="K50" s="467"/>
      <c r="L50" s="467"/>
      <c r="M50" s="467"/>
      <c r="N50" s="467"/>
      <c r="O50" s="467"/>
      <c r="P50" s="467"/>
      <c r="Q50" s="467"/>
      <c r="R50" s="467"/>
      <c r="S50" s="467"/>
      <c r="T50" s="467"/>
      <c r="U50" s="467"/>
      <c r="V50" s="467"/>
      <c r="W50" s="467"/>
      <c r="X50" s="467"/>
    </row>
    <row r="51" spans="2:24" ht="15" customHeight="1">
      <c r="J51" s="30"/>
      <c r="K51" s="467"/>
      <c r="L51" s="467"/>
      <c r="M51" s="467"/>
      <c r="N51" s="467"/>
      <c r="O51" s="467"/>
      <c r="P51" s="467"/>
      <c r="Q51" s="467"/>
      <c r="R51" s="467"/>
      <c r="S51" s="467"/>
      <c r="T51" s="467"/>
      <c r="U51" s="467"/>
      <c r="V51" s="467"/>
      <c r="W51" s="467"/>
      <c r="X51" s="467"/>
    </row>
    <row r="52" spans="2:24" ht="15" customHeight="1">
      <c r="J52" s="30"/>
      <c r="K52" s="467"/>
      <c r="L52" s="467"/>
      <c r="M52" s="467"/>
      <c r="N52" s="467"/>
      <c r="O52" s="467"/>
      <c r="P52" s="467"/>
      <c r="Q52" s="467"/>
      <c r="R52" s="467"/>
      <c r="S52" s="467"/>
      <c r="T52" s="467"/>
      <c r="U52" s="467"/>
      <c r="V52" s="467"/>
      <c r="W52" s="467"/>
      <c r="X52" s="467"/>
    </row>
    <row r="53" spans="2:24" ht="15" customHeight="1">
      <c r="J53" s="30"/>
      <c r="K53" s="467"/>
      <c r="L53" s="467"/>
      <c r="M53" s="467"/>
      <c r="N53" s="467"/>
      <c r="O53" s="467"/>
      <c r="P53" s="467"/>
      <c r="Q53" s="467"/>
      <c r="R53" s="467"/>
      <c r="S53" s="467"/>
      <c r="T53" s="467"/>
      <c r="U53" s="467"/>
      <c r="V53" s="467"/>
      <c r="W53" s="467"/>
      <c r="X53" s="467"/>
    </row>
    <row r="54" spans="2:24" ht="15" customHeight="1">
      <c r="J54" s="30"/>
      <c r="K54" s="467"/>
      <c r="L54" s="467"/>
      <c r="M54" s="467"/>
      <c r="N54" s="467"/>
      <c r="O54" s="467"/>
      <c r="P54" s="467"/>
      <c r="Q54" s="467"/>
      <c r="R54" s="467"/>
      <c r="S54" s="467"/>
      <c r="T54" s="467"/>
      <c r="U54" s="467"/>
      <c r="V54" s="467"/>
      <c r="W54" s="467"/>
      <c r="X54" s="467"/>
    </row>
    <row r="55" spans="2:24" ht="15" customHeight="1">
      <c r="J55" s="30"/>
      <c r="K55" s="467"/>
      <c r="L55" s="467"/>
      <c r="M55" s="467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467"/>
    </row>
    <row r="56" spans="2:24" ht="15" customHeight="1">
      <c r="J56" s="30"/>
      <c r="K56" s="467"/>
      <c r="L56" s="467"/>
      <c r="M56" s="467"/>
      <c r="N56" s="467"/>
      <c r="O56" s="467"/>
      <c r="P56" s="467"/>
      <c r="Q56" s="467"/>
      <c r="R56" s="467"/>
      <c r="S56" s="467"/>
      <c r="T56" s="467"/>
      <c r="U56" s="467"/>
      <c r="V56" s="467"/>
      <c r="W56" s="467"/>
      <c r="X56" s="467"/>
    </row>
    <row r="57" spans="2:24" ht="15" customHeight="1">
      <c r="J57" s="30"/>
      <c r="K57" s="467"/>
      <c r="L57" s="467"/>
      <c r="M57" s="467"/>
      <c r="N57" s="467"/>
      <c r="O57" s="467"/>
      <c r="P57" s="467"/>
      <c r="Q57" s="467"/>
      <c r="R57" s="467"/>
      <c r="S57" s="467"/>
      <c r="T57" s="467"/>
      <c r="U57" s="467"/>
      <c r="V57" s="467"/>
      <c r="W57" s="467"/>
      <c r="X57" s="467"/>
    </row>
    <row r="58" spans="2:24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</row>
    <row r="59" spans="2:24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467"/>
      <c r="L59" s="467"/>
      <c r="M59" s="467"/>
      <c r="N59" s="467"/>
      <c r="O59" s="467"/>
      <c r="P59" s="467"/>
      <c r="Q59" s="467"/>
      <c r="R59" s="467"/>
      <c r="S59" s="467"/>
      <c r="T59" s="467"/>
      <c r="U59" s="467"/>
      <c r="V59" s="467"/>
      <c r="W59" s="467"/>
      <c r="X59" s="467"/>
    </row>
    <row r="60" spans="2:24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</row>
    <row r="61" spans="2:24" ht="15" customHeight="1">
      <c r="J61" s="30"/>
      <c r="K61" s="467"/>
      <c r="L61" s="467"/>
      <c r="M61" s="467"/>
      <c r="N61" s="467"/>
      <c r="O61" s="467"/>
      <c r="P61" s="467"/>
      <c r="Q61" s="467"/>
      <c r="R61" s="467"/>
      <c r="S61" s="467"/>
      <c r="T61" s="467"/>
      <c r="U61" s="467"/>
      <c r="V61" s="467"/>
      <c r="W61" s="467"/>
      <c r="X61" s="467"/>
    </row>
    <row r="62" spans="2:24" ht="15" customHeight="1">
      <c r="J62" s="30"/>
      <c r="K62" s="467"/>
      <c r="L62" s="467"/>
      <c r="M62" s="467"/>
      <c r="N62" s="467"/>
      <c r="O62" s="467"/>
      <c r="P62" s="467"/>
      <c r="Q62" s="467"/>
      <c r="R62" s="467"/>
      <c r="S62" s="467"/>
      <c r="T62" s="467"/>
      <c r="U62" s="467"/>
      <c r="V62" s="467"/>
      <c r="W62" s="467"/>
      <c r="X62" s="467"/>
    </row>
    <row r="63" spans="2:24" ht="15" customHeight="1">
      <c r="J63" s="30"/>
      <c r="K63" s="467"/>
      <c r="L63" s="467"/>
      <c r="M63" s="467"/>
      <c r="N63" s="467"/>
      <c r="O63" s="467"/>
      <c r="P63" s="467"/>
      <c r="Q63" s="467"/>
      <c r="R63" s="467"/>
      <c r="S63" s="467"/>
      <c r="T63" s="467"/>
      <c r="U63" s="467"/>
      <c r="V63" s="467"/>
      <c r="W63" s="467"/>
      <c r="X63" s="467"/>
    </row>
    <row r="64" spans="2:24" ht="15" customHeight="1">
      <c r="J64" s="30"/>
      <c r="K64" s="467"/>
      <c r="L64" s="467"/>
      <c r="M64" s="467"/>
      <c r="N64" s="467"/>
      <c r="O64" s="467"/>
      <c r="P64" s="467"/>
      <c r="Q64" s="467"/>
      <c r="R64" s="467"/>
      <c r="S64" s="467"/>
      <c r="T64" s="467"/>
      <c r="U64" s="467"/>
      <c r="V64" s="467"/>
      <c r="W64" s="467"/>
      <c r="X64" s="467"/>
    </row>
    <row r="65" spans="2:24" ht="15" customHeight="1">
      <c r="J65" s="30"/>
      <c r="K65" s="467"/>
      <c r="L65" s="467"/>
      <c r="M65" s="467"/>
      <c r="N65" s="467"/>
      <c r="O65" s="467"/>
      <c r="P65" s="467"/>
      <c r="Q65" s="467"/>
      <c r="R65" s="467"/>
      <c r="S65" s="467"/>
      <c r="T65" s="467"/>
      <c r="U65" s="467"/>
      <c r="V65" s="467"/>
      <c r="W65" s="467"/>
      <c r="X65" s="467"/>
    </row>
    <row r="66" spans="2:24" ht="15" customHeight="1">
      <c r="J66" s="30"/>
      <c r="K66" s="467"/>
      <c r="L66" s="467"/>
      <c r="M66" s="467"/>
      <c r="N66" s="467"/>
      <c r="O66" s="467"/>
      <c r="P66" s="467"/>
      <c r="Q66" s="467"/>
      <c r="R66" s="467"/>
      <c r="S66" s="467"/>
      <c r="T66" s="467"/>
      <c r="U66" s="467"/>
      <c r="V66" s="467"/>
      <c r="W66" s="467"/>
      <c r="X66" s="467"/>
    </row>
    <row r="67" spans="2:24" ht="15" customHeight="1">
      <c r="J67" s="30"/>
      <c r="K67" s="467"/>
      <c r="L67" s="467"/>
      <c r="M67" s="467"/>
      <c r="N67" s="467"/>
      <c r="O67" s="467"/>
      <c r="P67" s="467"/>
      <c r="Q67" s="467"/>
      <c r="R67" s="467"/>
      <c r="S67" s="467"/>
      <c r="T67" s="467"/>
      <c r="U67" s="467"/>
      <c r="V67" s="467"/>
      <c r="W67" s="467"/>
      <c r="X67" s="467"/>
    </row>
    <row r="68" spans="2:24" ht="15" customHeight="1">
      <c r="J68" s="30"/>
      <c r="K68" s="467"/>
      <c r="L68" s="467"/>
      <c r="M68" s="467"/>
      <c r="N68" s="467"/>
      <c r="O68" s="467"/>
      <c r="P68" s="467"/>
      <c r="Q68" s="467"/>
      <c r="R68" s="467"/>
      <c r="S68" s="467"/>
      <c r="T68" s="467"/>
      <c r="U68" s="467"/>
      <c r="V68" s="467"/>
      <c r="W68" s="467"/>
      <c r="X68" s="467"/>
    </row>
    <row r="69" spans="2:24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467"/>
      <c r="L69" s="467"/>
      <c r="M69" s="467"/>
      <c r="N69" s="467"/>
      <c r="O69" s="467"/>
      <c r="P69" s="467"/>
      <c r="Q69" s="467"/>
      <c r="R69" s="467"/>
      <c r="S69" s="467"/>
      <c r="T69" s="467"/>
      <c r="U69" s="467"/>
      <c r="V69" s="467"/>
      <c r="W69" s="467"/>
      <c r="X69" s="467"/>
    </row>
    <row r="70" spans="2:24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467"/>
      <c r="L70" s="467"/>
      <c r="M70" s="467"/>
      <c r="N70" s="467"/>
      <c r="O70" s="467"/>
      <c r="P70" s="467"/>
      <c r="Q70" s="467"/>
      <c r="R70" s="467"/>
      <c r="S70" s="467"/>
      <c r="T70" s="467"/>
      <c r="U70" s="467"/>
      <c r="V70" s="467"/>
      <c r="W70" s="467"/>
      <c r="X70" s="467"/>
    </row>
    <row r="71" spans="2:24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467"/>
      <c r="L71" s="467"/>
      <c r="M71" s="467"/>
      <c r="N71" s="467"/>
      <c r="O71" s="467"/>
      <c r="P71" s="467"/>
      <c r="Q71" s="467"/>
      <c r="R71" s="467"/>
      <c r="S71" s="467"/>
      <c r="T71" s="467"/>
      <c r="U71" s="467"/>
      <c r="V71" s="467"/>
      <c r="W71" s="467"/>
      <c r="X71" s="467"/>
    </row>
    <row r="72" spans="2:24" ht="15" customHeight="1">
      <c r="J72" s="30"/>
      <c r="K72" s="467"/>
      <c r="L72" s="467"/>
      <c r="M72" s="467"/>
      <c r="N72" s="467"/>
      <c r="O72" s="467"/>
      <c r="P72" s="467"/>
      <c r="Q72" s="467"/>
      <c r="R72" s="467"/>
      <c r="S72" s="467"/>
      <c r="T72" s="467"/>
      <c r="U72" s="467"/>
      <c r="V72" s="467"/>
      <c r="W72" s="467"/>
      <c r="X72" s="467"/>
    </row>
    <row r="73" spans="2:24" ht="15" customHeight="1">
      <c r="J73" s="30"/>
      <c r="K73" s="467"/>
      <c r="L73" s="467"/>
      <c r="M73" s="467"/>
      <c r="N73" s="467"/>
      <c r="O73" s="467"/>
      <c r="P73" s="467"/>
      <c r="Q73" s="467"/>
      <c r="R73" s="467"/>
      <c r="S73" s="467"/>
      <c r="T73" s="467"/>
      <c r="U73" s="467"/>
      <c r="V73" s="467"/>
      <c r="W73" s="467"/>
      <c r="X73" s="467"/>
    </row>
    <row r="74" spans="2:24" ht="15" customHeight="1">
      <c r="J74" s="30"/>
      <c r="K74" s="467"/>
      <c r="L74" s="467"/>
      <c r="M74" s="467"/>
      <c r="N74" s="467"/>
      <c r="O74" s="467"/>
      <c r="P74" s="467"/>
      <c r="Q74" s="467"/>
      <c r="R74" s="467"/>
      <c r="S74" s="467"/>
      <c r="T74" s="467"/>
      <c r="U74" s="467"/>
      <c r="V74" s="467"/>
      <c r="W74" s="467"/>
      <c r="X74" s="467"/>
    </row>
    <row r="75" spans="2:24" ht="15" customHeight="1">
      <c r="J75" s="30"/>
      <c r="K75" s="467"/>
      <c r="L75" s="467"/>
      <c r="M75" s="467"/>
      <c r="N75" s="467"/>
      <c r="O75" s="467"/>
      <c r="P75" s="467"/>
      <c r="Q75" s="467"/>
      <c r="R75" s="467"/>
      <c r="S75" s="467"/>
      <c r="T75" s="467"/>
      <c r="U75" s="467"/>
      <c r="V75" s="467"/>
      <c r="W75" s="467"/>
      <c r="X75" s="467"/>
    </row>
    <row r="76" spans="2:24" ht="15" customHeight="1">
      <c r="J76" s="30"/>
      <c r="K76" s="467"/>
      <c r="L76" s="467"/>
      <c r="M76" s="467"/>
      <c r="N76" s="467"/>
      <c r="O76" s="467"/>
      <c r="P76" s="467"/>
      <c r="Q76" s="467"/>
      <c r="R76" s="467"/>
      <c r="S76" s="467"/>
      <c r="T76" s="467"/>
      <c r="U76" s="467"/>
      <c r="V76" s="467"/>
      <c r="W76" s="467"/>
      <c r="X76" s="467"/>
    </row>
    <row r="77" spans="2:24" ht="15" customHeight="1">
      <c r="J77" s="30"/>
      <c r="K77" s="467"/>
      <c r="L77" s="467"/>
      <c r="M77" s="467"/>
      <c r="N77" s="467"/>
      <c r="O77" s="467"/>
      <c r="P77" s="467"/>
      <c r="Q77" s="467"/>
      <c r="R77" s="467"/>
      <c r="S77" s="467"/>
      <c r="T77" s="467"/>
      <c r="U77" s="467"/>
      <c r="V77" s="467"/>
      <c r="W77" s="467"/>
      <c r="X77" s="467"/>
    </row>
    <row r="78" spans="2:24" ht="15" customHeight="1">
      <c r="J78" s="30"/>
      <c r="K78" s="467"/>
      <c r="L78" s="467"/>
      <c r="M78" s="467"/>
      <c r="N78" s="467"/>
      <c r="O78" s="467"/>
      <c r="P78" s="467"/>
      <c r="Q78" s="467"/>
      <c r="R78" s="467"/>
      <c r="S78" s="467"/>
      <c r="T78" s="467"/>
      <c r="U78" s="467"/>
      <c r="V78" s="467"/>
      <c r="W78" s="467"/>
      <c r="X78" s="467"/>
    </row>
    <row r="79" spans="2:24" ht="15" customHeight="1">
      <c r="J79" s="30"/>
      <c r="K79" s="467"/>
      <c r="L79" s="467"/>
      <c r="M79" s="467"/>
      <c r="N79" s="467"/>
      <c r="O79" s="467"/>
      <c r="P79" s="467"/>
      <c r="Q79" s="467"/>
      <c r="R79" s="467"/>
      <c r="S79" s="467"/>
      <c r="T79" s="467"/>
      <c r="U79" s="467"/>
      <c r="V79" s="467"/>
      <c r="W79" s="467"/>
      <c r="X79" s="467"/>
    </row>
    <row r="80" spans="2:24" ht="15" customHeight="1">
      <c r="J80" s="30"/>
      <c r="K80" s="467"/>
      <c r="L80" s="467"/>
      <c r="M80" s="467"/>
      <c r="N80" s="467"/>
      <c r="O80" s="467"/>
      <c r="P80" s="467"/>
      <c r="Q80" s="467"/>
      <c r="R80" s="467"/>
      <c r="S80" s="467"/>
      <c r="T80" s="467"/>
      <c r="U80" s="467"/>
      <c r="V80" s="467"/>
      <c r="W80" s="467"/>
      <c r="X80" s="467"/>
    </row>
    <row r="81" spans="2:24" ht="15" customHeight="1">
      <c r="J81" s="30"/>
      <c r="K81" s="467"/>
      <c r="L81" s="467"/>
      <c r="M81" s="467"/>
      <c r="N81" s="467"/>
      <c r="O81" s="467"/>
      <c r="P81" s="467"/>
      <c r="Q81" s="467"/>
      <c r="R81" s="467"/>
      <c r="S81" s="467"/>
      <c r="T81" s="467"/>
      <c r="U81" s="467"/>
      <c r="V81" s="467"/>
      <c r="W81" s="467"/>
      <c r="X81" s="467"/>
    </row>
    <row r="82" spans="2:24" ht="15" customHeight="1">
      <c r="J82" s="30"/>
      <c r="K82" s="467"/>
      <c r="L82" s="467"/>
      <c r="M82" s="467"/>
      <c r="N82" s="467"/>
      <c r="O82" s="467"/>
      <c r="P82" s="467"/>
      <c r="Q82" s="467"/>
      <c r="R82" s="467"/>
      <c r="S82" s="467"/>
      <c r="T82" s="467"/>
      <c r="U82" s="467"/>
      <c r="V82" s="467"/>
      <c r="W82" s="467"/>
      <c r="X82" s="467"/>
    </row>
    <row r="83" spans="2:24" ht="15" customHeight="1">
      <c r="J83" s="30"/>
      <c r="K83" s="467"/>
      <c r="L83" s="467"/>
      <c r="M83" s="467"/>
      <c r="N83" s="467"/>
      <c r="O83" s="467"/>
      <c r="P83" s="467"/>
      <c r="Q83" s="467"/>
      <c r="R83" s="467"/>
      <c r="S83" s="467"/>
      <c r="T83" s="467"/>
      <c r="U83" s="467"/>
      <c r="V83" s="467"/>
      <c r="W83" s="467"/>
      <c r="X83" s="467"/>
    </row>
    <row r="84" spans="2:24" ht="15" customHeight="1">
      <c r="J84" s="30"/>
      <c r="K84" s="467"/>
      <c r="L84" s="467"/>
      <c r="M84" s="467"/>
      <c r="N84" s="467"/>
      <c r="O84" s="467"/>
      <c r="P84" s="467"/>
      <c r="Q84" s="467"/>
      <c r="R84" s="467"/>
      <c r="S84" s="467"/>
      <c r="T84" s="467"/>
      <c r="U84" s="467"/>
      <c r="V84" s="467"/>
      <c r="W84" s="467"/>
      <c r="X84" s="467"/>
    </row>
    <row r="85" spans="2:24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467"/>
      <c r="L85" s="467"/>
      <c r="M85" s="467"/>
      <c r="N85" s="467"/>
      <c r="O85" s="467"/>
      <c r="P85" s="467"/>
      <c r="Q85" s="467"/>
      <c r="R85" s="467"/>
      <c r="S85" s="467"/>
      <c r="T85" s="467"/>
      <c r="U85" s="467"/>
      <c r="V85" s="467"/>
      <c r="W85" s="467"/>
      <c r="X85" s="467"/>
    </row>
    <row r="86" spans="2:24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467"/>
      <c r="L86" s="467"/>
      <c r="M86" s="467"/>
      <c r="N86" s="467"/>
      <c r="O86" s="467"/>
      <c r="P86" s="467"/>
      <c r="Q86" s="467"/>
      <c r="R86" s="467"/>
      <c r="S86" s="467"/>
      <c r="T86" s="467"/>
      <c r="U86" s="467"/>
      <c r="V86" s="467"/>
      <c r="W86" s="467"/>
      <c r="X86" s="467"/>
    </row>
    <row r="87" spans="2:24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467"/>
      <c r="L87" s="467"/>
      <c r="M87" s="467"/>
      <c r="N87" s="467"/>
      <c r="O87" s="467"/>
      <c r="P87" s="467"/>
      <c r="Q87" s="467"/>
      <c r="R87" s="467"/>
      <c r="S87" s="467"/>
      <c r="T87" s="467"/>
      <c r="U87" s="467"/>
      <c r="V87" s="467"/>
      <c r="W87" s="467"/>
      <c r="X87" s="467"/>
    </row>
    <row r="88" spans="2:24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467"/>
      <c r="L88" s="467"/>
      <c r="M88" s="467"/>
      <c r="N88" s="467"/>
      <c r="O88" s="467"/>
      <c r="P88" s="467"/>
      <c r="Q88" s="467"/>
      <c r="R88" s="467"/>
      <c r="S88" s="467"/>
      <c r="T88" s="467"/>
      <c r="U88" s="467"/>
      <c r="V88" s="467"/>
      <c r="W88" s="467"/>
      <c r="X88" s="467"/>
    </row>
    <row r="89" spans="2:24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467"/>
      <c r="L89" s="467"/>
      <c r="M89" s="467"/>
      <c r="N89" s="467"/>
      <c r="O89" s="467"/>
      <c r="P89" s="467"/>
      <c r="Q89" s="467"/>
      <c r="R89" s="467"/>
      <c r="S89" s="467"/>
      <c r="T89" s="467"/>
      <c r="U89" s="467"/>
      <c r="V89" s="467"/>
      <c r="W89" s="467"/>
      <c r="X89" s="467"/>
    </row>
    <row r="90" spans="2:24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467"/>
      <c r="L90" s="467"/>
      <c r="M90" s="467"/>
      <c r="N90" s="467"/>
      <c r="O90" s="467"/>
      <c r="P90" s="467"/>
      <c r="Q90" s="467"/>
      <c r="R90" s="467"/>
      <c r="S90" s="467"/>
      <c r="T90" s="467"/>
      <c r="U90" s="467"/>
      <c r="V90" s="467"/>
      <c r="W90" s="467"/>
      <c r="X90" s="467"/>
    </row>
    <row r="91" spans="2:24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467"/>
      <c r="L91" s="467"/>
      <c r="M91" s="467"/>
      <c r="N91" s="467"/>
      <c r="O91" s="467"/>
      <c r="P91" s="467"/>
      <c r="Q91" s="467"/>
      <c r="R91" s="467"/>
      <c r="S91" s="467"/>
      <c r="T91" s="467"/>
      <c r="U91" s="467"/>
      <c r="V91" s="467"/>
      <c r="W91" s="467"/>
      <c r="X91" s="467"/>
    </row>
    <row r="92" spans="2:24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467"/>
      <c r="L92" s="467"/>
      <c r="M92" s="467"/>
      <c r="N92" s="467"/>
      <c r="O92" s="467"/>
      <c r="P92" s="467"/>
      <c r="Q92" s="467"/>
      <c r="R92" s="467"/>
      <c r="S92" s="467"/>
      <c r="T92" s="467"/>
      <c r="U92" s="467"/>
      <c r="V92" s="467"/>
      <c r="W92" s="467"/>
      <c r="X92" s="467"/>
    </row>
    <row r="93" spans="2:24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467"/>
      <c r="L93" s="467"/>
      <c r="M93" s="467"/>
      <c r="N93" s="467"/>
      <c r="O93" s="467"/>
      <c r="P93" s="467"/>
      <c r="Q93" s="467"/>
      <c r="R93" s="467"/>
      <c r="S93" s="467"/>
      <c r="T93" s="467"/>
      <c r="U93" s="467"/>
      <c r="V93" s="467"/>
      <c r="W93" s="467"/>
      <c r="X93" s="467"/>
    </row>
    <row r="94" spans="2:24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467"/>
      <c r="L94" s="467"/>
      <c r="M94" s="467"/>
      <c r="N94" s="467"/>
      <c r="O94" s="467"/>
      <c r="P94" s="467"/>
      <c r="Q94" s="467"/>
      <c r="R94" s="467"/>
      <c r="S94" s="467"/>
      <c r="T94" s="467"/>
      <c r="U94" s="467"/>
      <c r="V94" s="467"/>
      <c r="W94" s="467"/>
      <c r="X94" s="467"/>
    </row>
    <row r="95" spans="2:24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467"/>
      <c r="L95" s="467"/>
      <c r="M95" s="467"/>
      <c r="N95" s="467"/>
      <c r="O95" s="467"/>
      <c r="P95" s="467"/>
      <c r="Q95" s="467"/>
      <c r="R95" s="467"/>
      <c r="S95" s="467"/>
      <c r="T95" s="467"/>
      <c r="U95" s="467"/>
      <c r="V95" s="467"/>
      <c r="W95" s="467"/>
      <c r="X95" s="467"/>
    </row>
    <row r="96" spans="2:24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467"/>
      <c r="L96" s="467"/>
      <c r="M96" s="467"/>
      <c r="N96" s="467"/>
      <c r="O96" s="467"/>
      <c r="P96" s="467"/>
      <c r="Q96" s="467"/>
      <c r="R96" s="467"/>
      <c r="S96" s="467"/>
      <c r="T96" s="467"/>
      <c r="U96" s="467"/>
      <c r="V96" s="467"/>
      <c r="W96" s="467"/>
      <c r="X96" s="467"/>
    </row>
    <row r="97" spans="2:24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467"/>
      <c r="L97" s="467"/>
      <c r="M97" s="467"/>
      <c r="N97" s="467"/>
      <c r="O97" s="467"/>
      <c r="P97" s="467"/>
      <c r="Q97" s="467"/>
      <c r="R97" s="467"/>
      <c r="S97" s="467"/>
      <c r="T97" s="467"/>
      <c r="U97" s="467"/>
      <c r="V97" s="467"/>
      <c r="W97" s="467"/>
      <c r="X97" s="467"/>
    </row>
    <row r="98" spans="2:24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467"/>
      <c r="L98" s="467"/>
      <c r="M98" s="467"/>
      <c r="N98" s="467"/>
      <c r="O98" s="467"/>
      <c r="P98" s="467"/>
      <c r="Q98" s="467"/>
      <c r="R98" s="467"/>
      <c r="S98" s="467"/>
      <c r="T98" s="467"/>
      <c r="U98" s="467"/>
      <c r="V98" s="467"/>
      <c r="W98" s="467"/>
      <c r="X98" s="467"/>
    </row>
    <row r="99" spans="2:24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467"/>
      <c r="L99" s="467"/>
      <c r="M99" s="467"/>
      <c r="N99" s="467"/>
      <c r="O99" s="467"/>
      <c r="P99" s="467"/>
      <c r="Q99" s="467"/>
      <c r="R99" s="467"/>
      <c r="S99" s="467"/>
      <c r="T99" s="467"/>
      <c r="U99" s="467"/>
      <c r="V99" s="467"/>
      <c r="W99" s="467"/>
      <c r="X99" s="467"/>
    </row>
    <row r="100" spans="2:24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</row>
    <row r="101" spans="2:24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467"/>
      <c r="L101" s="467"/>
      <c r="M101" s="467"/>
      <c r="N101" s="467"/>
      <c r="O101" s="467"/>
      <c r="P101" s="467"/>
      <c r="Q101" s="467"/>
      <c r="R101" s="467"/>
      <c r="S101" s="467"/>
      <c r="T101" s="467"/>
      <c r="U101" s="467"/>
      <c r="V101" s="467"/>
      <c r="W101" s="467"/>
      <c r="X101" s="467"/>
    </row>
    <row r="102" spans="2:24" ht="1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467"/>
      <c r="L102" s="467"/>
      <c r="M102" s="467"/>
      <c r="N102" s="467"/>
      <c r="O102" s="467"/>
      <c r="P102" s="467"/>
      <c r="Q102" s="467"/>
      <c r="R102" s="467"/>
      <c r="S102" s="467"/>
      <c r="T102" s="467"/>
      <c r="U102" s="467"/>
      <c r="V102" s="467"/>
      <c r="W102" s="467"/>
      <c r="X102" s="467"/>
    </row>
    <row r="103" spans="2:24" ht="1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467"/>
      <c r="L103" s="467"/>
      <c r="M103" s="467"/>
      <c r="N103" s="467"/>
      <c r="O103" s="467"/>
      <c r="P103" s="467"/>
      <c r="Q103" s="467"/>
      <c r="R103" s="467"/>
      <c r="S103" s="467"/>
      <c r="T103" s="467"/>
      <c r="U103" s="467"/>
      <c r="V103" s="467"/>
      <c r="W103" s="467"/>
      <c r="X103" s="467"/>
    </row>
    <row r="104" spans="2:24" ht="1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467"/>
      <c r="L104" s="467"/>
      <c r="M104" s="467"/>
      <c r="N104" s="467"/>
      <c r="O104" s="467"/>
      <c r="P104" s="467"/>
      <c r="Q104" s="467"/>
      <c r="R104" s="467"/>
      <c r="S104" s="467"/>
      <c r="T104" s="467"/>
      <c r="U104" s="467"/>
      <c r="V104" s="467"/>
      <c r="W104" s="467"/>
      <c r="X104" s="467"/>
    </row>
    <row r="105" spans="2:24" ht="1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467"/>
      <c r="L105" s="467"/>
      <c r="M105" s="467"/>
      <c r="N105" s="467"/>
      <c r="O105" s="467"/>
      <c r="P105" s="467"/>
      <c r="Q105" s="467"/>
      <c r="R105" s="467"/>
      <c r="S105" s="467"/>
      <c r="T105" s="467"/>
      <c r="U105" s="467"/>
      <c r="V105" s="467"/>
      <c r="W105" s="467"/>
      <c r="X105" s="467"/>
    </row>
    <row r="106" spans="2:24" ht="1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467"/>
      <c r="L106" s="467"/>
      <c r="M106" s="467"/>
      <c r="N106" s="467"/>
      <c r="O106" s="467"/>
      <c r="P106" s="467"/>
      <c r="Q106" s="467"/>
      <c r="R106" s="467"/>
      <c r="S106" s="467"/>
      <c r="T106" s="467"/>
      <c r="U106" s="467"/>
      <c r="V106" s="467"/>
      <c r="W106" s="467"/>
      <c r="X106" s="467"/>
    </row>
    <row r="107" spans="2:24" ht="1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467"/>
      <c r="L107" s="467"/>
      <c r="M107" s="467"/>
      <c r="N107" s="467"/>
      <c r="O107" s="467"/>
      <c r="P107" s="467"/>
      <c r="Q107" s="467"/>
      <c r="R107" s="467"/>
      <c r="S107" s="467"/>
      <c r="T107" s="467"/>
      <c r="U107" s="467"/>
      <c r="V107" s="467"/>
      <c r="W107" s="467"/>
      <c r="X107" s="467"/>
    </row>
    <row r="108" spans="2:24" ht="1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467"/>
      <c r="L108" s="467"/>
      <c r="M108" s="467"/>
      <c r="N108" s="467"/>
      <c r="O108" s="467"/>
      <c r="P108" s="467"/>
      <c r="Q108" s="467"/>
      <c r="R108" s="467"/>
      <c r="S108" s="467"/>
      <c r="T108" s="467"/>
      <c r="U108" s="467"/>
      <c r="V108" s="467"/>
      <c r="W108" s="467"/>
      <c r="X108" s="467"/>
    </row>
    <row r="109" spans="2:24" ht="1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467"/>
      <c r="L109" s="467"/>
      <c r="M109" s="467"/>
      <c r="N109" s="467"/>
      <c r="O109" s="467"/>
      <c r="P109" s="467"/>
      <c r="Q109" s="467"/>
      <c r="R109" s="467"/>
      <c r="S109" s="467"/>
      <c r="T109" s="467"/>
      <c r="U109" s="467"/>
      <c r="V109" s="467"/>
      <c r="W109" s="467"/>
      <c r="X109" s="467"/>
    </row>
    <row r="110" spans="2:24" ht="1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467"/>
      <c r="L110" s="467"/>
      <c r="M110" s="467"/>
      <c r="N110" s="467"/>
      <c r="O110" s="467"/>
      <c r="P110" s="467"/>
      <c r="Q110" s="467"/>
      <c r="R110" s="467"/>
      <c r="S110" s="467"/>
      <c r="T110" s="467"/>
      <c r="U110" s="467"/>
      <c r="V110" s="467"/>
      <c r="W110" s="467"/>
      <c r="X110" s="467"/>
    </row>
    <row r="111" spans="2:24" ht="1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467"/>
      <c r="L111" s="467"/>
      <c r="M111" s="467"/>
      <c r="N111" s="467"/>
      <c r="O111" s="467"/>
      <c r="P111" s="467"/>
      <c r="Q111" s="467"/>
      <c r="R111" s="467"/>
      <c r="S111" s="467"/>
      <c r="T111" s="467"/>
      <c r="U111" s="467"/>
      <c r="V111" s="467"/>
      <c r="W111" s="467"/>
      <c r="X111" s="467"/>
    </row>
    <row r="112" spans="2:24" ht="1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467"/>
      <c r="L112" s="467"/>
      <c r="M112" s="467"/>
      <c r="N112" s="467"/>
      <c r="O112" s="467"/>
      <c r="P112" s="467"/>
      <c r="Q112" s="467"/>
      <c r="R112" s="467"/>
      <c r="S112" s="467"/>
      <c r="T112" s="467"/>
      <c r="U112" s="467"/>
      <c r="V112" s="467"/>
      <c r="W112" s="467"/>
      <c r="X112" s="467"/>
    </row>
    <row r="113" spans="2:24" ht="1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467"/>
      <c r="L113" s="467"/>
      <c r="M113" s="467"/>
      <c r="N113" s="467"/>
      <c r="O113" s="467"/>
      <c r="P113" s="467"/>
      <c r="Q113" s="467"/>
      <c r="R113" s="467"/>
      <c r="S113" s="467"/>
      <c r="T113" s="467"/>
      <c r="U113" s="467"/>
      <c r="V113" s="467"/>
      <c r="W113" s="467"/>
      <c r="X113" s="467"/>
    </row>
    <row r="114" spans="2:24" ht="1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467"/>
      <c r="L114" s="467"/>
      <c r="M114" s="467"/>
      <c r="N114" s="467"/>
      <c r="O114" s="467"/>
      <c r="P114" s="467"/>
      <c r="Q114" s="467"/>
      <c r="R114" s="467"/>
      <c r="S114" s="467"/>
      <c r="T114" s="467"/>
      <c r="U114" s="467"/>
      <c r="V114" s="467"/>
      <c r="W114" s="467"/>
      <c r="X114" s="467"/>
    </row>
    <row r="115" spans="2:24" ht="1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467"/>
      <c r="L115" s="467"/>
      <c r="M115" s="467"/>
      <c r="N115" s="467"/>
      <c r="O115" s="467"/>
      <c r="P115" s="467"/>
      <c r="Q115" s="467"/>
      <c r="R115" s="467"/>
      <c r="S115" s="467"/>
      <c r="T115" s="467"/>
      <c r="U115" s="467"/>
      <c r="V115" s="467"/>
      <c r="W115" s="467"/>
      <c r="X115" s="467"/>
    </row>
    <row r="116" spans="2:24" ht="1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467"/>
      <c r="L116" s="467"/>
      <c r="M116" s="467"/>
      <c r="N116" s="467"/>
      <c r="O116" s="467"/>
      <c r="P116" s="467"/>
      <c r="Q116" s="467"/>
      <c r="R116" s="467"/>
      <c r="S116" s="467"/>
      <c r="T116" s="467"/>
      <c r="U116" s="467"/>
      <c r="V116" s="467"/>
      <c r="W116" s="467"/>
      <c r="X116" s="467"/>
    </row>
    <row r="117" spans="2:24" ht="1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467"/>
      <c r="L117" s="467"/>
      <c r="M117" s="467"/>
      <c r="N117" s="467"/>
      <c r="O117" s="467"/>
      <c r="P117" s="467"/>
      <c r="Q117" s="467"/>
      <c r="R117" s="467"/>
      <c r="S117" s="467"/>
      <c r="T117" s="467"/>
      <c r="U117" s="467"/>
      <c r="V117" s="467"/>
      <c r="W117" s="467"/>
      <c r="X117" s="467"/>
    </row>
    <row r="118" spans="2:24" ht="1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467"/>
      <c r="L118" s="467"/>
      <c r="M118" s="467"/>
      <c r="N118" s="467"/>
      <c r="O118" s="467"/>
      <c r="P118" s="467"/>
      <c r="Q118" s="467"/>
      <c r="R118" s="467"/>
      <c r="S118" s="467"/>
      <c r="T118" s="467"/>
      <c r="U118" s="467"/>
      <c r="V118" s="467"/>
      <c r="W118" s="467"/>
      <c r="X118" s="467"/>
    </row>
    <row r="119" spans="2:24" ht="1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467"/>
      <c r="L119" s="467"/>
      <c r="M119" s="467"/>
      <c r="N119" s="467"/>
      <c r="O119" s="467"/>
      <c r="P119" s="467"/>
      <c r="Q119" s="467"/>
      <c r="R119" s="467"/>
      <c r="S119" s="467"/>
      <c r="T119" s="467"/>
      <c r="U119" s="467"/>
      <c r="V119" s="467"/>
      <c r="W119" s="467"/>
      <c r="X119" s="467"/>
    </row>
    <row r="120" spans="2:24" ht="1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467"/>
      <c r="L120" s="467"/>
      <c r="M120" s="467"/>
      <c r="N120" s="467"/>
      <c r="O120" s="467"/>
      <c r="P120" s="467"/>
      <c r="Q120" s="467"/>
      <c r="R120" s="467"/>
      <c r="S120" s="467"/>
      <c r="T120" s="467"/>
      <c r="U120" s="467"/>
      <c r="V120" s="467"/>
      <c r="W120" s="467"/>
      <c r="X120" s="467"/>
    </row>
    <row r="121" spans="2:24" ht="1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467"/>
      <c r="L121" s="467"/>
      <c r="M121" s="467"/>
      <c r="N121" s="467"/>
      <c r="O121" s="467"/>
      <c r="P121" s="467"/>
      <c r="Q121" s="467"/>
      <c r="R121" s="467"/>
      <c r="S121" s="467"/>
      <c r="T121" s="467"/>
      <c r="U121" s="467"/>
      <c r="V121" s="467"/>
      <c r="W121" s="467"/>
      <c r="X121" s="467"/>
    </row>
    <row r="122" spans="2:24" ht="1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467"/>
      <c r="L122" s="467"/>
      <c r="M122" s="467"/>
      <c r="N122" s="467"/>
      <c r="O122" s="467"/>
      <c r="P122" s="467"/>
      <c r="Q122" s="467"/>
      <c r="R122" s="467"/>
      <c r="S122" s="467"/>
      <c r="T122" s="467"/>
      <c r="U122" s="467"/>
      <c r="V122" s="467"/>
      <c r="W122" s="467"/>
      <c r="X122" s="467"/>
    </row>
    <row r="123" spans="2:24" ht="15" customHeight="1">
      <c r="B123" s="30"/>
      <c r="C123" s="30"/>
      <c r="D123" s="30"/>
      <c r="E123" s="30"/>
      <c r="F123" s="30"/>
      <c r="G123" s="30"/>
      <c r="H123" s="30"/>
      <c r="I123" s="30"/>
      <c r="J123" s="30"/>
      <c r="K123" s="467"/>
      <c r="L123" s="467"/>
      <c r="M123" s="467"/>
      <c r="N123" s="467"/>
      <c r="O123" s="467"/>
      <c r="P123" s="467"/>
      <c r="Q123" s="467"/>
      <c r="R123" s="467"/>
      <c r="S123" s="467"/>
      <c r="T123" s="467"/>
      <c r="U123" s="467"/>
      <c r="V123" s="467"/>
      <c r="W123" s="467"/>
      <c r="X123" s="467"/>
    </row>
    <row r="124" spans="2:24" ht="15" customHeight="1">
      <c r="B124" s="30"/>
      <c r="C124" s="30"/>
      <c r="D124" s="30"/>
      <c r="E124" s="30"/>
      <c r="F124" s="30"/>
      <c r="G124" s="30"/>
      <c r="H124" s="30"/>
      <c r="I124" s="30"/>
      <c r="J124" s="30"/>
      <c r="K124" s="467"/>
      <c r="L124" s="467"/>
      <c r="M124" s="467"/>
      <c r="N124" s="467"/>
      <c r="O124" s="467"/>
      <c r="P124" s="467"/>
      <c r="Q124" s="467"/>
      <c r="R124" s="467"/>
      <c r="S124" s="467"/>
      <c r="T124" s="467"/>
      <c r="U124" s="467"/>
      <c r="V124" s="467"/>
      <c r="W124" s="467"/>
      <c r="X124" s="467"/>
    </row>
    <row r="125" spans="2:24" ht="15" customHeight="1">
      <c r="B125" s="30"/>
      <c r="C125" s="30"/>
      <c r="D125" s="30"/>
      <c r="E125" s="30"/>
      <c r="F125" s="30"/>
      <c r="G125" s="30"/>
      <c r="H125" s="30"/>
      <c r="I125" s="30"/>
      <c r="J125" s="30"/>
      <c r="K125" s="467"/>
      <c r="L125" s="467"/>
      <c r="M125" s="467"/>
      <c r="N125" s="467"/>
      <c r="O125" s="467"/>
      <c r="P125" s="467"/>
      <c r="Q125" s="467"/>
      <c r="R125" s="467"/>
      <c r="S125" s="467"/>
      <c r="T125" s="467"/>
      <c r="U125" s="467"/>
      <c r="V125" s="467"/>
      <c r="W125" s="467"/>
      <c r="X125" s="467"/>
    </row>
    <row r="126" spans="2:24" ht="15" customHeight="1">
      <c r="B126" s="30"/>
      <c r="C126" s="30"/>
      <c r="D126" s="30"/>
      <c r="E126" s="30"/>
      <c r="F126" s="30"/>
      <c r="G126" s="30"/>
      <c r="H126" s="30"/>
      <c r="I126" s="30"/>
      <c r="J126" s="30"/>
      <c r="K126" s="467"/>
      <c r="L126" s="467"/>
      <c r="M126" s="467"/>
      <c r="N126" s="467"/>
      <c r="O126" s="467"/>
      <c r="P126" s="467"/>
      <c r="Q126" s="467"/>
      <c r="R126" s="467"/>
      <c r="S126" s="467"/>
      <c r="T126" s="467"/>
      <c r="U126" s="467"/>
      <c r="V126" s="467"/>
      <c r="W126" s="467"/>
      <c r="X126" s="467"/>
    </row>
    <row r="127" spans="2:24" ht="15" customHeight="1">
      <c r="B127" s="30"/>
      <c r="C127" s="30"/>
      <c r="D127" s="30"/>
      <c r="E127" s="30"/>
      <c r="F127" s="30"/>
      <c r="G127" s="30"/>
      <c r="H127" s="30"/>
      <c r="I127" s="30"/>
      <c r="J127" s="30"/>
      <c r="K127" s="467"/>
      <c r="L127" s="467"/>
      <c r="M127" s="467"/>
      <c r="N127" s="467"/>
      <c r="O127" s="467"/>
      <c r="P127" s="467"/>
      <c r="Q127" s="467"/>
      <c r="R127" s="467"/>
      <c r="S127" s="467"/>
      <c r="T127" s="467"/>
      <c r="U127" s="467"/>
      <c r="V127" s="467"/>
      <c r="W127" s="467"/>
      <c r="X127" s="467"/>
    </row>
    <row r="128" spans="2:24" ht="15" customHeight="1">
      <c r="B128" s="30"/>
      <c r="C128" s="30"/>
      <c r="D128" s="30"/>
      <c r="E128" s="30"/>
      <c r="F128" s="30"/>
      <c r="G128" s="30"/>
      <c r="H128" s="30"/>
      <c r="I128" s="30"/>
      <c r="J128" s="30"/>
      <c r="K128" s="467"/>
      <c r="L128" s="467"/>
      <c r="M128" s="467"/>
      <c r="N128" s="467"/>
      <c r="O128" s="467"/>
      <c r="P128" s="467"/>
      <c r="Q128" s="467"/>
      <c r="R128" s="467"/>
      <c r="S128" s="467"/>
      <c r="T128" s="467"/>
      <c r="U128" s="467"/>
      <c r="V128" s="467"/>
      <c r="W128" s="467"/>
      <c r="X128" s="467"/>
    </row>
    <row r="129" spans="2:24" ht="15" customHeight="1">
      <c r="B129" s="30"/>
      <c r="C129" s="30"/>
      <c r="D129" s="30"/>
      <c r="E129" s="30"/>
      <c r="F129" s="30"/>
      <c r="G129" s="30"/>
      <c r="H129" s="30"/>
      <c r="I129" s="30"/>
      <c r="J129" s="30"/>
      <c r="K129" s="467"/>
      <c r="L129" s="467"/>
      <c r="M129" s="467"/>
      <c r="N129" s="467"/>
      <c r="O129" s="467"/>
      <c r="P129" s="467"/>
      <c r="Q129" s="467"/>
      <c r="R129" s="467"/>
      <c r="S129" s="467"/>
      <c r="T129" s="467"/>
      <c r="U129" s="467"/>
      <c r="V129" s="467"/>
      <c r="W129" s="467"/>
      <c r="X129" s="467"/>
    </row>
    <row r="130" spans="2:24" ht="15" customHeight="1">
      <c r="B130" s="30"/>
      <c r="C130" s="30"/>
      <c r="D130" s="30"/>
      <c r="E130" s="30"/>
      <c r="F130" s="30"/>
      <c r="G130" s="30"/>
      <c r="H130" s="30"/>
      <c r="I130" s="30"/>
      <c r="J130" s="30"/>
      <c r="K130" s="467"/>
      <c r="L130" s="467"/>
      <c r="M130" s="467"/>
      <c r="N130" s="467"/>
      <c r="O130" s="467"/>
      <c r="P130" s="467"/>
      <c r="Q130" s="467"/>
      <c r="R130" s="467"/>
      <c r="S130" s="467"/>
      <c r="T130" s="467"/>
      <c r="U130" s="467"/>
      <c r="V130" s="467"/>
      <c r="W130" s="467"/>
      <c r="X130" s="467"/>
    </row>
    <row r="131" spans="2:24" ht="15" customHeight="1">
      <c r="B131" s="30"/>
      <c r="C131" s="30"/>
      <c r="D131" s="30"/>
      <c r="E131" s="30"/>
      <c r="F131" s="30"/>
      <c r="G131" s="30"/>
      <c r="H131" s="30"/>
      <c r="I131" s="30"/>
      <c r="J131" s="30"/>
      <c r="K131" s="467"/>
      <c r="L131" s="467"/>
      <c r="M131" s="467"/>
      <c r="N131" s="467"/>
      <c r="O131" s="467"/>
      <c r="P131" s="467"/>
      <c r="Q131" s="467"/>
      <c r="R131" s="467"/>
      <c r="S131" s="467"/>
      <c r="T131" s="467"/>
      <c r="U131" s="467"/>
      <c r="V131" s="467"/>
      <c r="W131" s="467"/>
      <c r="X131" s="467"/>
    </row>
    <row r="132" spans="2:24" ht="15" customHeight="1">
      <c r="B132" s="30"/>
      <c r="C132" s="30"/>
      <c r="D132" s="30"/>
      <c r="E132" s="30"/>
      <c r="F132" s="30"/>
      <c r="G132" s="30"/>
      <c r="H132" s="30"/>
      <c r="I132" s="30"/>
      <c r="J132" s="30"/>
      <c r="K132" s="467"/>
      <c r="L132" s="467"/>
      <c r="M132" s="467"/>
      <c r="N132" s="467"/>
      <c r="O132" s="467"/>
      <c r="P132" s="467"/>
      <c r="Q132" s="467"/>
      <c r="R132" s="467"/>
      <c r="S132" s="467"/>
      <c r="T132" s="467"/>
      <c r="U132" s="467"/>
      <c r="V132" s="467"/>
      <c r="W132" s="467"/>
      <c r="X132" s="467"/>
    </row>
    <row r="133" spans="2:24" ht="15" customHeight="1">
      <c r="B133" s="30"/>
      <c r="C133" s="30"/>
      <c r="D133" s="30"/>
      <c r="E133" s="30"/>
      <c r="F133" s="30"/>
      <c r="G133" s="30"/>
      <c r="H133" s="30"/>
      <c r="I133" s="30"/>
      <c r="J133" s="30"/>
      <c r="K133" s="467"/>
      <c r="L133" s="467"/>
      <c r="M133" s="467"/>
      <c r="N133" s="467"/>
      <c r="O133" s="467"/>
      <c r="P133" s="467"/>
      <c r="Q133" s="467"/>
      <c r="R133" s="467"/>
      <c r="S133" s="467"/>
      <c r="T133" s="467"/>
      <c r="U133" s="467"/>
      <c r="V133" s="467"/>
      <c r="W133" s="467"/>
      <c r="X133" s="467"/>
    </row>
    <row r="134" spans="2:24" ht="15" customHeight="1">
      <c r="B134" s="30"/>
      <c r="C134" s="30"/>
      <c r="D134" s="30"/>
      <c r="E134" s="30"/>
      <c r="F134" s="30"/>
      <c r="G134" s="30"/>
      <c r="H134" s="30"/>
      <c r="I134" s="30"/>
      <c r="J134" s="30"/>
      <c r="K134" s="467"/>
      <c r="L134" s="467"/>
      <c r="M134" s="467"/>
      <c r="N134" s="467"/>
      <c r="O134" s="467"/>
      <c r="P134" s="467"/>
      <c r="Q134" s="467"/>
      <c r="R134" s="467"/>
      <c r="S134" s="467"/>
      <c r="T134" s="467"/>
      <c r="U134" s="467"/>
      <c r="V134" s="467"/>
      <c r="W134" s="467"/>
      <c r="X134" s="467"/>
    </row>
    <row r="135" spans="2:24" ht="15" customHeight="1">
      <c r="B135" s="30"/>
      <c r="C135" s="30"/>
      <c r="D135" s="30"/>
      <c r="E135" s="30"/>
      <c r="F135" s="30"/>
      <c r="G135" s="30"/>
      <c r="H135" s="30"/>
      <c r="I135" s="30"/>
      <c r="J135" s="30"/>
      <c r="K135" s="467"/>
      <c r="L135" s="467"/>
      <c r="M135" s="467"/>
      <c r="N135" s="467"/>
      <c r="O135" s="467"/>
      <c r="P135" s="467"/>
      <c r="Q135" s="467"/>
      <c r="R135" s="467"/>
      <c r="S135" s="467"/>
      <c r="T135" s="467"/>
      <c r="U135" s="467"/>
      <c r="V135" s="467"/>
      <c r="W135" s="467"/>
      <c r="X135" s="467"/>
    </row>
    <row r="136" spans="2:24" ht="15" customHeight="1">
      <c r="B136" s="30"/>
      <c r="C136" s="30"/>
      <c r="D136" s="30"/>
      <c r="E136" s="30"/>
      <c r="F136" s="30"/>
      <c r="G136" s="30"/>
      <c r="H136" s="30"/>
      <c r="I136" s="30"/>
      <c r="J136" s="30"/>
      <c r="K136" s="467"/>
      <c r="L136" s="467"/>
      <c r="M136" s="467"/>
      <c r="N136" s="467"/>
      <c r="O136" s="467"/>
      <c r="P136" s="467"/>
      <c r="Q136" s="467"/>
      <c r="R136" s="467"/>
      <c r="S136" s="467"/>
      <c r="T136" s="467"/>
      <c r="U136" s="467"/>
      <c r="V136" s="467"/>
      <c r="W136" s="467"/>
      <c r="X136" s="467"/>
    </row>
    <row r="137" spans="2:24" ht="15" customHeight="1">
      <c r="B137" s="30"/>
      <c r="C137" s="30"/>
      <c r="D137" s="30"/>
      <c r="E137" s="30"/>
      <c r="F137" s="30"/>
      <c r="G137" s="30"/>
      <c r="H137" s="30"/>
      <c r="I137" s="30"/>
      <c r="J137" s="30"/>
      <c r="K137" s="467"/>
      <c r="L137" s="467"/>
      <c r="M137" s="467"/>
      <c r="N137" s="467"/>
      <c r="O137" s="467"/>
      <c r="P137" s="467"/>
      <c r="Q137" s="467"/>
      <c r="R137" s="467"/>
      <c r="S137" s="467"/>
      <c r="T137" s="467"/>
      <c r="U137" s="467"/>
      <c r="V137" s="467"/>
      <c r="W137" s="467"/>
      <c r="X137" s="467"/>
    </row>
    <row r="138" spans="2:24" ht="15" customHeight="1">
      <c r="B138" s="30"/>
      <c r="C138" s="30"/>
      <c r="D138" s="30"/>
      <c r="E138" s="30"/>
      <c r="F138" s="30"/>
      <c r="G138" s="30"/>
      <c r="H138" s="30"/>
      <c r="I138" s="30"/>
      <c r="J138" s="30"/>
      <c r="K138" s="467"/>
      <c r="L138" s="467"/>
      <c r="M138" s="467"/>
      <c r="N138" s="467"/>
      <c r="O138" s="467"/>
      <c r="P138" s="467"/>
      <c r="Q138" s="467"/>
      <c r="R138" s="467"/>
      <c r="S138" s="467"/>
      <c r="T138" s="467"/>
      <c r="U138" s="467"/>
      <c r="V138" s="467"/>
      <c r="W138" s="467"/>
      <c r="X138" s="467"/>
    </row>
    <row r="139" spans="2:24" ht="1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467"/>
      <c r="L139" s="467"/>
      <c r="M139" s="467"/>
      <c r="N139" s="467"/>
      <c r="O139" s="467"/>
      <c r="P139" s="467"/>
      <c r="Q139" s="467"/>
      <c r="R139" s="467"/>
      <c r="S139" s="467"/>
      <c r="T139" s="467"/>
      <c r="U139" s="467"/>
      <c r="V139" s="467"/>
      <c r="W139" s="467"/>
      <c r="X139" s="467"/>
    </row>
    <row r="140" spans="2:24" ht="1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467"/>
      <c r="L140" s="467"/>
      <c r="M140" s="467"/>
      <c r="N140" s="467"/>
      <c r="O140" s="467"/>
      <c r="P140" s="467"/>
      <c r="Q140" s="467"/>
      <c r="R140" s="467"/>
      <c r="S140" s="467"/>
      <c r="T140" s="467"/>
      <c r="U140" s="467"/>
      <c r="V140" s="467"/>
      <c r="W140" s="467"/>
      <c r="X140" s="467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O109"/>
  <sheetViews>
    <sheetView workbookViewId="0"/>
  </sheetViews>
  <sheetFormatPr defaultColWidth="9.140625" defaultRowHeight="15"/>
  <cols>
    <col min="1" max="1" width="9.140625" style="21"/>
    <col min="2" max="2" width="16" style="21" customWidth="1"/>
    <col min="3" max="12" width="8.7109375" style="21" customWidth="1"/>
    <col min="13" max="14" width="11.140625" style="21" customWidth="1"/>
    <col min="15" max="16384" width="9.140625" style="21"/>
  </cols>
  <sheetData>
    <row r="1" spans="1:30" ht="15" customHeight="1">
      <c r="A1" s="7">
        <v>29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1024" t="s">
        <v>24</v>
      </c>
      <c r="N1" s="1025"/>
      <c r="P1" s="1" t="s">
        <v>33</v>
      </c>
      <c r="Q1" s="47" t="str">
        <f>VLOOKUP(A1,'Point Grid'!$L$8:$T$54,9,FALSE)</f>
        <v>Reserving - Chap 16: ALAE</v>
      </c>
      <c r="R1"/>
      <c r="S1"/>
      <c r="T1"/>
      <c r="U1"/>
      <c r="V1"/>
      <c r="W1"/>
      <c r="X1"/>
      <c r="Y1"/>
      <c r="Z1"/>
    </row>
    <row r="2" spans="1:30" ht="15" customHeight="1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3"/>
      <c r="P2" s="1"/>
      <c r="Q2"/>
      <c r="R2"/>
      <c r="S2"/>
      <c r="T2"/>
      <c r="U2"/>
      <c r="V2"/>
      <c r="W2"/>
      <c r="X2"/>
      <c r="Y2"/>
      <c r="Z2"/>
    </row>
    <row r="3" spans="1:30" ht="15" customHeight="1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30"/>
      <c r="P3" s="42" t="s">
        <v>2</v>
      </c>
      <c r="Q3" s="467" t="s">
        <v>869</v>
      </c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</row>
    <row r="4" spans="1:30" ht="15" customHeight="1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30"/>
      <c r="P4" s="42"/>
      <c r="Q4" s="467" t="s">
        <v>870</v>
      </c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</row>
    <row r="5" spans="1:30" ht="1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30"/>
      <c r="P5" s="42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</row>
    <row r="6" spans="1:30" ht="15" customHeight="1">
      <c r="A6" s="25" t="s">
        <v>2</v>
      </c>
      <c r="B6" s="17" t="s">
        <v>868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30"/>
      <c r="P6" s="42"/>
      <c r="Q6" s="467" t="s">
        <v>871</v>
      </c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</row>
    <row r="7" spans="1:30" ht="15" customHeight="1" thickBot="1">
      <c r="A7" s="9">
        <f>INDEX('Point Grid'!$C$8:$I$54,MATCH($A$1,'Point Grid'!$A$8:$A$54,0),MATCH(A6,'Point Grid'!$C$7:$I$7,0))</f>
        <v>0.75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30"/>
      <c r="P7" s="42"/>
      <c r="Q7" s="467" t="s">
        <v>872</v>
      </c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</row>
    <row r="8" spans="1:30" ht="15" customHeight="1" thickBot="1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30"/>
      <c r="P8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</row>
    <row r="9" spans="1:30" ht="15" customHeight="1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30"/>
      <c r="P9" s="42"/>
      <c r="Q9" s="467" t="s">
        <v>873</v>
      </c>
      <c r="R9" s="467"/>
      <c r="S9" s="467"/>
      <c r="T9" s="467"/>
      <c r="U9" s="467"/>
      <c r="V9" s="467"/>
      <c r="W9" s="467"/>
      <c r="X9" s="467"/>
      <c r="Y9" s="467"/>
      <c r="Z9" s="467"/>
      <c r="AA9" s="467"/>
      <c r="AB9" s="467"/>
      <c r="AC9" s="467"/>
      <c r="AD9" s="467"/>
    </row>
    <row r="10" spans="1:30" ht="15" customHeight="1">
      <c r="A10" s="25" t="s">
        <v>3</v>
      </c>
      <c r="B10" s="17" t="s">
        <v>874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30"/>
      <c r="P10" s="42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</row>
    <row r="11" spans="1:30" ht="15" customHeight="1" thickBot="1">
      <c r="A11" s="9">
        <f>INDEX('Point Grid'!$C$8:$I$54,MATCH($A$1,'Point Grid'!$A$8:$A$54,0),MATCH(A10,'Point Grid'!$C$7:$I$7,0))</f>
        <v>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30"/>
      <c r="P11" s="42" t="s">
        <v>3</v>
      </c>
      <c r="Q11" s="476" t="s">
        <v>875</v>
      </c>
      <c r="R11" s="467"/>
      <c r="S11" s="240" t="s">
        <v>215</v>
      </c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</row>
    <row r="12" spans="1:30" ht="15" customHeight="1" thickBot="1">
      <c r="A12" s="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30"/>
      <c r="P12" s="42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</row>
    <row r="13" spans="1:30" ht="15" customHeight="1">
      <c r="A13" s="2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30"/>
      <c r="P13" s="42"/>
      <c r="Q13" s="467" t="s">
        <v>876</v>
      </c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</row>
    <row r="14" spans="1:30" ht="15" customHeight="1">
      <c r="A14" s="25" t="s">
        <v>4</v>
      </c>
      <c r="B14" s="17" t="s">
        <v>885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  <c r="O14" s="30"/>
      <c r="P14" s="42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</row>
    <row r="15" spans="1:30" ht="15" customHeight="1" thickBot="1">
      <c r="A15" s="9">
        <f>INDEX('Point Grid'!$C$8:$I$54,MATCH($A$1,'Point Grid'!$A$8:$A$54,0),MATCH(A14,'Point Grid'!$C$7:$I$7,0))</f>
        <v>0.25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30"/>
      <c r="P15" s="42"/>
      <c r="Q15" s="467" t="s">
        <v>879</v>
      </c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</row>
    <row r="16" spans="1:30" ht="15" customHeight="1" thickBot="1">
      <c r="A16" s="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30"/>
      <c r="P16" s="42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</row>
    <row r="17" spans="1:30" ht="15" customHeight="1">
      <c r="A17" s="2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30"/>
      <c r="P17" s="42"/>
      <c r="Q17" s="467" t="s">
        <v>877</v>
      </c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</row>
    <row r="18" spans="1:30" ht="15" customHeight="1">
      <c r="A18" s="2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30"/>
      <c r="P18" s="42"/>
      <c r="Q18" s="467" t="s">
        <v>878</v>
      </c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</row>
    <row r="19" spans="1:30" ht="15" customHeight="1">
      <c r="A19" s="2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30"/>
      <c r="P19" s="42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</row>
    <row r="20" spans="1:30" ht="15" customHeight="1">
      <c r="A20" s="2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  <c r="O20" s="30"/>
      <c r="P20" s="42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</row>
    <row r="21" spans="1:30" ht="15" customHeight="1">
      <c r="A21" s="2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30"/>
      <c r="P21" s="42"/>
      <c r="Q21" s="476" t="s">
        <v>495</v>
      </c>
      <c r="R21" s="467"/>
      <c r="S21" s="240" t="s">
        <v>215</v>
      </c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</row>
    <row r="22" spans="1:30" ht="15" customHeight="1">
      <c r="A22" s="2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30"/>
      <c r="P22" s="42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</row>
    <row r="23" spans="1:30" ht="15" customHeight="1">
      <c r="A23" s="2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30"/>
      <c r="P23" s="42"/>
      <c r="Q23" s="467" t="s">
        <v>880</v>
      </c>
      <c r="R23" s="467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</row>
    <row r="24" spans="1:30" ht="15" customHeight="1">
      <c r="A24" s="2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30"/>
      <c r="P24" s="42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  <c r="AD24" s="467"/>
    </row>
    <row r="25" spans="1:30" ht="15" customHeight="1">
      <c r="A25" s="2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30"/>
      <c r="P25" s="42"/>
      <c r="Q25" s="467" t="s">
        <v>881</v>
      </c>
      <c r="R25" s="467"/>
      <c r="S25" s="467"/>
      <c r="T25" s="467"/>
      <c r="U25" s="467"/>
      <c r="V25" s="467"/>
      <c r="W25" s="467"/>
      <c r="X25" s="467"/>
      <c r="Y25" s="467"/>
      <c r="Z25" s="467"/>
      <c r="AA25" s="467"/>
      <c r="AB25" s="467"/>
      <c r="AC25" s="467"/>
      <c r="AD25" s="467"/>
    </row>
    <row r="26" spans="1:30" ht="15" customHeight="1" thickBot="1">
      <c r="A26" s="24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30"/>
      <c r="P26" s="42"/>
      <c r="Q26" s="467" t="s">
        <v>882</v>
      </c>
      <c r="R26" s="467"/>
      <c r="S26" s="467"/>
      <c r="T26" s="467"/>
      <c r="U26" s="467"/>
      <c r="V26" s="467"/>
      <c r="W26" s="467"/>
      <c r="X26" s="467"/>
      <c r="Y26" s="467"/>
      <c r="Z26" s="467"/>
      <c r="AA26" s="467"/>
      <c r="AB26" s="467"/>
      <c r="AC26" s="467"/>
      <c r="AD26" s="467"/>
    </row>
    <row r="27" spans="1:30" ht="15" customHeight="1">
      <c r="O27" s="30"/>
      <c r="P27" s="42"/>
      <c r="Q27" s="467"/>
      <c r="R27" s="467"/>
      <c r="S27" s="467"/>
      <c r="T27" s="467"/>
      <c r="U27" s="467"/>
      <c r="V27" s="467"/>
      <c r="W27" s="467"/>
      <c r="X27" s="467"/>
      <c r="Y27" s="467"/>
      <c r="Z27" s="467"/>
      <c r="AA27" s="467"/>
      <c r="AB27" s="467"/>
      <c r="AC27" s="467"/>
      <c r="AD27" s="467"/>
    </row>
    <row r="28" spans="1:30" ht="15" customHeight="1">
      <c r="O28" s="30"/>
      <c r="P28" s="42"/>
      <c r="Q28" s="467" t="s">
        <v>883</v>
      </c>
      <c r="R28" s="467"/>
      <c r="S28" s="467"/>
      <c r="T28" s="467"/>
      <c r="U28" s="467"/>
      <c r="V28" s="467"/>
      <c r="W28" s="467"/>
      <c r="X28" s="467"/>
      <c r="Y28" s="467"/>
      <c r="Z28" s="467"/>
      <c r="AA28" s="467"/>
      <c r="AB28" s="467"/>
      <c r="AC28" s="467"/>
      <c r="AD28" s="467"/>
    </row>
    <row r="29" spans="1:30" ht="15" customHeight="1">
      <c r="O29" s="30"/>
      <c r="P29" s="42"/>
      <c r="Q29" s="467" t="s">
        <v>882</v>
      </c>
      <c r="R29" s="467"/>
      <c r="S29" s="467"/>
      <c r="T29" s="467"/>
      <c r="U29" s="467"/>
      <c r="V29" s="467"/>
      <c r="W29" s="467"/>
      <c r="X29" s="467"/>
      <c r="Y29" s="467"/>
      <c r="Z29" s="467"/>
      <c r="AA29" s="467"/>
      <c r="AB29" s="467"/>
      <c r="AC29" s="467"/>
      <c r="AD29" s="467"/>
    </row>
    <row r="30" spans="1:30" ht="15" customHeight="1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42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</row>
    <row r="31" spans="1:30">
      <c r="O31" s="30"/>
      <c r="P31" s="42"/>
      <c r="Q31" s="467" t="s">
        <v>884</v>
      </c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</row>
    <row r="32" spans="1:30">
      <c r="O32" s="30"/>
      <c r="P32" s="42"/>
      <c r="Q32" s="467" t="s">
        <v>882</v>
      </c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</row>
    <row r="33" spans="15:41">
      <c r="O33" s="30"/>
      <c r="P33" s="42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</row>
    <row r="34" spans="15:41">
      <c r="O34" s="30"/>
      <c r="P34" s="42" t="s">
        <v>4</v>
      </c>
      <c r="Q34" s="467" t="s">
        <v>886</v>
      </c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</row>
    <row r="35" spans="15:41">
      <c r="O35" s="30"/>
      <c r="P35" s="42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</row>
    <row r="36" spans="15:41">
      <c r="O36" s="30"/>
      <c r="P36" s="42"/>
      <c r="Q36" s="467" t="s">
        <v>887</v>
      </c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</row>
    <row r="37" spans="15:41">
      <c r="O37" s="30"/>
      <c r="P37" s="42"/>
      <c r="Q37" s="467" t="s">
        <v>888</v>
      </c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</row>
    <row r="38" spans="15:41" ht="15" customHeight="1">
      <c r="O38" s="30"/>
      <c r="P38"/>
      <c r="Q38" s="467" t="s">
        <v>889</v>
      </c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/>
      <c r="AF38"/>
      <c r="AG38"/>
      <c r="AH38"/>
      <c r="AI38"/>
      <c r="AJ38"/>
      <c r="AK38"/>
      <c r="AL38"/>
      <c r="AM38"/>
      <c r="AN38"/>
      <c r="AO38"/>
    </row>
    <row r="39" spans="15:41" ht="15" customHeight="1">
      <c r="O39" s="30"/>
      <c r="P39"/>
      <c r="Q39" s="467" t="s">
        <v>890</v>
      </c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/>
      <c r="AF39"/>
      <c r="AG39"/>
      <c r="AH39"/>
      <c r="AI39"/>
      <c r="AJ39"/>
      <c r="AK39"/>
      <c r="AL39"/>
      <c r="AM39"/>
      <c r="AN39"/>
      <c r="AO39"/>
    </row>
    <row r="40" spans="15:41" ht="15" customHeight="1">
      <c r="O40" s="30"/>
      <c r="P40"/>
      <c r="Q40" s="467" t="s">
        <v>891</v>
      </c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/>
      <c r="AF40"/>
      <c r="AG40"/>
      <c r="AH40"/>
      <c r="AI40"/>
      <c r="AJ40"/>
      <c r="AK40"/>
      <c r="AL40"/>
      <c r="AM40"/>
      <c r="AN40"/>
      <c r="AO40"/>
    </row>
    <row r="41" spans="15:41" ht="15" customHeight="1">
      <c r="O41" s="30"/>
      <c r="P41" s="42"/>
      <c r="Q41" s="467" t="s">
        <v>892</v>
      </c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/>
      <c r="AF41"/>
      <c r="AG41"/>
      <c r="AH41"/>
      <c r="AI41"/>
      <c r="AJ41"/>
      <c r="AK41"/>
      <c r="AL41"/>
      <c r="AM41"/>
      <c r="AN41"/>
      <c r="AO41"/>
    </row>
    <row r="42" spans="15:41" ht="15" customHeight="1">
      <c r="O42" s="30"/>
      <c r="P42"/>
      <c r="Q42" s="467" t="s">
        <v>893</v>
      </c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/>
      <c r="AF42"/>
      <c r="AG42"/>
      <c r="AH42"/>
      <c r="AI42"/>
      <c r="AJ42"/>
      <c r="AK42"/>
      <c r="AL42"/>
      <c r="AM42"/>
      <c r="AN42"/>
      <c r="AO42"/>
    </row>
    <row r="43" spans="15:41" ht="15" customHeight="1">
      <c r="O43" s="30"/>
      <c r="P43" s="42"/>
      <c r="Q43" s="467" t="s">
        <v>894</v>
      </c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/>
      <c r="AF43"/>
      <c r="AG43"/>
      <c r="AH43"/>
      <c r="AI43"/>
      <c r="AJ43"/>
      <c r="AK43"/>
      <c r="AL43"/>
      <c r="AM43"/>
      <c r="AN43"/>
      <c r="AO43"/>
    </row>
    <row r="44" spans="15:41" ht="15" customHeight="1">
      <c r="O44" s="30"/>
      <c r="P44"/>
      <c r="Q44" s="467" t="s">
        <v>895</v>
      </c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/>
      <c r="AF44"/>
      <c r="AG44"/>
      <c r="AH44"/>
      <c r="AI44"/>
      <c r="AJ44"/>
      <c r="AK44"/>
      <c r="AL44"/>
      <c r="AM44"/>
      <c r="AN44"/>
      <c r="AO44"/>
    </row>
    <row r="45" spans="15:41" ht="15" customHeight="1">
      <c r="O45" s="30"/>
      <c r="P45"/>
      <c r="Q45" s="467" t="s">
        <v>896</v>
      </c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/>
      <c r="AF45"/>
      <c r="AG45"/>
      <c r="AH45"/>
      <c r="AI45"/>
      <c r="AJ45"/>
      <c r="AK45"/>
      <c r="AL45"/>
      <c r="AM45"/>
      <c r="AN45"/>
      <c r="AO45"/>
    </row>
    <row r="46" spans="15:41" ht="15" customHeight="1">
      <c r="O46" s="30"/>
      <c r="P46"/>
      <c r="Q46" s="467" t="s">
        <v>897</v>
      </c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/>
      <c r="AF46"/>
      <c r="AG46"/>
      <c r="AH46"/>
      <c r="AI46"/>
      <c r="AJ46"/>
      <c r="AK46"/>
      <c r="AL46"/>
      <c r="AM46"/>
      <c r="AN46"/>
      <c r="AO46"/>
    </row>
    <row r="47" spans="15:41" ht="15" customHeight="1">
      <c r="O47" s="30"/>
      <c r="P47"/>
      <c r="Q47" s="467" t="s">
        <v>898</v>
      </c>
      <c r="R47" s="467"/>
      <c r="S47" s="467"/>
      <c r="T47" s="467"/>
      <c r="U47" s="467"/>
      <c r="V47" s="467"/>
      <c r="W47" s="467"/>
      <c r="X47" s="467"/>
      <c r="Y47" s="467"/>
      <c r="Z47" s="467"/>
      <c r="AA47" s="467"/>
      <c r="AB47" s="467"/>
      <c r="AC47" s="467"/>
      <c r="AD47" s="467"/>
      <c r="AE47"/>
      <c r="AF47"/>
      <c r="AG47"/>
      <c r="AH47"/>
      <c r="AI47"/>
      <c r="AJ47"/>
      <c r="AK47"/>
      <c r="AL47"/>
      <c r="AM47"/>
      <c r="AN47"/>
      <c r="AO47"/>
    </row>
    <row r="48" spans="15:41" ht="15" customHeight="1">
      <c r="O48" s="30"/>
      <c r="P48"/>
      <c r="Q48" s="467" t="s">
        <v>899</v>
      </c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/>
      <c r="AF48"/>
      <c r="AG48"/>
      <c r="AH48"/>
      <c r="AI48"/>
      <c r="AJ48"/>
      <c r="AK48"/>
      <c r="AL48"/>
      <c r="AM48"/>
      <c r="AN48"/>
      <c r="AO48"/>
    </row>
    <row r="49" spans="2:41" ht="15" customHeight="1">
      <c r="O49" s="30"/>
      <c r="P49"/>
      <c r="Q49" s="467"/>
      <c r="R49" s="467"/>
      <c r="S49" s="467"/>
      <c r="T49" s="467"/>
      <c r="U49" s="467"/>
      <c r="V49" s="467"/>
      <c r="W49" s="467"/>
      <c r="X49" s="467"/>
      <c r="Y49" s="467"/>
      <c r="Z49" s="467"/>
      <c r="AA49" s="467"/>
      <c r="AB49" s="467"/>
      <c r="AC49" s="467"/>
      <c r="AD49" s="467"/>
      <c r="AE49"/>
      <c r="AF49"/>
      <c r="AG49"/>
      <c r="AH49"/>
      <c r="AI49"/>
      <c r="AJ49"/>
      <c r="AK49"/>
      <c r="AL49"/>
      <c r="AM49"/>
      <c r="AN49"/>
      <c r="AO49"/>
    </row>
    <row r="50" spans="2:41" ht="15" customHeight="1">
      <c r="O50" s="30"/>
      <c r="P50"/>
      <c r="Q50" s="467"/>
      <c r="R50" s="467"/>
      <c r="S50" s="467"/>
      <c r="T50" s="467"/>
      <c r="U50" s="467"/>
      <c r="V50" s="467"/>
      <c r="W50" s="467"/>
      <c r="X50" s="467"/>
      <c r="Y50" s="467"/>
      <c r="Z50" s="467"/>
      <c r="AA50" s="467"/>
      <c r="AB50" s="467"/>
      <c r="AC50" s="467"/>
      <c r="AD50" s="467"/>
      <c r="AE50"/>
      <c r="AF50"/>
      <c r="AG50"/>
      <c r="AH50"/>
      <c r="AI50"/>
      <c r="AJ50"/>
      <c r="AK50"/>
      <c r="AL50"/>
      <c r="AM50"/>
      <c r="AN50"/>
      <c r="AO50"/>
    </row>
    <row r="51" spans="2:41" ht="15" customHeight="1">
      <c r="O51" s="30"/>
      <c r="P51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  <c r="AB51" s="467"/>
      <c r="AC51" s="467"/>
      <c r="AD51" s="467"/>
      <c r="AE51"/>
      <c r="AF51"/>
      <c r="AG51"/>
      <c r="AH51"/>
      <c r="AI51"/>
      <c r="AJ51"/>
      <c r="AK51"/>
      <c r="AL51"/>
      <c r="AM51"/>
      <c r="AN51"/>
      <c r="AO51"/>
    </row>
    <row r="52" spans="2:41" ht="15" customHeight="1">
      <c r="O52" s="30"/>
      <c r="P52"/>
      <c r="Q52" s="467"/>
      <c r="R52" s="467"/>
      <c r="S52" s="467"/>
      <c r="T52" s="467"/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/>
      <c r="AF52"/>
      <c r="AG52"/>
      <c r="AH52"/>
      <c r="AI52"/>
      <c r="AJ52"/>
      <c r="AK52"/>
      <c r="AL52"/>
      <c r="AM52"/>
      <c r="AN52"/>
      <c r="AO52"/>
    </row>
    <row r="53" spans="2:41" ht="15" customHeight="1">
      <c r="O53" s="30"/>
      <c r="P53"/>
      <c r="Q53" s="467"/>
      <c r="R53" s="467"/>
      <c r="S53" s="467"/>
      <c r="T53" s="467"/>
      <c r="U53" s="467"/>
      <c r="V53" s="467"/>
      <c r="W53" s="467"/>
      <c r="X53" s="467"/>
      <c r="Y53" s="467"/>
      <c r="Z53" s="467"/>
      <c r="AA53" s="467"/>
      <c r="AB53" s="467"/>
      <c r="AC53" s="467"/>
      <c r="AD53" s="467"/>
      <c r="AE53"/>
      <c r="AF53"/>
      <c r="AG53"/>
      <c r="AH53"/>
      <c r="AI53"/>
      <c r="AJ53"/>
      <c r="AK53"/>
      <c r="AL53"/>
      <c r="AM53"/>
      <c r="AN53"/>
      <c r="AO53"/>
    </row>
    <row r="54" spans="2:41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7"/>
      <c r="AE54"/>
      <c r="AF54"/>
      <c r="AG54"/>
      <c r="AH54"/>
      <c r="AI54"/>
      <c r="AJ54"/>
      <c r="AK54"/>
      <c r="AL54"/>
      <c r="AM54"/>
      <c r="AN54"/>
      <c r="AO54"/>
    </row>
    <row r="55" spans="2:41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/>
      <c r="AF55"/>
      <c r="AG55"/>
      <c r="AH55"/>
      <c r="AI55"/>
      <c r="AJ55"/>
      <c r="AK55"/>
      <c r="AL55"/>
      <c r="AM55"/>
      <c r="AN55"/>
      <c r="AO55"/>
    </row>
    <row r="56" spans="2:41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2:41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2:41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2:41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2:41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2:41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2:41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2:41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2:41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2:41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2:41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2:41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2:41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2:41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2:41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2:41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2:41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2:41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2:41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2:41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2:41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2:41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2:41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2:41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2:41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2:41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2:41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2:41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2:41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2:41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2:41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2:41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2:41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2:41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2:41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2:41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2:41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2:41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2:41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2:41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2:41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2:41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2:41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2:41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2:41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2:41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2:41" ht="1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2:41" ht="1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2:41" ht="1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2:41" ht="1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2:41" ht="1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2:41" ht="1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2:41" ht="1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2:41" ht="1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</sheetData>
  <mergeCells count="1">
    <mergeCell ref="M1:N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M1" location="'Point Grid'!A8" display="Return to Point Grid"/>
    <hyperlink ref="M1:N1" location="'Point Grid'!A1" display="Return to Point Grid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D101"/>
  <sheetViews>
    <sheetView workbookViewId="0"/>
  </sheetViews>
  <sheetFormatPr defaultColWidth="9.140625" defaultRowHeight="15"/>
  <cols>
    <col min="1" max="1" width="9.140625" style="21"/>
    <col min="2" max="2" width="16" style="21" bestFit="1" customWidth="1"/>
    <col min="3" max="8" width="8.7109375" style="21" customWidth="1"/>
    <col min="9" max="10" width="10.7109375" style="21" customWidth="1"/>
    <col min="11" max="11" width="8.7109375" style="21" customWidth="1"/>
    <col min="12" max="13" width="11.140625" style="21" customWidth="1"/>
    <col min="14" max="25" width="9.140625" style="21"/>
    <col min="26" max="26" width="10.7109375" style="21" customWidth="1"/>
    <col min="27" max="16384" width="9.140625" style="21"/>
  </cols>
  <sheetData>
    <row r="1" spans="1:30">
      <c r="A1" s="7">
        <v>30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1024" t="s">
        <v>24</v>
      </c>
      <c r="M1" s="1040"/>
      <c r="O1" s="1" t="s">
        <v>33</v>
      </c>
      <c r="P1" s="47" t="str">
        <f>VLOOKUP(A1,'Point Grid'!$L$8:$T$54,9,FALSE)</f>
        <v>Reserving - Chap 17: ULAE</v>
      </c>
      <c r="Q1"/>
      <c r="R1"/>
      <c r="S1"/>
      <c r="T1"/>
      <c r="U1"/>
      <c r="V1"/>
      <c r="W1"/>
      <c r="X1"/>
      <c r="Y1"/>
    </row>
    <row r="2" spans="1:30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1"/>
      <c r="P2"/>
      <c r="Q2"/>
      <c r="R2"/>
      <c r="S2"/>
      <c r="T2"/>
      <c r="U2"/>
      <c r="V2"/>
      <c r="W2"/>
      <c r="X2"/>
      <c r="Y2"/>
    </row>
    <row r="3" spans="1:30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 s="42" t="s">
        <v>2</v>
      </c>
      <c r="P3" s="476" t="s">
        <v>902</v>
      </c>
      <c r="Q3"/>
      <c r="R3"/>
      <c r="S3"/>
      <c r="T3"/>
      <c r="U3"/>
      <c r="V3"/>
      <c r="W3"/>
      <c r="X3"/>
      <c r="Y3"/>
    </row>
    <row r="4" spans="1:30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0"/>
      <c r="O4" s="42"/>
      <c r="P4" t="s">
        <v>903</v>
      </c>
      <c r="Q4"/>
      <c r="R4"/>
      <c r="S4"/>
      <c r="T4"/>
      <c r="U4"/>
      <c r="V4"/>
      <c r="W4"/>
      <c r="X4"/>
      <c r="Y4"/>
    </row>
    <row r="5" spans="1:30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0"/>
      <c r="O5" s="42"/>
      <c r="P5"/>
      <c r="Q5"/>
      <c r="R5"/>
      <c r="S5"/>
      <c r="T5"/>
      <c r="U5"/>
      <c r="V5"/>
      <c r="W5"/>
      <c r="X5"/>
      <c r="Y5"/>
    </row>
    <row r="6" spans="1:30">
      <c r="A6" s="25" t="s">
        <v>2</v>
      </c>
      <c r="B6" s="17" t="s">
        <v>900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30"/>
      <c r="O6" s="42"/>
      <c r="P6" s="476" t="s">
        <v>904</v>
      </c>
      <c r="Q6"/>
      <c r="R6"/>
      <c r="S6"/>
      <c r="T6"/>
      <c r="U6"/>
      <c r="V6"/>
      <c r="W6"/>
      <c r="X6"/>
      <c r="Y6"/>
    </row>
    <row r="7" spans="1:30" ht="15.75" thickBot="1">
      <c r="A7" s="9">
        <f>INDEX('Point Grid'!$C$8:$I$54,MATCH($A$1,'Point Grid'!$A$8:$A$54,0),MATCH(A6,'Point Grid'!$C$7:$I$7,0))</f>
        <v>0.75</v>
      </c>
      <c r="B7" s="17" t="s">
        <v>901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30"/>
      <c r="O7" s="42"/>
      <c r="P7" s="35" t="s">
        <v>906</v>
      </c>
      <c r="Q7"/>
      <c r="R7"/>
      <c r="S7"/>
      <c r="T7"/>
      <c r="U7"/>
      <c r="V7"/>
      <c r="W7"/>
      <c r="X7"/>
      <c r="Y7"/>
    </row>
    <row r="8" spans="1:30" ht="15.75" thickBot="1">
      <c r="A8" s="5"/>
      <c r="B8" s="17"/>
      <c r="C8" s="27"/>
      <c r="D8" s="27"/>
      <c r="E8" s="27"/>
      <c r="F8" s="27"/>
      <c r="G8" s="27"/>
      <c r="H8" s="27"/>
      <c r="I8" s="27"/>
      <c r="J8" s="27"/>
      <c r="K8" s="27"/>
      <c r="L8" s="27"/>
      <c r="M8" s="18"/>
      <c r="N8" s="30"/>
      <c r="O8"/>
      <c r="P8" s="478" t="s">
        <v>905</v>
      </c>
      <c r="Q8"/>
      <c r="R8"/>
      <c r="S8"/>
      <c r="T8"/>
      <c r="U8"/>
      <c r="V8"/>
      <c r="W8"/>
      <c r="X8"/>
      <c r="Y8"/>
    </row>
    <row r="9" spans="1:30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30"/>
      <c r="O9" s="42"/>
      <c r="P9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467"/>
      <c r="AB9" s="467"/>
      <c r="AC9" s="467"/>
      <c r="AD9" s="467"/>
    </row>
    <row r="10" spans="1:30">
      <c r="A10" s="25" t="s">
        <v>3</v>
      </c>
      <c r="B10" s="60" t="s">
        <v>243</v>
      </c>
      <c r="C10" s="874" t="s">
        <v>334</v>
      </c>
      <c r="D10" s="875"/>
      <c r="E10" s="366" t="s">
        <v>244</v>
      </c>
      <c r="F10" s="366"/>
      <c r="G10" s="366"/>
      <c r="H10" s="367" t="s">
        <v>194</v>
      </c>
      <c r="I10" s="367" t="s">
        <v>250</v>
      </c>
      <c r="J10" s="366" t="s">
        <v>907</v>
      </c>
      <c r="K10" s="674">
        <v>2025</v>
      </c>
      <c r="L10" s="151" t="s">
        <v>908</v>
      </c>
      <c r="M10" s="18"/>
      <c r="N10" s="30"/>
      <c r="O10" s="42" t="s">
        <v>3</v>
      </c>
      <c r="P10" s="128" t="s">
        <v>242</v>
      </c>
      <c r="Q10" s="478" t="s">
        <v>914</v>
      </c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67"/>
      <c r="AC10" s="467"/>
      <c r="AD10" s="467"/>
    </row>
    <row r="11" spans="1:30" ht="15.75" thickBot="1">
      <c r="A11" s="9">
        <f>INDEX('Point Grid'!$C$8:$I$54,MATCH($A$1,'Point Grid'!$A$8:$A$54,0),MATCH(A10,'Point Grid'!$C$7:$I$7,0))</f>
        <v>1.75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51"/>
      <c r="M11" s="18"/>
      <c r="N11" s="30"/>
      <c r="O11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8"/>
      <c r="AB11" s="467"/>
      <c r="AC11" s="467"/>
      <c r="AD11" s="467"/>
    </row>
    <row r="12" spans="1:30" ht="15.75" thickBot="1">
      <c r="A12" s="5"/>
      <c r="B12" s="118"/>
      <c r="C12" s="876">
        <v>0.75</v>
      </c>
      <c r="D12" s="116"/>
      <c r="E12" s="115" t="s">
        <v>909</v>
      </c>
      <c r="F12" s="115"/>
      <c r="G12" s="115"/>
      <c r="H12" s="116"/>
      <c r="I12" s="118"/>
      <c r="J12" s="118"/>
      <c r="K12" s="118"/>
      <c r="L12" s="151"/>
      <c r="M12" s="18"/>
      <c r="P12" s="425"/>
      <c r="Q12" s="142"/>
      <c r="R12" s="371" t="s">
        <v>195</v>
      </c>
      <c r="S12" s="143" t="s">
        <v>915</v>
      </c>
      <c r="T12" s="372" t="s">
        <v>250</v>
      </c>
      <c r="U12" s="425"/>
      <c r="V12" s="425"/>
      <c r="W12" s="425"/>
      <c r="X12" s="425"/>
      <c r="Y12" s="425"/>
      <c r="Z12" s="425"/>
      <c r="AA12" s="425"/>
      <c r="AB12" s="467"/>
      <c r="AC12" s="467"/>
      <c r="AD12" s="467"/>
    </row>
    <row r="13" spans="1:30">
      <c r="A13" s="25"/>
      <c r="B13" s="118"/>
      <c r="C13" s="124" t="s">
        <v>910</v>
      </c>
      <c r="D13" s="126"/>
      <c r="E13" s="125" t="s">
        <v>335</v>
      </c>
      <c r="F13" s="125"/>
      <c r="G13" s="125"/>
      <c r="H13" s="126"/>
      <c r="I13" s="118"/>
      <c r="J13" s="151"/>
      <c r="K13" s="151"/>
      <c r="L13" s="151"/>
      <c r="M13" s="18"/>
      <c r="P13" s="425"/>
      <c r="Q13" s="97" t="s">
        <v>166</v>
      </c>
      <c r="R13" s="373" t="s">
        <v>250</v>
      </c>
      <c r="S13" s="144" t="s">
        <v>916</v>
      </c>
      <c r="T13" s="374" t="s">
        <v>89</v>
      </c>
      <c r="U13" s="425"/>
      <c r="V13" s="425"/>
      <c r="W13" s="425"/>
      <c r="X13" s="425"/>
      <c r="Y13" s="425"/>
      <c r="Z13" s="425"/>
      <c r="AA13" s="425"/>
      <c r="AB13" s="467"/>
      <c r="AC13" s="467"/>
      <c r="AD13" s="467"/>
    </row>
    <row r="14" spans="1:30">
      <c r="A14" s="25"/>
      <c r="B14" s="118"/>
      <c r="C14" s="118"/>
      <c r="D14" s="118"/>
      <c r="E14" s="118"/>
      <c r="F14" s="118"/>
      <c r="G14" s="118"/>
      <c r="H14" s="118"/>
      <c r="I14" s="118"/>
      <c r="J14" s="151"/>
      <c r="K14" s="151"/>
      <c r="L14" s="151"/>
      <c r="M14" s="18"/>
      <c r="P14" s="425"/>
      <c r="Q14" s="145">
        <f>C17</f>
        <v>2022</v>
      </c>
      <c r="R14" s="375">
        <f>F17</f>
        <v>1126</v>
      </c>
      <c r="S14" s="179">
        <f>ROUND(AVERAGE(D17,E17),0)</f>
        <v>18029</v>
      </c>
      <c r="T14" s="376">
        <f>ROUND(R14/S14,3)</f>
        <v>6.2E-2</v>
      </c>
      <c r="U14" s="425"/>
      <c r="V14" s="425"/>
      <c r="W14" s="377" t="s">
        <v>252</v>
      </c>
      <c r="X14" s="106"/>
      <c r="Y14" s="106"/>
      <c r="Z14" s="107"/>
      <c r="AA14" s="425"/>
      <c r="AB14" s="467"/>
      <c r="AC14" s="467"/>
      <c r="AD14" s="467"/>
    </row>
    <row r="15" spans="1:30">
      <c r="A15" s="25"/>
      <c r="B15" s="150"/>
      <c r="C15" s="152"/>
      <c r="D15" s="153" t="s">
        <v>195</v>
      </c>
      <c r="E15" s="153" t="s">
        <v>251</v>
      </c>
      <c r="F15" s="154" t="s">
        <v>195</v>
      </c>
      <c r="G15" s="118"/>
      <c r="H15" s="152" t="s">
        <v>300</v>
      </c>
      <c r="I15" s="153" t="s">
        <v>911</v>
      </c>
      <c r="J15" s="153" t="s">
        <v>195</v>
      </c>
      <c r="K15" s="872" t="s">
        <v>84</v>
      </c>
      <c r="L15" s="117" t="s">
        <v>912</v>
      </c>
      <c r="M15" s="18"/>
      <c r="P15" s="425"/>
      <c r="Q15" s="145">
        <f>Q14+1</f>
        <v>2023</v>
      </c>
      <c r="R15" s="375">
        <f>F18</f>
        <v>1351</v>
      </c>
      <c r="S15" s="179">
        <f>ROUND(AVERAGE(D18,E18),0)</f>
        <v>15850</v>
      </c>
      <c r="T15" s="376">
        <f>ROUND(R15/S15,3)</f>
        <v>8.5000000000000006E-2</v>
      </c>
      <c r="U15" s="425"/>
      <c r="V15" s="425"/>
      <c r="W15" s="108" t="s">
        <v>253</v>
      </c>
      <c r="X15" s="109"/>
      <c r="Y15" s="109"/>
      <c r="Z15" s="437"/>
      <c r="AA15" s="425"/>
      <c r="AB15" s="467"/>
      <c r="AC15" s="467"/>
      <c r="AD15" s="467"/>
    </row>
    <row r="16" spans="1:30">
      <c r="A16" s="25"/>
      <c r="B16" s="150"/>
      <c r="C16" s="155" t="s">
        <v>166</v>
      </c>
      <c r="D16" s="156" t="s">
        <v>85</v>
      </c>
      <c r="E16" s="156" t="s">
        <v>85</v>
      </c>
      <c r="F16" s="157" t="s">
        <v>250</v>
      </c>
      <c r="G16" s="118"/>
      <c r="H16" s="155" t="s">
        <v>302</v>
      </c>
      <c r="I16" s="156" t="s">
        <v>139</v>
      </c>
      <c r="J16" s="156" t="s">
        <v>85</v>
      </c>
      <c r="K16" s="156" t="s">
        <v>85</v>
      </c>
      <c r="L16" s="136" t="s">
        <v>913</v>
      </c>
      <c r="M16" s="18"/>
      <c r="P16" s="425"/>
      <c r="Q16" s="145">
        <f>Q15+1</f>
        <v>2024</v>
      </c>
      <c r="R16" s="375">
        <f>F19</f>
        <v>1351</v>
      </c>
      <c r="S16" s="179">
        <f>ROUND(AVERAGE(D19,E19),0)</f>
        <v>16950</v>
      </c>
      <c r="T16" s="376">
        <f>ROUND(R16/S16,3)</f>
        <v>0.08</v>
      </c>
      <c r="U16" s="425"/>
      <c r="V16" s="425"/>
      <c r="W16" s="111" t="s">
        <v>254</v>
      </c>
      <c r="X16" s="438"/>
      <c r="Y16" s="438"/>
      <c r="Z16" s="113"/>
      <c r="AA16" s="425"/>
      <c r="AB16" s="467"/>
      <c r="AC16" s="467"/>
      <c r="AD16" s="467"/>
    </row>
    <row r="17" spans="1:30">
      <c r="A17" s="25"/>
      <c r="B17" s="150"/>
      <c r="C17" s="159">
        <v>2022</v>
      </c>
      <c r="D17" s="120">
        <v>11258</v>
      </c>
      <c r="E17" s="120">
        <v>24800</v>
      </c>
      <c r="F17" s="121">
        <v>1126</v>
      </c>
      <c r="G17" s="118"/>
      <c r="H17" s="159">
        <v>2022</v>
      </c>
      <c r="I17" s="120">
        <v>43200</v>
      </c>
      <c r="J17" s="120">
        <v>14100</v>
      </c>
      <c r="K17" s="671">
        <v>17700</v>
      </c>
      <c r="L17" s="873">
        <v>0.14000000000000001</v>
      </c>
      <c r="M17" s="18"/>
      <c r="P17" s="425"/>
      <c r="Q17" s="146">
        <f>Q16+1</f>
        <v>2025</v>
      </c>
      <c r="R17" s="373">
        <f>F20</f>
        <v>1126</v>
      </c>
      <c r="S17" s="144">
        <f>ROUND(AVERAGE(D20,E20),0)</f>
        <v>17700</v>
      </c>
      <c r="T17" s="378">
        <f>ROUND(R17/S17,3)</f>
        <v>6.4000000000000001E-2</v>
      </c>
      <c r="U17" s="425"/>
      <c r="V17" s="425"/>
      <c r="W17" s="425"/>
      <c r="X17" s="425"/>
      <c r="Y17" s="425"/>
      <c r="Z17" s="425"/>
      <c r="AA17" s="425"/>
      <c r="AB17" s="467"/>
      <c r="AC17" s="467"/>
      <c r="AD17" s="467"/>
    </row>
    <row r="18" spans="1:30" ht="15" customHeight="1">
      <c r="A18" s="25"/>
      <c r="B18" s="150"/>
      <c r="C18" s="159">
        <v>2023</v>
      </c>
      <c r="D18" s="120">
        <v>11300</v>
      </c>
      <c r="E18" s="120">
        <v>20400</v>
      </c>
      <c r="F18" s="121">
        <v>1351</v>
      </c>
      <c r="G18" s="118"/>
      <c r="H18" s="159">
        <v>2023</v>
      </c>
      <c r="I18" s="120">
        <v>46300</v>
      </c>
      <c r="J18" s="120">
        <v>8300</v>
      </c>
      <c r="K18" s="671">
        <v>14200</v>
      </c>
      <c r="L18" s="873">
        <v>0.252</v>
      </c>
      <c r="M18" s="18"/>
      <c r="P18" s="425"/>
      <c r="Q18" s="425"/>
      <c r="R18" s="425"/>
      <c r="S18" s="425"/>
      <c r="T18" s="865">
        <f>ROUND(AVERAGE(T14:T17),3)</f>
        <v>7.2999999999999995E-2</v>
      </c>
      <c r="U18" s="425" t="s">
        <v>255</v>
      </c>
      <c r="V18" s="425"/>
      <c r="W18" s="425"/>
      <c r="X18" s="425"/>
      <c r="Y18" s="425"/>
      <c r="Z18" s="425"/>
      <c r="AA18" s="425"/>
      <c r="AB18" s="467"/>
      <c r="AC18" s="467"/>
      <c r="AD18" s="467"/>
    </row>
    <row r="19" spans="1:30" ht="15" customHeight="1">
      <c r="A19" s="25"/>
      <c r="B19" s="150"/>
      <c r="C19" s="159">
        <v>2024</v>
      </c>
      <c r="D19" s="120">
        <v>10800</v>
      </c>
      <c r="E19" s="120">
        <v>23100</v>
      </c>
      <c r="F19" s="121">
        <v>1351</v>
      </c>
      <c r="G19" s="118"/>
      <c r="H19" s="159">
        <v>2024</v>
      </c>
      <c r="I19" s="120">
        <v>45500</v>
      </c>
      <c r="J19" s="120">
        <v>4200</v>
      </c>
      <c r="K19" s="671">
        <v>12500</v>
      </c>
      <c r="L19" s="873">
        <v>0.55400000000000005</v>
      </c>
      <c r="M19" s="18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67"/>
      <c r="AC19" s="467"/>
      <c r="AD19" s="467"/>
    </row>
    <row r="20" spans="1:30" ht="15" customHeight="1">
      <c r="A20" s="25"/>
      <c r="B20" s="150"/>
      <c r="C20" s="161">
        <v>2025</v>
      </c>
      <c r="D20" s="125">
        <v>11800</v>
      </c>
      <c r="E20" s="125">
        <v>23600</v>
      </c>
      <c r="F20" s="126">
        <v>1126</v>
      </c>
      <c r="G20" s="118"/>
      <c r="H20" s="161">
        <v>2025</v>
      </c>
      <c r="I20" s="125">
        <v>42800</v>
      </c>
      <c r="J20" s="125">
        <v>2100</v>
      </c>
      <c r="K20" s="125">
        <v>10500</v>
      </c>
      <c r="L20" s="169">
        <v>0.77700000000000002</v>
      </c>
      <c r="M20" s="18"/>
      <c r="P20" s="210" t="s">
        <v>158</v>
      </c>
      <c r="Q20" s="425" t="s">
        <v>917</v>
      </c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67"/>
      <c r="AC20" s="467"/>
      <c r="AD20" s="467"/>
    </row>
    <row r="21" spans="1:30" ht="15" customHeight="1">
      <c r="A21" s="25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8"/>
      <c r="P21" s="425"/>
      <c r="Q21" s="148" t="s">
        <v>918</v>
      </c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67"/>
      <c r="AC21" s="467"/>
      <c r="AD21" s="467"/>
    </row>
    <row r="22" spans="1:30" ht="15" customHeight="1">
      <c r="A22" s="25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8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67"/>
      <c r="AC22" s="467"/>
      <c r="AD22" s="467"/>
    </row>
    <row r="23" spans="1:30" ht="15" customHeight="1">
      <c r="A23" s="25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8"/>
      <c r="P23" s="425"/>
      <c r="Q23" s="98" t="s">
        <v>83</v>
      </c>
      <c r="R23" s="98" t="s">
        <v>183</v>
      </c>
      <c r="S23" s="98" t="s">
        <v>34</v>
      </c>
      <c r="T23" s="98" t="s">
        <v>84</v>
      </c>
      <c r="U23" s="98" t="s">
        <v>35</v>
      </c>
      <c r="V23" s="98" t="s">
        <v>919</v>
      </c>
      <c r="W23" s="98" t="s">
        <v>148</v>
      </c>
      <c r="X23" s="98" t="s">
        <v>187</v>
      </c>
      <c r="Y23" s="98" t="s">
        <v>148</v>
      </c>
      <c r="Z23" s="98" t="s">
        <v>188</v>
      </c>
      <c r="AA23" s="425"/>
      <c r="AB23" s="467"/>
      <c r="AC23" s="467"/>
      <c r="AD23" s="467"/>
    </row>
    <row r="24" spans="1:30" ht="15" customHeight="1">
      <c r="A24" s="25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8"/>
      <c r="P24" s="425"/>
      <c r="Q24" s="176">
        <f>C17</f>
        <v>2022</v>
      </c>
      <c r="R24" s="480">
        <f>T24+V24*X24*Z24</f>
        <v>22236</v>
      </c>
      <c r="S24" s="480" t="s">
        <v>34</v>
      </c>
      <c r="T24" s="480">
        <f>K17</f>
        <v>17700</v>
      </c>
      <c r="U24" s="480" t="s">
        <v>35</v>
      </c>
      <c r="V24" s="355">
        <f>L17</f>
        <v>0.14000000000000001</v>
      </c>
      <c r="W24" s="480" t="s">
        <v>148</v>
      </c>
      <c r="X24" s="431">
        <f>C12</f>
        <v>0.75</v>
      </c>
      <c r="Y24" s="480" t="s">
        <v>148</v>
      </c>
      <c r="Z24" s="480">
        <f>I17</f>
        <v>43200</v>
      </c>
      <c r="AA24" s="425"/>
      <c r="AB24" s="467"/>
      <c r="AC24" s="467"/>
      <c r="AD24" s="467"/>
    </row>
    <row r="25" spans="1:30" ht="15" customHeight="1">
      <c r="A25" s="2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P25" s="425"/>
      <c r="Q25" s="176">
        <f>Q24+1</f>
        <v>2023</v>
      </c>
      <c r="R25" s="480">
        <f>T25+V25*X25*Z25</f>
        <v>22950.7</v>
      </c>
      <c r="S25" s="480" t="s">
        <v>34</v>
      </c>
      <c r="T25" s="480">
        <f>K18</f>
        <v>14200</v>
      </c>
      <c r="U25" s="480" t="s">
        <v>35</v>
      </c>
      <c r="V25" s="355">
        <f>L18</f>
        <v>0.252</v>
      </c>
      <c r="W25" s="480" t="s">
        <v>148</v>
      </c>
      <c r="X25" s="431">
        <f>C12</f>
        <v>0.75</v>
      </c>
      <c r="Y25" s="480" t="s">
        <v>148</v>
      </c>
      <c r="Z25" s="480">
        <f>I18</f>
        <v>46300</v>
      </c>
      <c r="AA25" s="425"/>
      <c r="AB25" s="467"/>
      <c r="AC25" s="467"/>
      <c r="AD25" s="467"/>
    </row>
    <row r="26" spans="1:30" ht="15" customHeight="1">
      <c r="A26" s="2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P26" s="425"/>
      <c r="Q26" s="176">
        <f>Q25+1</f>
        <v>2024</v>
      </c>
      <c r="R26" s="480">
        <f>T26+V26*X26*Z26</f>
        <v>31405.25</v>
      </c>
      <c r="S26" s="480" t="s">
        <v>34</v>
      </c>
      <c r="T26" s="480">
        <f>K19</f>
        <v>12500</v>
      </c>
      <c r="U26" s="480" t="s">
        <v>35</v>
      </c>
      <c r="V26" s="355">
        <f>L19</f>
        <v>0.55400000000000005</v>
      </c>
      <c r="W26" s="480" t="s">
        <v>148</v>
      </c>
      <c r="X26" s="431">
        <f>C12</f>
        <v>0.75</v>
      </c>
      <c r="Y26" s="480" t="s">
        <v>148</v>
      </c>
      <c r="Z26" s="480">
        <f>I19</f>
        <v>45500</v>
      </c>
      <c r="AA26" s="425"/>
      <c r="AB26" s="467"/>
      <c r="AC26" s="467"/>
      <c r="AD26" s="467"/>
    </row>
    <row r="27" spans="1:30" ht="15" customHeight="1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P27" s="425"/>
      <c r="Q27" s="176">
        <f>Q26+1</f>
        <v>2025</v>
      </c>
      <c r="R27" s="480">
        <f>T27+V27*X27*Z27</f>
        <v>35441.699999999997</v>
      </c>
      <c r="S27" s="480" t="s">
        <v>34</v>
      </c>
      <c r="T27" s="480">
        <f>K20</f>
        <v>10500</v>
      </c>
      <c r="U27" s="480" t="s">
        <v>35</v>
      </c>
      <c r="V27" s="355">
        <f>L20</f>
        <v>0.77700000000000002</v>
      </c>
      <c r="W27" s="480" t="s">
        <v>148</v>
      </c>
      <c r="X27" s="431">
        <f>C12</f>
        <v>0.75</v>
      </c>
      <c r="Y27" s="480" t="s">
        <v>148</v>
      </c>
      <c r="Z27" s="480">
        <f>I20</f>
        <v>42800</v>
      </c>
      <c r="AA27" s="425"/>
      <c r="AB27" s="467"/>
      <c r="AC27" s="467"/>
      <c r="AD27" s="467"/>
    </row>
    <row r="28" spans="1:30" ht="15" customHeight="1">
      <c r="A28" s="2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  <c r="P28" s="425"/>
      <c r="Q28" s="106"/>
      <c r="R28" s="184">
        <f>SUM(R24:R27)</f>
        <v>112033.65</v>
      </c>
      <c r="S28" s="106"/>
      <c r="T28" s="184">
        <f>SUM(T24:T27)</f>
        <v>54900</v>
      </c>
      <c r="U28" s="106"/>
      <c r="V28" s="106"/>
      <c r="W28" s="106"/>
      <c r="X28" s="106"/>
      <c r="Y28" s="106"/>
      <c r="Z28" s="106"/>
      <c r="AA28" s="425"/>
      <c r="AB28" s="467"/>
      <c r="AC28" s="467"/>
      <c r="AD28" s="467"/>
    </row>
    <row r="29" spans="1:30" ht="15" customHeight="1">
      <c r="A29" s="25"/>
      <c r="B29" s="1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18"/>
      <c r="P29" s="425"/>
      <c r="Q29" s="425"/>
      <c r="R29" s="425"/>
      <c r="S29" s="425"/>
      <c r="T29" s="425"/>
      <c r="U29" s="425"/>
      <c r="V29" s="425"/>
      <c r="W29" s="425"/>
      <c r="X29" s="425"/>
      <c r="Y29" s="425"/>
      <c r="Z29" s="425"/>
      <c r="AA29" s="425"/>
      <c r="AB29" s="467"/>
      <c r="AC29" s="467"/>
      <c r="AD29" s="467"/>
    </row>
    <row r="30" spans="1:30" ht="15" customHeight="1" thickBot="1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P30" s="182" t="s">
        <v>191</v>
      </c>
      <c r="Q30" s="425" t="s">
        <v>920</v>
      </c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67"/>
      <c r="AC30" s="467"/>
      <c r="AD30" s="467"/>
    </row>
    <row r="31" spans="1:30" ht="15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67"/>
      <c r="AC31" s="467"/>
      <c r="AD31" s="467"/>
    </row>
    <row r="32" spans="1:30" ht="15" customHeight="1">
      <c r="P32" s="425"/>
      <c r="Q32" s="425" t="s">
        <v>637</v>
      </c>
      <c r="R32" s="480" t="s">
        <v>34</v>
      </c>
      <c r="S32" s="480" t="s">
        <v>84</v>
      </c>
      <c r="T32" s="480" t="s">
        <v>104</v>
      </c>
      <c r="U32" s="480" t="s">
        <v>195</v>
      </c>
      <c r="V32" s="480" t="s">
        <v>34</v>
      </c>
      <c r="W32" s="480">
        <f>T28</f>
        <v>54900</v>
      </c>
      <c r="X32" s="480" t="s">
        <v>104</v>
      </c>
      <c r="Y32" s="480">
        <f>SUM(J17:J20)</f>
        <v>28700</v>
      </c>
      <c r="Z32" s="480" t="s">
        <v>34</v>
      </c>
      <c r="AA32" s="225">
        <f>W32-Y32</f>
        <v>26200</v>
      </c>
      <c r="AB32" s="467"/>
      <c r="AC32" s="467"/>
      <c r="AD32" s="467"/>
    </row>
    <row r="33" spans="2:30" ht="15" customHeight="1">
      <c r="P33" s="425"/>
      <c r="Q33" s="425" t="s">
        <v>196</v>
      </c>
      <c r="R33" s="480" t="s">
        <v>34</v>
      </c>
      <c r="S33" s="480" t="s">
        <v>183</v>
      </c>
      <c r="T33" s="480" t="s">
        <v>104</v>
      </c>
      <c r="U33" s="480" t="s">
        <v>84</v>
      </c>
      <c r="V33" s="480" t="s">
        <v>34</v>
      </c>
      <c r="W33" s="480">
        <f>R28</f>
        <v>112033.65</v>
      </c>
      <c r="X33" s="480" t="s">
        <v>104</v>
      </c>
      <c r="Y33" s="480">
        <f>T28</f>
        <v>54900</v>
      </c>
      <c r="Z33" s="480" t="s">
        <v>34</v>
      </c>
      <c r="AA33" s="225">
        <f>W33-Y33</f>
        <v>57133.649999999994</v>
      </c>
      <c r="AB33" s="467"/>
      <c r="AC33" s="467"/>
      <c r="AD33" s="467"/>
    </row>
    <row r="34" spans="2:30" ht="15" customHeight="1"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67"/>
      <c r="AC34" s="467"/>
      <c r="AD34" s="467"/>
    </row>
    <row r="35" spans="2:30" ht="15" customHeight="1">
      <c r="P35" s="425"/>
      <c r="Q35" s="866" t="s">
        <v>921</v>
      </c>
      <c r="R35" s="425" t="s">
        <v>922</v>
      </c>
      <c r="S35" s="425"/>
      <c r="T35" s="425"/>
      <c r="U35" s="425"/>
      <c r="V35" s="425"/>
      <c r="W35" s="425"/>
      <c r="X35" s="425"/>
      <c r="Y35" s="425"/>
      <c r="Z35" s="425"/>
      <c r="AA35" s="425"/>
      <c r="AB35" s="467"/>
      <c r="AC35" s="467"/>
      <c r="AD35" s="467"/>
    </row>
    <row r="36" spans="2:30" ht="15" customHeight="1">
      <c r="P36" s="425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67"/>
      <c r="AC36" s="467"/>
      <c r="AD36" s="467"/>
    </row>
    <row r="37" spans="2:30" ht="15" customHeight="1">
      <c r="P37" s="425"/>
      <c r="Q37" s="425"/>
      <c r="R37" s="425"/>
      <c r="S37" s="138" t="s">
        <v>923</v>
      </c>
      <c r="T37" s="480" t="s">
        <v>34</v>
      </c>
      <c r="U37" s="480" t="s">
        <v>257</v>
      </c>
      <c r="V37" s="480" t="s">
        <v>35</v>
      </c>
      <c r="W37" s="480" t="s">
        <v>258</v>
      </c>
      <c r="X37" s="425"/>
      <c r="Y37" s="425"/>
      <c r="Z37" s="425"/>
      <c r="AA37" s="425"/>
      <c r="AB37" s="467"/>
      <c r="AC37" s="467"/>
      <c r="AD37" s="467"/>
    </row>
    <row r="38" spans="2:30" ht="15" customHeight="1">
      <c r="P38" s="425"/>
      <c r="Q38" s="138"/>
      <c r="R38" s="138"/>
      <c r="S38" s="480">
        <f>AA33</f>
        <v>57133.649999999994</v>
      </c>
      <c r="T38" s="480" t="s">
        <v>34</v>
      </c>
      <c r="U38" s="480" t="s">
        <v>257</v>
      </c>
      <c r="V38" s="480" t="s">
        <v>35</v>
      </c>
      <c r="W38" s="480">
        <v>0</v>
      </c>
      <c r="X38" s="425"/>
      <c r="Y38" s="425"/>
      <c r="Z38" s="425"/>
      <c r="AA38" s="425"/>
      <c r="AB38" s="467"/>
      <c r="AC38" s="467"/>
      <c r="AD38" s="467"/>
    </row>
    <row r="39" spans="2:30" ht="15" customHeight="1">
      <c r="P39" s="425"/>
      <c r="Q39" s="425"/>
      <c r="R39" s="480"/>
      <c r="S39" s="480"/>
      <c r="T39" s="480"/>
      <c r="U39" s="480"/>
      <c r="V39" s="480"/>
      <c r="W39" s="425"/>
      <c r="X39" s="425"/>
      <c r="Y39" s="425"/>
      <c r="Z39" s="425"/>
      <c r="AA39" s="425"/>
      <c r="AB39" s="467"/>
      <c r="AC39" s="467"/>
      <c r="AD39" s="467"/>
    </row>
    <row r="40" spans="2:30" ht="15" customHeight="1">
      <c r="P40" s="425"/>
      <c r="Q40" s="425"/>
      <c r="R40" s="425" t="s">
        <v>924</v>
      </c>
      <c r="S40" s="480" t="s">
        <v>257</v>
      </c>
      <c r="T40" s="480" t="s">
        <v>34</v>
      </c>
      <c r="U40" s="425">
        <f>S38</f>
        <v>57133.649999999994</v>
      </c>
      <c r="V40" s="425"/>
      <c r="W40" s="425"/>
      <c r="X40" s="425"/>
      <c r="Y40" s="425"/>
      <c r="Z40" s="425"/>
      <c r="AA40" s="425"/>
      <c r="AB40" s="467"/>
      <c r="AC40" s="467"/>
      <c r="AD40" s="467"/>
    </row>
    <row r="41" spans="2:30" ht="15" customHeight="1"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67"/>
      <c r="AC41" s="467"/>
      <c r="AD41" s="467"/>
    </row>
    <row r="42" spans="2:30" ht="15" customHeight="1">
      <c r="P42" s="430" t="s">
        <v>150</v>
      </c>
      <c r="Q42" s="425" t="s">
        <v>256</v>
      </c>
      <c r="R42" s="425"/>
      <c r="S42" s="425"/>
      <c r="T42" s="425"/>
      <c r="U42" s="425"/>
      <c r="V42" s="425"/>
      <c r="W42" s="425"/>
      <c r="X42" s="425"/>
      <c r="Y42" s="425"/>
      <c r="Z42" s="425"/>
      <c r="AA42" s="425"/>
      <c r="AB42" s="467"/>
      <c r="AC42" s="467"/>
      <c r="AD42" s="467"/>
    </row>
    <row r="43" spans="2:30" ht="15" customHeight="1">
      <c r="P43" s="425"/>
      <c r="Q43" s="425"/>
      <c r="R43" s="425"/>
      <c r="S43" s="425"/>
      <c r="T43" s="425"/>
      <c r="U43" s="425"/>
      <c r="V43" s="425"/>
      <c r="W43" s="425"/>
      <c r="X43" s="425"/>
      <c r="Y43" s="425"/>
      <c r="Z43" s="425"/>
      <c r="AA43" s="425"/>
      <c r="AB43" s="467"/>
      <c r="AC43" s="467"/>
      <c r="AD43" s="467"/>
    </row>
    <row r="44" spans="2:30" ht="15" customHeight="1">
      <c r="P44" s="425"/>
      <c r="Q44" s="138" t="s">
        <v>925</v>
      </c>
      <c r="R44" s="131" t="s">
        <v>34</v>
      </c>
      <c r="S44" s="379" t="s">
        <v>926</v>
      </c>
      <c r="T44" s="480" t="s">
        <v>927</v>
      </c>
      <c r="U44" s="867" t="s">
        <v>928</v>
      </c>
      <c r="V44" s="867" t="s">
        <v>35</v>
      </c>
      <c r="W44" s="479" t="s">
        <v>257</v>
      </c>
      <c r="X44" s="482" t="s">
        <v>153</v>
      </c>
      <c r="Y44" s="78" t="s">
        <v>929</v>
      </c>
      <c r="Z44" s="479" t="s">
        <v>930</v>
      </c>
      <c r="AA44" s="467"/>
      <c r="AB44" s="467"/>
      <c r="AC44" s="467"/>
      <c r="AD44" s="467"/>
    </row>
    <row r="45" spans="2:30" ht="15" customHeight="1">
      <c r="P45" s="425"/>
      <c r="Q45" s="425"/>
      <c r="R45" s="131" t="s">
        <v>34</v>
      </c>
      <c r="S45" s="868">
        <f>T18</f>
        <v>7.2999999999999995E-2</v>
      </c>
      <c r="T45" s="869" t="s">
        <v>927</v>
      </c>
      <c r="U45" s="869">
        <f>AA32</f>
        <v>26200</v>
      </c>
      <c r="V45" s="870" t="s">
        <v>35</v>
      </c>
      <c r="W45" s="869">
        <f>U40</f>
        <v>57133.649999999994</v>
      </c>
      <c r="X45" s="871" t="s">
        <v>153</v>
      </c>
      <c r="Y45" s="78" t="s">
        <v>929</v>
      </c>
      <c r="Z45" s="479">
        <f>0</f>
        <v>0</v>
      </c>
      <c r="AA45" s="467"/>
      <c r="AB45" s="467"/>
      <c r="AC45" s="467"/>
      <c r="AD45" s="467"/>
    </row>
    <row r="46" spans="2:30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P46" s="425"/>
      <c r="Q46" s="425"/>
      <c r="R46" s="131" t="s">
        <v>34</v>
      </c>
      <c r="S46" s="868">
        <f>S45</f>
        <v>7.2999999999999995E-2</v>
      </c>
      <c r="T46" s="869" t="s">
        <v>148</v>
      </c>
      <c r="U46" s="480">
        <f>0.5*(U45+W45)+1*Z45</f>
        <v>41666.824999999997</v>
      </c>
      <c r="V46" s="425"/>
      <c r="W46" s="425"/>
      <c r="X46" s="425"/>
      <c r="Y46" s="425"/>
      <c r="Z46" s="425"/>
      <c r="AA46" s="425"/>
      <c r="AB46" s="467"/>
      <c r="AC46" s="467"/>
      <c r="AD46" s="467"/>
    </row>
    <row r="47" spans="2:30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P47" s="425"/>
      <c r="Q47" s="425"/>
      <c r="R47" s="131" t="s">
        <v>34</v>
      </c>
      <c r="S47" s="430">
        <f>S46*U46</f>
        <v>3041.6782249999997</v>
      </c>
      <c r="T47" s="302"/>
      <c r="U47" s="425"/>
      <c r="V47" s="425"/>
      <c r="W47" s="425"/>
      <c r="X47" s="425"/>
      <c r="Y47" s="425"/>
      <c r="Z47" s="425"/>
      <c r="AA47" s="425"/>
      <c r="AB47" s="467"/>
      <c r="AC47" s="467"/>
      <c r="AD47" s="467"/>
    </row>
    <row r="48" spans="2:30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P48" s="425"/>
      <c r="Q48" s="425"/>
      <c r="R48" s="425"/>
      <c r="S48" s="134" t="s">
        <v>102</v>
      </c>
      <c r="T48" s="425"/>
      <c r="U48" s="425"/>
      <c r="V48" s="425"/>
      <c r="W48" s="425"/>
      <c r="X48" s="425"/>
      <c r="Y48" s="425"/>
      <c r="Z48" s="425"/>
      <c r="AA48" s="425"/>
      <c r="AB48" s="467"/>
      <c r="AC48" s="467"/>
      <c r="AD48" s="467"/>
    </row>
    <row r="49" spans="2:30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Z49" s="467"/>
      <c r="AA49" s="467"/>
      <c r="AB49" s="467"/>
      <c r="AC49" s="467"/>
      <c r="AD49" s="467"/>
    </row>
    <row r="50" spans="2:30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Z50" s="467"/>
      <c r="AA50" s="467"/>
      <c r="AB50" s="467"/>
      <c r="AC50" s="467"/>
      <c r="AD50" s="467"/>
    </row>
    <row r="51" spans="2:30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P51" s="467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  <c r="AB51" s="467"/>
      <c r="AC51" s="467"/>
      <c r="AD51" s="467"/>
    </row>
    <row r="52" spans="2:30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P52" s="467"/>
      <c r="Q52" s="467"/>
      <c r="R52" s="467"/>
      <c r="S52" s="467"/>
      <c r="T52" s="467"/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</row>
    <row r="53" spans="2:30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P53" s="467"/>
      <c r="Q53" s="467"/>
      <c r="R53" s="467"/>
      <c r="S53" s="467"/>
      <c r="T53" s="467"/>
      <c r="U53" s="467"/>
      <c r="V53" s="467"/>
      <c r="W53" s="467"/>
      <c r="X53" s="467"/>
      <c r="Y53" s="467"/>
      <c r="Z53" s="467"/>
      <c r="AA53" s="467"/>
      <c r="AB53" s="467"/>
      <c r="AC53" s="467"/>
      <c r="AD53" s="467"/>
    </row>
    <row r="54" spans="2:30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P54" s="467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7"/>
    </row>
    <row r="55" spans="2:30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</row>
    <row r="56" spans="2:30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P56" s="467"/>
      <c r="Q56" s="467"/>
      <c r="R56" s="467"/>
      <c r="S56" s="467"/>
      <c r="T56" s="467"/>
      <c r="U56" s="467"/>
      <c r="V56" s="467"/>
      <c r="W56" s="467"/>
      <c r="X56" s="467"/>
      <c r="Y56" s="467"/>
      <c r="Z56" s="467"/>
      <c r="AA56" s="467"/>
      <c r="AB56" s="467"/>
      <c r="AC56" s="467"/>
      <c r="AD56" s="467"/>
    </row>
    <row r="57" spans="2:30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P57" s="467"/>
      <c r="Q57" s="467"/>
      <c r="R57" s="467"/>
      <c r="S57" s="467"/>
      <c r="T57" s="467"/>
      <c r="U57" s="467"/>
      <c r="V57" s="467"/>
      <c r="W57" s="467"/>
      <c r="X57" s="467"/>
      <c r="Y57" s="467"/>
      <c r="Z57" s="467"/>
      <c r="AA57" s="467"/>
      <c r="AB57" s="467"/>
      <c r="AC57" s="467"/>
      <c r="AD57" s="467"/>
    </row>
    <row r="58" spans="2:30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</row>
    <row r="59" spans="2:30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30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2:30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2:30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2:30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2:30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14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2:14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2:14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14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14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14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14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4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14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</sheetData>
  <mergeCells count="1">
    <mergeCell ref="L1:M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2021-10-02T06:02:13Z</cp:lastPrinted>
  <dcterms:created xsi:type="dcterms:W3CDTF">2020-12-22T11:57:29Z</dcterms:created>
  <dcterms:modified xsi:type="dcterms:W3CDTF">2024-10-03T23:23:12Z</dcterms:modified>
</cp:coreProperties>
</file>