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6\"/>
    </mc:Choice>
  </mc:AlternateContent>
  <bookViews>
    <workbookView xWindow="0" yWindow="0" windowWidth="24000" windowHeight="11895"/>
  </bookViews>
  <sheets>
    <sheet name="TOC" sheetId="8" r:id="rId1"/>
    <sheet name="W-06-xs" sheetId="2" r:id="rId2"/>
    <sheet name="W-06-Ben" sheetId="3" r:id="rId3"/>
    <sheet name="W-06-Trd1" sheetId="4" r:id="rId4"/>
    <sheet name="W-06-Trd2" sheetId="5" r:id="rId5"/>
    <sheet name="W-06-Levg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5" l="1"/>
  <c r="P38" i="5"/>
  <c r="P31" i="5"/>
  <c r="R32" i="5"/>
  <c r="E15" i="5"/>
  <c r="X15" i="5" l="1"/>
  <c r="Q23" i="6" l="1"/>
  <c r="Q6" i="5"/>
  <c r="P7" i="5"/>
  <c r="P8" i="5" s="1"/>
  <c r="P9" i="5" s="1"/>
  <c r="Q21" i="3"/>
  <c r="P17" i="3"/>
  <c r="R21" i="3"/>
  <c r="S9" i="3"/>
  <c r="P13" i="2"/>
  <c r="P14" i="2" s="1"/>
  <c r="P15" i="2" s="1"/>
  <c r="P16" i="2" s="1"/>
  <c r="P17" i="2" s="1"/>
  <c r="I12" i="4" l="1"/>
  <c r="G12" i="4"/>
  <c r="S9" i="6"/>
  <c r="Q22" i="6"/>
  <c r="Q12" i="4"/>
  <c r="S24" i="6"/>
  <c r="U24" i="6" s="1"/>
  <c r="S21" i="6"/>
  <c r="R15" i="2"/>
  <c r="U7" i="3"/>
  <c r="R14" i="2"/>
  <c r="U6" i="3"/>
  <c r="R13" i="2"/>
  <c r="T11" i="2"/>
  <c r="Q20" i="2" s="1"/>
  <c r="R16" i="2"/>
  <c r="S8" i="3"/>
  <c r="S7" i="3"/>
  <c r="R17" i="2"/>
  <c r="S6" i="3"/>
  <c r="R17" i="3"/>
  <c r="R12" i="4"/>
  <c r="S23" i="6"/>
  <c r="U23" i="6" s="1"/>
  <c r="Q9" i="6"/>
  <c r="V25" i="5"/>
  <c r="I14" i="4" l="1"/>
  <c r="P12" i="4"/>
  <c r="S12" i="4" s="1"/>
  <c r="K12" i="4"/>
  <c r="Q13" i="4"/>
  <c r="I13" i="4"/>
  <c r="U12" i="4"/>
  <c r="R25" i="5"/>
  <c r="Q8" i="6"/>
  <c r="S8" i="6"/>
  <c r="S22" i="6"/>
  <c r="U22" i="6" s="1"/>
  <c r="S10" i="6"/>
  <c r="W6" i="3"/>
  <c r="Q7" i="6"/>
  <c r="V32" i="5"/>
  <c r="Q24" i="6"/>
  <c r="Q10" i="6"/>
  <c r="W7" i="3"/>
  <c r="S15" i="2"/>
  <c r="T15" i="2" s="1"/>
  <c r="Q21" i="6"/>
  <c r="S7" i="6"/>
  <c r="S14" i="2"/>
  <c r="T14" i="2" s="1"/>
  <c r="Q14" i="2"/>
  <c r="Q17" i="2"/>
  <c r="S17" i="2"/>
  <c r="T17" i="2" s="1"/>
  <c r="Q16" i="2"/>
  <c r="S16" i="2"/>
  <c r="T16" i="2" s="1"/>
  <c r="R13" i="4"/>
  <c r="R20" i="3"/>
  <c r="Q15" i="2"/>
  <c r="U8" i="3"/>
  <c r="W8" i="3" s="1"/>
  <c r="U21" i="6"/>
  <c r="Q7" i="5"/>
  <c r="R7" i="5" s="1"/>
  <c r="R18" i="3"/>
  <c r="R19" i="3"/>
  <c r="R12" i="2"/>
  <c r="R18" i="2" s="1"/>
  <c r="Q13" i="2"/>
  <c r="U9" i="3"/>
  <c r="W9" i="3" s="1"/>
  <c r="S13" i="2"/>
  <c r="T13" i="2" s="1"/>
  <c r="U15" i="2" l="1"/>
  <c r="V15" i="2" s="1"/>
  <c r="U13" i="4"/>
  <c r="K14" i="4"/>
  <c r="P13" i="4"/>
  <c r="S13" i="4" s="1"/>
  <c r="W13" i="4" s="1"/>
  <c r="K13" i="4"/>
  <c r="G15" i="4"/>
  <c r="W12" i="4"/>
  <c r="I15" i="4"/>
  <c r="K15" i="4"/>
  <c r="G13" i="4"/>
  <c r="G14" i="4"/>
  <c r="Q14" i="4"/>
  <c r="S11" i="6"/>
  <c r="T13" i="6" s="1"/>
  <c r="U25" i="6"/>
  <c r="T27" i="6" s="1"/>
  <c r="S25" i="6"/>
  <c r="X18" i="3"/>
  <c r="Q11" i="6"/>
  <c r="V13" i="6" s="1"/>
  <c r="R19" i="5"/>
  <c r="Q25" i="6"/>
  <c r="V27" i="6" s="1"/>
  <c r="R22" i="3"/>
  <c r="X19" i="3"/>
  <c r="P14" i="4"/>
  <c r="R14" i="4"/>
  <c r="U13" i="2"/>
  <c r="V13" i="2" s="1"/>
  <c r="U14" i="2"/>
  <c r="V14" i="2" s="1"/>
  <c r="Q8" i="5"/>
  <c r="R8" i="5" s="1"/>
  <c r="Q9" i="5"/>
  <c r="Q12" i="2"/>
  <c r="U16" i="2"/>
  <c r="V16" i="2" s="1"/>
  <c r="U17" i="2"/>
  <c r="T26" i="2" s="1"/>
  <c r="U14" i="4" l="1"/>
  <c r="G16" i="4"/>
  <c r="H16" i="4" s="1"/>
  <c r="I16" i="4"/>
  <c r="J16" i="4" s="1"/>
  <c r="K16" i="4"/>
  <c r="L16" i="4" s="1"/>
  <c r="S14" i="4"/>
  <c r="Q15" i="4"/>
  <c r="T14" i="6"/>
  <c r="T28" i="6"/>
  <c r="Q16" i="4"/>
  <c r="V39" i="5"/>
  <c r="R26" i="5"/>
  <c r="P15" i="4"/>
  <c r="S12" i="2"/>
  <c r="Q18" i="2"/>
  <c r="R15" i="4"/>
  <c r="V17" i="2"/>
  <c r="R9" i="5"/>
  <c r="R10" i="5" s="1"/>
  <c r="T32" i="5" s="1"/>
  <c r="W14" i="4" l="1"/>
  <c r="S15" i="4"/>
  <c r="U15" i="4"/>
  <c r="G17" i="4"/>
  <c r="H17" i="4" s="1"/>
  <c r="K17" i="4"/>
  <c r="L17" i="4" s="1"/>
  <c r="I17" i="4"/>
  <c r="J17" i="4" s="1"/>
  <c r="Q17" i="4"/>
  <c r="T39" i="5"/>
  <c r="R40" i="5" s="1"/>
  <c r="R33" i="5"/>
  <c r="P20" i="3"/>
  <c r="Q19" i="3"/>
  <c r="P16" i="4"/>
  <c r="S16" i="4" s="1"/>
  <c r="Q20" i="3"/>
  <c r="P21" i="3"/>
  <c r="S18" i="2"/>
  <c r="T12" i="2"/>
  <c r="P18" i="3"/>
  <c r="P19" i="3"/>
  <c r="Q18" i="3"/>
  <c r="R16" i="4"/>
  <c r="U16" i="4" s="1"/>
  <c r="V16" i="4" s="1"/>
  <c r="W15" i="4" l="1"/>
  <c r="G18" i="4"/>
  <c r="H18" i="4" s="1"/>
  <c r="I18" i="4"/>
  <c r="J18" i="4" s="1"/>
  <c r="K18" i="4"/>
  <c r="L18" i="4" s="1"/>
  <c r="Q18" i="4"/>
  <c r="T18" i="3"/>
  <c r="W16" i="4"/>
  <c r="X16" i="4" s="1"/>
  <c r="T16" i="4"/>
  <c r="Q17" i="3"/>
  <c r="T18" i="2"/>
  <c r="U12" i="2"/>
  <c r="U18" i="2" s="1"/>
  <c r="T19" i="3"/>
  <c r="S19" i="3"/>
  <c r="S21" i="3"/>
  <c r="T21" i="3"/>
  <c r="P17" i="4"/>
  <c r="S17" i="4" s="1"/>
  <c r="R17" i="4"/>
  <c r="U17" i="4" s="1"/>
  <c r="V17" i="4" s="1"/>
  <c r="G19" i="4" l="1"/>
  <c r="H19" i="4" s="1"/>
  <c r="K19" i="4"/>
  <c r="L19" i="4" s="1"/>
  <c r="I19" i="4"/>
  <c r="J19" i="4" s="1"/>
  <c r="Q19" i="4"/>
  <c r="S18" i="3"/>
  <c r="V12" i="2"/>
  <c r="T17" i="4"/>
  <c r="W17" i="4"/>
  <c r="X17" i="4" s="1"/>
  <c r="T20" i="3"/>
  <c r="S20" i="3"/>
  <c r="R18" i="4"/>
  <c r="U18" i="4" s="1"/>
  <c r="V18" i="4" s="1"/>
  <c r="P18" i="4"/>
  <c r="S18" i="4" s="1"/>
  <c r="U21" i="3"/>
  <c r="V21" i="3"/>
  <c r="U19" i="3"/>
  <c r="V19" i="3"/>
  <c r="V18" i="2"/>
  <c r="W26" i="2" s="1"/>
  <c r="T27" i="2" s="1"/>
  <c r="S17" i="3"/>
  <c r="S22" i="3" s="1"/>
  <c r="T22" i="3"/>
  <c r="T17" i="3"/>
  <c r="U18" i="3"/>
  <c r="V18" i="3"/>
  <c r="G20" i="4" l="1"/>
  <c r="H20" i="4" s="1"/>
  <c r="I20" i="4"/>
  <c r="J20" i="4" s="1"/>
  <c r="K20" i="4"/>
  <c r="L20" i="4" s="1"/>
  <c r="Q20" i="4"/>
  <c r="R19" i="4"/>
  <c r="U19" i="4" s="1"/>
  <c r="V19" i="4" s="1"/>
  <c r="U20" i="3"/>
  <c r="V20" i="3"/>
  <c r="T18" i="4"/>
  <c r="W18" i="4"/>
  <c r="X18" i="4" s="1"/>
  <c r="P19" i="4"/>
  <c r="S19" i="4" s="1"/>
  <c r="V17" i="3"/>
  <c r="U17" i="3"/>
  <c r="G21" i="4" l="1"/>
  <c r="H21" i="4" s="1"/>
  <c r="K21" i="4"/>
  <c r="L21" i="4" s="1"/>
  <c r="I21" i="4"/>
  <c r="J21" i="4" s="1"/>
  <c r="U22" i="3"/>
  <c r="X25" i="3" s="1"/>
  <c r="V22" i="3"/>
  <c r="T25" i="3" s="1"/>
  <c r="R20" i="4"/>
  <c r="U20" i="4" s="1"/>
  <c r="V20" i="4" s="1"/>
  <c r="T19" i="4"/>
  <c r="W19" i="4"/>
  <c r="X19" i="4" s="1"/>
  <c r="P20" i="4"/>
  <c r="S20" i="4" s="1"/>
  <c r="T26" i="3" l="1"/>
  <c r="G22" i="4"/>
  <c r="H22" i="4" s="1"/>
  <c r="I22" i="4"/>
  <c r="J22" i="4" s="1"/>
  <c r="K22" i="4"/>
  <c r="L22" i="4" s="1"/>
  <c r="Q21" i="4"/>
  <c r="Q22" i="4"/>
  <c r="P21" i="4"/>
  <c r="R21" i="4"/>
  <c r="T20" i="4"/>
  <c r="W20" i="4"/>
  <c r="X20" i="4" s="1"/>
  <c r="S21" i="4" l="1"/>
  <c r="U21" i="4"/>
  <c r="V21" i="4" s="1"/>
  <c r="G23" i="4"/>
  <c r="H23" i="4" s="1"/>
  <c r="K23" i="4"/>
  <c r="L23" i="4" s="1"/>
  <c r="I23" i="4"/>
  <c r="J23" i="4" s="1"/>
  <c r="Q23" i="4"/>
  <c r="R22" i="4"/>
  <c r="U22" i="4" s="1"/>
  <c r="V22" i="4" s="1"/>
  <c r="P22" i="4"/>
  <c r="S22" i="4" s="1"/>
  <c r="T21" i="4"/>
  <c r="W21" i="4" l="1"/>
  <c r="X21" i="4" s="1"/>
  <c r="G24" i="4"/>
  <c r="H24" i="4" s="1"/>
  <c r="K24" i="4"/>
  <c r="L24" i="4" s="1"/>
  <c r="W22" i="4"/>
  <c r="X22" i="4" s="1"/>
  <c r="T22" i="4"/>
  <c r="R23" i="4"/>
  <c r="U23" i="4" s="1"/>
  <c r="V23" i="4" s="1"/>
  <c r="Q24" i="4"/>
  <c r="P23" i="4"/>
  <c r="S23" i="4" s="1"/>
  <c r="K25" i="4" l="1"/>
  <c r="L25" i="4" s="1"/>
  <c r="G25" i="4"/>
  <c r="H25" i="4" s="1"/>
  <c r="T23" i="4"/>
  <c r="W23" i="4"/>
  <c r="X23" i="4" s="1"/>
  <c r="P24" i="4"/>
  <c r="S24" i="4" s="1"/>
  <c r="R24" i="4"/>
  <c r="U24" i="4" s="1"/>
  <c r="V24" i="4" s="1"/>
  <c r="Q25" i="4"/>
  <c r="G26" i="4" l="1"/>
  <c r="H26" i="4" s="1"/>
  <c r="G27" i="4"/>
  <c r="H27" i="4" s="1"/>
  <c r="K26" i="4"/>
  <c r="L26" i="4" s="1"/>
  <c r="K27" i="4"/>
  <c r="L27" i="4" s="1"/>
  <c r="T24" i="4"/>
  <c r="W24" i="4"/>
  <c r="X24" i="4" s="1"/>
  <c r="Q26" i="4"/>
  <c r="P25" i="4"/>
  <c r="S25" i="4" s="1"/>
  <c r="R25" i="4"/>
  <c r="U25" i="4" s="1"/>
  <c r="V25" i="4" s="1"/>
  <c r="P27" i="4" l="1"/>
  <c r="R26" i="4"/>
  <c r="U26" i="4" s="1"/>
  <c r="V26" i="4" s="1"/>
  <c r="T25" i="4"/>
  <c r="W25" i="4"/>
  <c r="X25" i="4" s="1"/>
  <c r="P26" i="4"/>
  <c r="S26" i="4" s="1"/>
  <c r="Q27" i="4"/>
  <c r="T26" i="4" l="1"/>
  <c r="W26" i="4"/>
  <c r="X26" i="4" s="1"/>
  <c r="R27" i="4"/>
  <c r="U27" i="4" s="1"/>
  <c r="V27" i="4" s="1"/>
  <c r="S27" i="4"/>
  <c r="T27" i="4" l="1"/>
  <c r="W27" i="4"/>
  <c r="X27" i="4" s="1"/>
</calcChain>
</file>

<file path=xl/sharedStrings.xml><?xml version="1.0" encoding="utf-8"?>
<sst xmlns="http://schemas.openxmlformats.org/spreadsheetml/2006/main" count="719" uniqueCount="211">
  <si>
    <t>Reading:</t>
  </si>
  <si>
    <t>|</t>
  </si>
  <si>
    <t>Model:</t>
  </si>
  <si>
    <t>Pricing Components</t>
  </si>
  <si>
    <t>Problem Type:</t>
  </si>
  <si>
    <t>Excess Loss Factor</t>
  </si>
  <si>
    <t>Find</t>
  </si>
  <si>
    <t>(a)</t>
  </si>
  <si>
    <t>Calculate the excess loss factor given a large loss threshold of</t>
  </si>
  <si>
    <t xml:space="preserve"> fill in the table using the formulas indicated</t>
  </si>
  <si>
    <t>(b)</t>
  </si>
  <si>
    <t>Restate the AY 2025 reported losses using the excess loss factor.</t>
  </si>
  <si>
    <t>(All loss dollars in 000s)</t>
  </si>
  <si>
    <t>(1)</t>
  </si>
  <si>
    <t>(2)</t>
  </si>
  <si>
    <t>(3)</t>
  </si>
  <si>
    <t>(4)</t>
  </si>
  <si>
    <t>(5)</t>
  </si>
  <si>
    <t>(6)</t>
  </si>
  <si>
    <t>Given</t>
  </si>
  <si>
    <t># of</t>
  </si>
  <si>
    <t>ground-up</t>
  </si>
  <si>
    <t>losses</t>
  </si>
  <si>
    <t>non</t>
  </si>
  <si>
    <t>reported</t>
  </si>
  <si>
    <t>excess</t>
  </si>
  <si>
    <t>excess of</t>
  </si>
  <si>
    <t>AY</t>
  </si>
  <si>
    <t>claims</t>
  </si>
  <si>
    <t>ratio</t>
  </si>
  <si>
    <t>total</t>
  </si>
  <si>
    <t>Totals</t>
  </si>
  <si>
    <t>(final answer)</t>
  </si>
  <si>
    <t>(4)  =  (3) -</t>
  </si>
  <si>
    <t>(5)  =  (1) - (4)</t>
  </si>
  <si>
    <t>(6)  =  (4) / (5)</t>
  </si>
  <si>
    <t>Total Excess Loss Factor (Totals row)  =  (Total 4) / (Total 5)</t>
  </si>
  <si>
    <t>=</t>
  </si>
  <si>
    <t>(non-excess losses)</t>
  </si>
  <si>
    <t>x</t>
  </si>
  <si>
    <t>(1 + excess ratio)</t>
  </si>
  <si>
    <t>Werner 06: Premium</t>
  </si>
  <si>
    <t xml:space="preserve"> restated AY reported loss</t>
  </si>
  <si>
    <t>2017.Fall #6</t>
  </si>
  <si>
    <t>Direct Impact of Benefit Change</t>
  </si>
  <si>
    <t>Step 1</t>
  </si>
  <si>
    <t xml:space="preserve"> calculate dollar-values of current &amp; proposed min/MAX benefits</t>
  </si>
  <si>
    <t>Calculate the direct effect of the state's proposed worker's compensation indemnity benefit change.</t>
  </si>
  <si>
    <t>SAWW</t>
  </si>
  <si>
    <t>min current</t>
  </si>
  <si>
    <t>MAX current</t>
  </si>
  <si>
    <t>State Avg Weekly Wage</t>
  </si>
  <si>
    <t xml:space="preserve"> &lt;====</t>
  </si>
  <si>
    <t>min proposed</t>
  </si>
  <si>
    <t>MAX proposed</t>
  </si>
  <si>
    <t>current</t>
  </si>
  <si>
    <t>proposed</t>
  </si>
  <si>
    <t>Ratio to SAWW</t>
  </si>
  <si>
    <t>weekly</t>
  </si>
  <si>
    <t>% of wages compensation rate</t>
  </si>
  <si>
    <t>Step 2</t>
  </si>
  <si>
    <t xml:space="preserve"> fill in columns (5), (6), (7) of table below</t>
  </si>
  <si>
    <t>min</t>
  </si>
  <si>
    <t>max</t>
  </si>
  <si>
    <t>workers</t>
  </si>
  <si>
    <t>wages</t>
  </si>
  <si>
    <t>min benefit  as % of SAWW</t>
  </si>
  <si>
    <t>MAX benefit  as % of SAWW</t>
  </si>
  <si>
    <t>(7)</t>
  </si>
  <si>
    <t>avg</t>
  </si>
  <si>
    <t>ratio to SAWW</t>
  </si>
  <si>
    <t>benefit</t>
  </si>
  <si>
    <t>n/a</t>
  </si>
  <si>
    <t>(5)  =  (4) / (3)</t>
  </si>
  <si>
    <t>TOTAL</t>
  </si>
  <si>
    <t xml:space="preserve">(TOTAL 6) = SUMPRODUCT( [Col 3], [Col 6] ) </t>
  </si>
  <si>
    <t xml:space="preserve">(TOTAL 7) = SUMPRODUCT( [Col 3], [Col 7] ) </t>
  </si>
  <si>
    <t>Step 3</t>
  </si>
  <si>
    <t xml:space="preserve"> direct effect of change</t>
  </si>
  <si>
    <t>(total proprosed benefit)</t>
  </si>
  <si>
    <t>/</t>
  </si>
  <si>
    <t>(total current benefit)</t>
  </si>
  <si>
    <t>- 1</t>
  </si>
  <si>
    <t>Trend Selection</t>
  </si>
  <si>
    <t>Based on the simulation parameters, the true trends are as follows:</t>
  </si>
  <si>
    <t>Fill in the missing values and select a frequency, severity, and pure premium trend.</t>
  </si>
  <si>
    <t>frequency:</t>
  </si>
  <si>
    <t>exposure</t>
  </si>
  <si>
    <t>The data is based on a simulation with a small degree of random variation.</t>
  </si>
  <si>
    <t>severity:</t>
  </si>
  <si>
    <t>count</t>
  </si>
  <si>
    <t>pure prem:</t>
  </si>
  <si>
    <t>loss</t>
  </si>
  <si>
    <t>year</t>
  </si>
  <si>
    <t>closed</t>
  </si>
  <si>
    <t>annual</t>
  </si>
  <si>
    <t>ending</t>
  </si>
  <si>
    <t>earned</t>
  </si>
  <si>
    <t>claim</t>
  </si>
  <si>
    <t>paid</t>
  </si>
  <si>
    <t>%</t>
  </si>
  <si>
    <t>pure</t>
  </si>
  <si>
    <t>quarter</t>
  </si>
  <si>
    <t>freq</t>
  </si>
  <si>
    <t>change</t>
  </si>
  <si>
    <t>severity</t>
  </si>
  <si>
    <t>premium</t>
  </si>
  <si>
    <t>Mar 2020</t>
  </si>
  <si>
    <t>--</t>
  </si>
  <si>
    <t>Jun 2020</t>
  </si>
  <si>
    <t>Sep 2020</t>
  </si>
  <si>
    <t>Dec 2020</t>
  </si>
  <si>
    <t>Mar 2021</t>
  </si>
  <si>
    <t>Jun 2021</t>
  </si>
  <si>
    <t>Sep 2021</t>
  </si>
  <si>
    <t>Dec 2021</t>
  </si>
  <si>
    <t>Mar 2022</t>
  </si>
  <si>
    <t>Jun 2022</t>
  </si>
  <si>
    <t>Sep 2022</t>
  </si>
  <si>
    <t>Dec 2022</t>
  </si>
  <si>
    <t>Mar 2023</t>
  </si>
  <si>
    <t>?</t>
  </si>
  <si>
    <t>Jun 2023</t>
  </si>
  <si>
    <t>Sep 2023</t>
  </si>
  <si>
    <t>Dec 2023</t>
  </si>
  <si>
    <t>Werner 06: Loss &amp; LAE</t>
  </si>
  <si>
    <t>Trend Period for Losses</t>
  </si>
  <si>
    <t>calculate year-over-year % change in losses and select a reasonable trend</t>
  </si>
  <si>
    <t>Calculate the following quantities:</t>
  </si>
  <si>
    <t>% change</t>
  </si>
  <si>
    <t>trend selection</t>
  </si>
  <si>
    <t>-</t>
  </si>
  <si>
    <t>(c)</t>
  </si>
  <si>
    <t>(d)</t>
  </si>
  <si>
    <t>selection</t>
  </si>
  <si>
    <t>&lt;====</t>
  </si>
  <si>
    <t>select average</t>
  </si>
  <si>
    <t>(e)</t>
  </si>
  <si>
    <t>Step 2a</t>
  </si>
  <si>
    <t>historical period:</t>
  </si>
  <si>
    <t>AAD 1</t>
  </si>
  <si>
    <t>(mid-point of historical period)</t>
  </si>
  <si>
    <t>07</t>
  </si>
  <si>
    <t>01</t>
  </si>
  <si>
    <t>effective date:</t>
  </si>
  <si>
    <t xml:space="preserve"> (year, month, day)</t>
  </si>
  <si>
    <t>AAD 2</t>
  </si>
  <si>
    <t>(mid-point of effective period) + 0.5 x (term)</t>
  </si>
  <si>
    <t>rates in effect for</t>
  </si>
  <si>
    <t>months</t>
  </si>
  <si>
    <t>policy term:</t>
  </si>
  <si>
    <t>AY trend period</t>
  </si>
  <si>
    <t>historical period</t>
  </si>
  <si>
    <t>paid loss:</t>
  </si>
  <si>
    <t xml:space="preserve">* </t>
  </si>
  <si>
    <t>Selecting loss trends based on annual data may</t>
  </si>
  <si>
    <t>mask seasonality. It's generally better to use</t>
  </si>
  <si>
    <t>Step 2b</t>
  </si>
  <si>
    <t>quarterly data for trend selections.</t>
  </si>
  <si>
    <t>PY trend period is shorter than the AY trend period by 0.5 x (policy term)</t>
  </si>
  <si>
    <t>PY trend period</t>
  </si>
  <si>
    <t>Step 3a</t>
  </si>
  <si>
    <t>x   (</t>
  </si>
  <si>
    <t>)^</t>
  </si>
  <si>
    <t>(final AY answer)</t>
  </si>
  <si>
    <t>(final PY answer)</t>
  </si>
  <si>
    <t>2019.Spring #4</t>
  </si>
  <si>
    <t>Leveraged Effect of Limits of Severity Trend</t>
  </si>
  <si>
    <t>calculate the basic limits loss trend over a 1-year time frame</t>
  </si>
  <si>
    <t>untrended</t>
  </si>
  <si>
    <t>trended</t>
  </si>
  <si>
    <t>claim #</t>
  </si>
  <si>
    <t>basic limits loss</t>
  </si>
  <si>
    <t>calculate the excess limits loss trend over a 1-year time frame</t>
  </si>
  <si>
    <t>total limits loss</t>
  </si>
  <si>
    <t>total limits severity trend</t>
  </si>
  <si>
    <t>basic limit</t>
  </si>
  <si>
    <t>basic limits loss trend</t>
  </si>
  <si>
    <t>excess limits loss</t>
  </si>
  <si>
    <t>TOTAL limits loss</t>
  </si>
  <si>
    <t>excess limits loss trend</t>
  </si>
  <si>
    <t>Observation</t>
  </si>
  <si>
    <t>and</t>
  </si>
  <si>
    <t>The total limits loss trend is always in the middle</t>
  </si>
  <si>
    <t>If the total limits loss trend is applied to basic limits losses then</t>
  </si>
  <si>
    <t>====&gt;</t>
  </si>
  <si>
    <t>Your selections won't be exactly the same but should be close.</t>
  </si>
  <si>
    <t>Exam 5: Pricing - Chapter 6</t>
  </si>
  <si>
    <t>Question</t>
  </si>
  <si>
    <t>Type</t>
  </si>
  <si>
    <r>
      <t xml:space="preserve"> calculate the untrended and trended </t>
    </r>
    <r>
      <rPr>
        <b/>
        <u/>
        <sz val="11"/>
        <color theme="1"/>
        <rFont val="Calibri"/>
        <family val="2"/>
        <scheme val="minor"/>
      </rPr>
      <t>basic</t>
    </r>
    <r>
      <rPr>
        <sz val="11"/>
        <color theme="1"/>
        <rFont val="Calibri"/>
        <family val="2"/>
        <scheme val="minor"/>
      </rPr>
      <t xml:space="preserve"> limits losses</t>
    </r>
  </si>
  <si>
    <r>
      <t xml:space="preserve"> calculate the untrended and trended </t>
    </r>
    <r>
      <rPr>
        <b/>
        <u/>
        <sz val="11"/>
        <color theme="1"/>
        <rFont val="Calibri"/>
        <family val="2"/>
        <scheme val="minor"/>
      </rPr>
      <t>excess</t>
    </r>
    <r>
      <rPr>
        <sz val="11"/>
        <color theme="1"/>
        <rFont val="Calibri"/>
        <family val="2"/>
        <scheme val="minor"/>
      </rPr>
      <t xml:space="preserve"> limits losses AND trended total limits losses</t>
    </r>
  </si>
  <si>
    <r>
      <t xml:space="preserve">The basic limits loss trend always has the smallest </t>
    </r>
    <r>
      <rPr>
        <u/>
        <sz val="11"/>
        <color theme="1"/>
        <rFont val="Calibri"/>
        <family val="2"/>
        <scheme val="minor"/>
      </rPr>
      <t>magnitude</t>
    </r>
    <r>
      <rPr>
        <sz val="11"/>
        <color theme="1"/>
        <rFont val="Calibri"/>
        <family val="2"/>
        <scheme val="minor"/>
      </rPr>
      <t xml:space="preserve"> or absolute value.</t>
    </r>
  </si>
  <si>
    <r>
      <t xml:space="preserve">The excess limits loss trend always has the greatest </t>
    </r>
    <r>
      <rPr>
        <u/>
        <sz val="11"/>
        <color theme="1"/>
        <rFont val="Calibri"/>
        <family val="2"/>
        <scheme val="minor"/>
      </rPr>
      <t>magnitude</t>
    </r>
    <r>
      <rPr>
        <sz val="11"/>
        <color theme="1"/>
        <rFont val="Calibri"/>
        <family val="2"/>
        <scheme val="minor"/>
      </rPr>
      <t xml:space="preserve"> or absolute value.</t>
    </r>
  </si>
  <si>
    <r>
      <t xml:space="preserve">if the trend is positive the trended basic limits losses will be </t>
    </r>
    <r>
      <rPr>
        <u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>estimated.</t>
    </r>
  </si>
  <si>
    <r>
      <t xml:space="preserve">if the trend is negative the trended basic limits losses will be </t>
    </r>
    <r>
      <rPr>
        <u/>
        <sz val="11"/>
        <color theme="1"/>
        <rFont val="Calibri"/>
        <family val="2"/>
        <scheme val="minor"/>
      </rPr>
      <t>under</t>
    </r>
    <r>
      <rPr>
        <sz val="11"/>
        <color theme="1"/>
        <rFont val="Calibri"/>
        <family val="2"/>
        <scheme val="minor"/>
      </rPr>
      <t>estimated.</t>
    </r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</si>
  <si>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</si>
  <si>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trended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2020 losses</t>
    </r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</si>
  <si>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</si>
  <si>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trended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2020 losses</t>
    </r>
  </si>
  <si>
    <r>
      <t xml:space="preserve">calculate trend period assuming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</si>
  <si>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calculate trend period assuming historical period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</si>
  <si>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 calculate the trend loss assuming historical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</si>
  <si>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 calculate the trend loss assuming historical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</si>
  <si>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t>Sheet</t>
  </si>
  <si>
    <t>W-06-xs</t>
  </si>
  <si>
    <t>W-06-Ben</t>
  </si>
  <si>
    <t>W-06-Trd1</t>
  </si>
  <si>
    <t>W-06-Trd2</t>
  </si>
  <si>
    <t>W-06-Levg</t>
  </si>
  <si>
    <t xml:space="preserve">Return to TOC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</si>
</sst>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00"/>
    <numFmt numFmtId="166" formatCode="yyyy/mm/dd;@"/>
    <numFmt numFmtId="167" formatCode="#,##0.0000"/>
    <numFmt numFmtId="168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6" fillId="0" borderId="0" xfId="0" applyNumberFormat="1" applyFont="1"/>
    <xf numFmtId="3" fontId="0" fillId="7" borderId="0" xfId="0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1" xfId="0" applyFont="1" applyBorder="1"/>
    <xf numFmtId="0" fontId="9" fillId="0" borderId="2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8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7" borderId="8" xfId="0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1" xfId="0" applyNumberFormat="1" applyFont="1" applyBorder="1" applyAlignment="1">
      <alignment horizontal="center"/>
    </xf>
    <xf numFmtId="3" fontId="0" fillId="7" borderId="12" xfId="0" applyNumberFormat="1" applyFont="1" applyFill="1" applyBorder="1" applyAlignment="1">
      <alignment horizontal="center"/>
    </xf>
    <xf numFmtId="3" fontId="0" fillId="7" borderId="13" xfId="0" applyNumberFormat="1" applyFont="1" applyFill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3" fontId="8" fillId="0" borderId="0" xfId="0" applyNumberFormat="1" applyFont="1"/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3" fontId="11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7" borderId="4" xfId="0" applyNumberFormat="1" applyFont="1" applyFill="1" applyBorder="1"/>
    <xf numFmtId="0" fontId="10" fillId="0" borderId="0" xfId="0" applyFont="1" applyAlignment="1">
      <alignment horizontal="center"/>
    </xf>
    <xf numFmtId="3" fontId="5" fillId="0" borderId="0" xfId="0" applyNumberFormat="1" applyFont="1"/>
    <xf numFmtId="3" fontId="0" fillId="7" borderId="0" xfId="0" applyNumberFormat="1" applyFont="1" applyFill="1"/>
    <xf numFmtId="0" fontId="0" fillId="0" borderId="6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Continuous"/>
    </xf>
    <xf numFmtId="0" fontId="0" fillId="0" borderId="8" xfId="0" applyFont="1" applyBorder="1" applyAlignment="1">
      <alignment horizontal="centerContinuous"/>
    </xf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0" borderId="8" xfId="0" applyNumberFormat="1" applyFont="1" applyBorder="1"/>
    <xf numFmtId="9" fontId="0" fillId="7" borderId="0" xfId="1" applyFont="1" applyFill="1" applyBorder="1" applyAlignment="1">
      <alignment horizontal="center"/>
    </xf>
    <xf numFmtId="9" fontId="0" fillId="7" borderId="8" xfId="1" applyFont="1" applyFill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9" fontId="0" fillId="7" borderId="12" xfId="1" applyFont="1" applyFill="1" applyBorder="1" applyAlignment="1">
      <alignment horizontal="center"/>
    </xf>
    <xf numFmtId="9" fontId="0" fillId="7" borderId="13" xfId="1" applyFont="1" applyFill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13" fillId="0" borderId="8" xfId="5" applyNumberFormat="1" applyFont="1" applyFill="1" applyBorder="1" applyAlignment="1">
      <alignment horizontal="center"/>
    </xf>
    <xf numFmtId="3" fontId="13" fillId="0" borderId="0" xfId="5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13" fillId="0" borderId="13" xfId="5" applyNumberFormat="1" applyFont="1" applyFill="1" applyBorder="1" applyAlignment="1">
      <alignment horizontal="center"/>
    </xf>
    <xf numFmtId="3" fontId="13" fillId="0" borderId="12" xfId="5" applyNumberFormat="1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/>
    </xf>
    <xf numFmtId="10" fontId="0" fillId="0" borderId="0" xfId="1" applyNumberFormat="1" applyFont="1"/>
    <xf numFmtId="3" fontId="0" fillId="0" borderId="0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right"/>
    </xf>
    <xf numFmtId="3" fontId="6" fillId="0" borderId="14" xfId="0" applyNumberFormat="1" applyFont="1" applyBorder="1" applyAlignment="1">
      <alignment horizontal="centerContinuous"/>
    </xf>
    <xf numFmtId="3" fontId="6" fillId="0" borderId="13" xfId="0" applyNumberFormat="1" applyFont="1" applyBorder="1" applyAlignment="1">
      <alignment horizontal="centerContinuous"/>
    </xf>
    <xf numFmtId="3" fontId="0" fillId="0" borderId="12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quotePrefix="1" applyNumberFormat="1" applyFont="1" applyBorder="1" applyAlignment="1">
      <alignment horizontal="center"/>
    </xf>
    <xf numFmtId="3" fontId="0" fillId="0" borderId="4" xfId="0" quotePrefix="1" applyNumberFormat="1" applyFont="1" applyBorder="1"/>
    <xf numFmtId="3" fontId="1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9" fontId="0" fillId="0" borderId="1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right"/>
    </xf>
    <xf numFmtId="3" fontId="0" fillId="7" borderId="8" xfId="0" applyNumberFormat="1" applyFont="1" applyFill="1" applyBorder="1" applyAlignment="1">
      <alignment horizontal="right"/>
    </xf>
    <xf numFmtId="4" fontId="0" fillId="0" borderId="0" xfId="0" applyNumberFormat="1" applyFont="1"/>
    <xf numFmtId="9" fontId="0" fillId="0" borderId="14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3" fontId="0" fillId="7" borderId="12" xfId="0" applyNumberFormat="1" applyFont="1" applyFill="1" applyBorder="1" applyAlignment="1">
      <alignment horizontal="right"/>
    </xf>
    <xf numFmtId="3" fontId="0" fillId="7" borderId="13" xfId="0" applyNumberFormat="1" applyFont="1" applyFill="1" applyBorder="1" applyAlignment="1">
      <alignment horizontal="right"/>
    </xf>
    <xf numFmtId="0" fontId="15" fillId="0" borderId="0" xfId="0" applyFont="1"/>
    <xf numFmtId="3" fontId="14" fillId="0" borderId="0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166" fontId="0" fillId="0" borderId="7" xfId="0" quotePrefix="1" applyNumberFormat="1" applyFont="1" applyBorder="1" applyAlignment="1">
      <alignment horizontal="center"/>
    </xf>
    <xf numFmtId="167" fontId="0" fillId="0" borderId="10" xfId="0" applyNumberFormat="1" applyFont="1" applyBorder="1"/>
    <xf numFmtId="166" fontId="0" fillId="0" borderId="11" xfId="0" quotePrefix="1" applyNumberFormat="1" applyFont="1" applyBorder="1" applyAlignment="1">
      <alignment horizontal="center"/>
    </xf>
    <xf numFmtId="167" fontId="0" fillId="0" borderId="14" xfId="0" applyNumberFormat="1" applyFont="1" applyBorder="1"/>
    <xf numFmtId="3" fontId="0" fillId="0" borderId="13" xfId="0" quotePrefix="1" applyNumberFormat="1" applyFont="1" applyBorder="1" applyAlignment="1">
      <alignment horizontal="center"/>
    </xf>
    <xf numFmtId="10" fontId="0" fillId="7" borderId="8" xfId="1" applyNumberFormat="1" applyFont="1" applyFill="1" applyBorder="1"/>
    <xf numFmtId="10" fontId="0" fillId="7" borderId="13" xfId="1" applyNumberFormat="1" applyFont="1" applyFill="1" applyBorder="1"/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8" xfId="0" applyNumberFormat="1" applyFont="1" applyFill="1" applyBorder="1"/>
    <xf numFmtId="9" fontId="0" fillId="0" borderId="7" xfId="1" quotePrefix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13" xfId="0" applyNumberFormat="1" applyFont="1" applyFill="1" applyBorder="1"/>
    <xf numFmtId="10" fontId="0" fillId="0" borderId="11" xfId="1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3" fontId="10" fillId="0" borderId="0" xfId="0" quotePrefix="1" applyNumberFormat="1" applyFont="1" applyAlignment="1">
      <alignment horizontal="center"/>
    </xf>
    <xf numFmtId="3" fontId="15" fillId="0" borderId="0" xfId="0" applyNumberFormat="1" applyFont="1"/>
    <xf numFmtId="0" fontId="0" fillId="7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7" borderId="0" xfId="0" quotePrefix="1" applyNumberFormat="1" applyFont="1" applyFill="1" applyAlignment="1">
      <alignment horizontal="center"/>
    </xf>
    <xf numFmtId="3" fontId="13" fillId="0" borderId="0" xfId="0" applyNumberFormat="1" applyFont="1" applyAlignment="1">
      <alignment horizontal="left"/>
    </xf>
    <xf numFmtId="3" fontId="6" fillId="7" borderId="0" xfId="0" applyNumberFormat="1" applyFont="1" applyFill="1" applyAlignment="1">
      <alignment horizontal="center"/>
    </xf>
    <xf numFmtId="0" fontId="0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7" borderId="8" xfId="0" applyNumberFormat="1" applyFont="1" applyFill="1" applyBorder="1"/>
    <xf numFmtId="3" fontId="10" fillId="0" borderId="0" xfId="0" applyNumberFormat="1" applyFont="1" applyAlignment="1">
      <alignment horizontal="right"/>
    </xf>
    <xf numFmtId="0" fontId="0" fillId="5" borderId="0" xfId="5" applyFont="1" applyAlignment="1">
      <alignment horizontal="center"/>
    </xf>
    <xf numFmtId="3" fontId="0" fillId="7" borderId="13" xfId="0" applyNumberFormat="1" applyFont="1" applyFill="1" applyBorder="1"/>
    <xf numFmtId="168" fontId="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5" fontId="0" fillId="0" borderId="0" xfId="1" applyNumberFormat="1" applyFont="1" applyAlignment="1">
      <alignment horizontal="center"/>
    </xf>
    <xf numFmtId="3" fontId="0" fillId="0" borderId="1" xfId="0" applyNumberFormat="1" applyFont="1" applyBorder="1"/>
    <xf numFmtId="3" fontId="5" fillId="0" borderId="5" xfId="0" applyNumberFormat="1" applyFont="1" applyBorder="1" applyAlignment="1">
      <alignment horizontal="centerContinuous"/>
    </xf>
    <xf numFmtId="3" fontId="0" fillId="0" borderId="5" xfId="0" applyNumberFormat="1" applyFont="1" applyBorder="1" applyAlignment="1">
      <alignment horizontal="centerContinuous"/>
    </xf>
    <xf numFmtId="3" fontId="14" fillId="0" borderId="5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3" fontId="0" fillId="0" borderId="12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164" fontId="0" fillId="7" borderId="6" xfId="1" applyNumberFormat="1" applyFont="1" applyFill="1" applyBorder="1"/>
    <xf numFmtId="3" fontId="0" fillId="7" borderId="0" xfId="0" applyNumberFormat="1" applyFont="1" applyFill="1" applyBorder="1" applyAlignment="1">
      <alignment horizontal="centerContinuous"/>
    </xf>
    <xf numFmtId="3" fontId="0" fillId="7" borderId="8" xfId="0" applyNumberFormat="1" applyFont="1" applyFill="1" applyBorder="1" applyAlignment="1">
      <alignment horizontal="centerContinuous"/>
    </xf>
    <xf numFmtId="3" fontId="5" fillId="0" borderId="12" xfId="0" applyNumberFormat="1" applyFont="1" applyBorder="1" applyAlignment="1">
      <alignment horizontal="centerContinuous"/>
    </xf>
    <xf numFmtId="3" fontId="14" fillId="0" borderId="12" xfId="0" applyNumberFormat="1" applyFont="1" applyBorder="1" applyAlignment="1">
      <alignment horizontal="centerContinuous"/>
    </xf>
    <xf numFmtId="3" fontId="1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7" borderId="12" xfId="0" applyNumberFormat="1" applyFont="1" applyFill="1" applyBorder="1" applyAlignment="1">
      <alignment horizontal="centerContinuous"/>
    </xf>
    <xf numFmtId="3" fontId="0" fillId="7" borderId="13" xfId="0" applyNumberFormat="1" applyFont="1" applyFill="1" applyBorder="1" applyAlignment="1">
      <alignment horizontal="centerContinuous"/>
    </xf>
    <xf numFmtId="3" fontId="13" fillId="0" borderId="12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5" fillId="0" borderId="0" xfId="0" quotePrefix="1" applyNumberFormat="1" applyFont="1" applyAlignment="1">
      <alignment horizontal="center"/>
    </xf>
    <xf numFmtId="0" fontId="0" fillId="8" borderId="0" xfId="0" applyFont="1" applyFill="1"/>
    <xf numFmtId="0" fontId="0" fillId="8" borderId="0" xfId="0" applyFont="1" applyFill="1" applyBorder="1"/>
    <xf numFmtId="0" fontId="0" fillId="8" borderId="0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left"/>
    </xf>
    <xf numFmtId="0" fontId="19" fillId="8" borderId="0" xfId="7" applyFont="1" applyFill="1" applyBorder="1" applyAlignment="1">
      <alignment horizontal="center"/>
    </xf>
    <xf numFmtId="0" fontId="17" fillId="8" borderId="0" xfId="0" applyFont="1" applyFill="1" applyBorder="1"/>
    <xf numFmtId="0" fontId="0" fillId="8" borderId="0" xfId="0" applyFont="1" applyFill="1" applyAlignment="1">
      <alignment horizontal="center"/>
    </xf>
    <xf numFmtId="3" fontId="2" fillId="2" borderId="0" xfId="2" applyNumberFormat="1" applyFont="1" applyAlignment="1">
      <alignment horizontal="center"/>
    </xf>
    <xf numFmtId="164" fontId="2" fillId="2" borderId="13" xfId="2" applyNumberFormat="1" applyFont="1" applyBorder="1" applyAlignment="1">
      <alignment horizontal="center"/>
    </xf>
    <xf numFmtId="3" fontId="2" fillId="2" borderId="0" xfId="2" applyNumberFormat="1" applyFont="1" applyAlignment="1">
      <alignment horizontal="left"/>
    </xf>
    <xf numFmtId="0" fontId="2" fillId="2" borderId="0" xfId="2" applyFont="1" applyAlignment="1">
      <alignment horizontal="center"/>
    </xf>
    <xf numFmtId="10" fontId="2" fillId="2" borderId="0" xfId="2" applyNumberFormat="1" applyFont="1" applyAlignment="1">
      <alignment horizontal="center"/>
    </xf>
    <xf numFmtId="3" fontId="0" fillId="5" borderId="0" xfId="5" applyNumberFormat="1" applyFont="1"/>
    <xf numFmtId="3" fontId="4" fillId="4" borderId="0" xfId="4" applyNumberFormat="1" applyFont="1" applyAlignment="1">
      <alignment horizontal="center"/>
    </xf>
    <xf numFmtId="10" fontId="4" fillId="4" borderId="4" xfId="4" applyNumberFormat="1" applyFont="1" applyBorder="1" applyAlignment="1">
      <alignment horizontal="center"/>
    </xf>
    <xf numFmtId="10" fontId="2" fillId="2" borderId="0" xfId="2" applyNumberFormat="1" applyFont="1"/>
    <xf numFmtId="167" fontId="4" fillId="4" borderId="10" xfId="4" applyNumberFormat="1" applyFont="1" applyBorder="1"/>
    <xf numFmtId="4" fontId="0" fillId="0" borderId="0" xfId="0" applyNumberFormat="1" applyFont="1" applyBorder="1"/>
    <xf numFmtId="4" fontId="0" fillId="0" borderId="12" xfId="0" applyNumberFormat="1" applyFont="1" applyBorder="1"/>
    <xf numFmtId="10" fontId="4" fillId="4" borderId="8" xfId="4" applyNumberFormat="1" applyFont="1" applyBorder="1"/>
    <xf numFmtId="4" fontId="7" fillId="6" borderId="0" xfId="6" applyNumberFormat="1" applyFont="1" applyBorder="1"/>
    <xf numFmtId="3" fontId="3" fillId="3" borderId="10" xfId="3" applyNumberFormat="1" applyFont="1" applyBorder="1" applyAlignment="1">
      <alignment horizontal="center"/>
    </xf>
    <xf numFmtId="10" fontId="3" fillId="3" borderId="8" xfId="3" applyNumberFormat="1" applyFont="1" applyBorder="1" applyAlignment="1">
      <alignment horizontal="center"/>
    </xf>
    <xf numFmtId="10" fontId="7" fillId="6" borderId="8" xfId="6" applyNumberFormat="1" applyFont="1" applyBorder="1"/>
    <xf numFmtId="3" fontId="3" fillId="3" borderId="14" xfId="3" applyNumberFormat="1" applyFont="1" applyBorder="1" applyAlignment="1">
      <alignment horizontal="center"/>
    </xf>
    <xf numFmtId="10" fontId="3" fillId="3" borderId="13" xfId="3" applyNumberFormat="1" applyFont="1" applyBorder="1" applyAlignment="1">
      <alignment horizontal="center"/>
    </xf>
    <xf numFmtId="0" fontId="4" fillId="4" borderId="0" xfId="4" applyFont="1" applyAlignment="1">
      <alignment horizontal="center"/>
    </xf>
    <xf numFmtId="3" fontId="0" fillId="5" borderId="0" xfId="5" applyNumberFormat="1" applyFont="1" applyAlignment="1">
      <alignment horizontal="center"/>
    </xf>
    <xf numFmtId="3" fontId="4" fillId="4" borderId="0" xfId="4" applyNumberFormat="1" applyFont="1" applyBorder="1" applyAlignment="1">
      <alignment horizontal="right"/>
    </xf>
    <xf numFmtId="3" fontId="4" fillId="4" borderId="0" xfId="4" applyNumberFormat="1" applyFont="1" applyBorder="1"/>
    <xf numFmtId="3" fontId="4" fillId="4" borderId="8" xfId="4" applyNumberFormat="1" applyFont="1" applyBorder="1"/>
    <xf numFmtId="3" fontId="4" fillId="4" borderId="12" xfId="4" applyNumberFormat="1" applyFont="1" applyBorder="1" applyAlignment="1">
      <alignment horizontal="right"/>
    </xf>
    <xf numFmtId="3" fontId="4" fillId="4" borderId="12" xfId="4" applyNumberFormat="1" applyFont="1" applyBorder="1"/>
    <xf numFmtId="3" fontId="4" fillId="4" borderId="13" xfId="4" applyNumberFormat="1" applyFont="1" applyBorder="1"/>
    <xf numFmtId="164" fontId="2" fillId="2" borderId="0" xfId="2" applyNumberFormat="1" applyFont="1" applyAlignment="1">
      <alignment horizontal="left"/>
    </xf>
    <xf numFmtId="0" fontId="18" fillId="8" borderId="0" xfId="0" applyFont="1" applyFill="1" applyAlignment="1">
      <alignment horizontal="center"/>
    </xf>
    <xf numFmtId="0" fontId="19" fillId="0" borderId="0" xfId="7" applyAlignment="1">
      <alignment horizontal="right"/>
    </xf>
  </cellXfs>
  <cellStyles count="8">
    <cellStyle name="40% - Accent1" xfId="5" builtinId="31"/>
    <cellStyle name="Accent2" xfId="6" builtinId="33"/>
    <cellStyle name="Bad" xfId="3" builtinId="27"/>
    <cellStyle name="Good" xfId="2" builtinId="26"/>
    <cellStyle name="Hyperlink" xfId="7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1105809</xdr:colOff>
      <xdr:row>4</xdr:row>
      <xdr:rowOff>38736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539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1105809</xdr:colOff>
      <xdr:row>4</xdr:row>
      <xdr:rowOff>38736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539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6:T18"/>
  <sheetViews>
    <sheetView tabSelected="1" zoomScale="85" zoomScaleNormal="85" workbookViewId="0">
      <selection activeCell="A10" sqref="A10"/>
    </sheetView>
  </sheetViews>
  <sheetFormatPr defaultRowHeight="15" x14ac:dyDescent="0.25"/>
  <cols>
    <col min="1" max="1" width="12" style="171" customWidth="1"/>
    <col min="2" max="2" width="21.42578125" style="171" customWidth="1"/>
    <col min="3" max="3" width="56.7109375" style="171" customWidth="1"/>
    <col min="4" max="16384" width="9.140625" style="171"/>
  </cols>
  <sheetData>
    <row r="6" spans="1:20" ht="21" x14ac:dyDescent="0.35">
      <c r="A6" s="207" t="s">
        <v>187</v>
      </c>
      <c r="B6" s="207"/>
      <c r="C6" s="207"/>
    </row>
    <row r="8" spans="1:20" x14ac:dyDescent="0.25">
      <c r="A8" s="172"/>
      <c r="B8" s="172"/>
      <c r="C8" s="173"/>
      <c r="D8" s="173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</row>
    <row r="9" spans="1:20" x14ac:dyDescent="0.25">
      <c r="A9" s="174" t="s">
        <v>188</v>
      </c>
      <c r="B9" s="174" t="s">
        <v>204</v>
      </c>
      <c r="C9" s="174" t="s">
        <v>189</v>
      </c>
      <c r="D9" s="173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</row>
    <row r="10" spans="1:20" x14ac:dyDescent="0.25">
      <c r="A10" s="176">
        <v>1</v>
      </c>
      <c r="B10" s="173" t="s">
        <v>205</v>
      </c>
      <c r="C10" s="172" t="s">
        <v>5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7"/>
      <c r="S10" s="177"/>
      <c r="T10" s="177"/>
    </row>
    <row r="11" spans="1:20" x14ac:dyDescent="0.25">
      <c r="A11" s="176">
        <v>2</v>
      </c>
      <c r="B11" s="173" t="s">
        <v>206</v>
      </c>
      <c r="C11" s="172" t="s">
        <v>44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7"/>
      <c r="S11" s="177"/>
      <c r="T11" s="177"/>
    </row>
    <row r="12" spans="1:20" x14ac:dyDescent="0.25">
      <c r="A12" s="176">
        <v>3</v>
      </c>
      <c r="B12" s="173" t="s">
        <v>207</v>
      </c>
      <c r="C12" s="172" t="s">
        <v>83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7"/>
      <c r="S12" s="177"/>
      <c r="T12" s="177"/>
    </row>
    <row r="13" spans="1:20" x14ac:dyDescent="0.25">
      <c r="A13" s="176">
        <v>4</v>
      </c>
      <c r="B13" s="173" t="s">
        <v>208</v>
      </c>
      <c r="C13" s="172" t="s">
        <v>126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7"/>
      <c r="S13" s="177"/>
      <c r="T13" s="177"/>
    </row>
    <row r="14" spans="1:20" x14ac:dyDescent="0.25">
      <c r="A14" s="176">
        <v>5</v>
      </c>
      <c r="B14" s="173" t="s">
        <v>209</v>
      </c>
      <c r="C14" s="172" t="s">
        <v>167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7"/>
      <c r="S14" s="177"/>
      <c r="T14" s="177"/>
    </row>
    <row r="15" spans="1:20" x14ac:dyDescent="0.25">
      <c r="B15" s="178"/>
    </row>
    <row r="16" spans="1:20" x14ac:dyDescent="0.25">
      <c r="B16" s="178"/>
    </row>
    <row r="17" spans="2:2" x14ac:dyDescent="0.25">
      <c r="B17" s="178"/>
    </row>
    <row r="18" spans="2:2" x14ac:dyDescent="0.25">
      <c r="B18" s="178"/>
    </row>
  </sheetData>
  <mergeCells count="1">
    <mergeCell ref="A6:C6"/>
  </mergeCells>
  <hyperlinks>
    <hyperlink ref="A10" location="'W-06-xs'!A1" display="'W-06-xs'!A1"/>
    <hyperlink ref="A11" location="'W-06-Ben'!A1" display="'W-06-Ben'!A1"/>
    <hyperlink ref="A12" location="'W-06-Trd1'!A1" display="'W-06-Trd1'!A1"/>
    <hyperlink ref="A13" location="'W-06-Trd2'!A1" display="'W-06-Trd2'!A1"/>
    <hyperlink ref="A14" location="'W-06-Levg'!A1" display="'W-06-Levg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8" width="9.140625" style="2" customWidth="1"/>
    <col min="19" max="19" width="11" style="2" bestFit="1" customWidth="1"/>
    <col min="2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8" x14ac:dyDescent="0.25">
      <c r="A1" s="1" t="s">
        <v>0</v>
      </c>
      <c r="C1" s="2" t="s">
        <v>41</v>
      </c>
      <c r="D1" s="3"/>
      <c r="E1" s="3"/>
      <c r="L1" s="208" t="s">
        <v>210</v>
      </c>
      <c r="M1" s="208"/>
      <c r="N1" s="4" t="s">
        <v>1</v>
      </c>
    </row>
    <row r="2" spans="1:28" x14ac:dyDescent="0.25">
      <c r="A2" s="1" t="s">
        <v>2</v>
      </c>
      <c r="C2" s="2" t="s">
        <v>3</v>
      </c>
      <c r="N2" s="4" t="s">
        <v>1</v>
      </c>
    </row>
    <row r="3" spans="1:28" x14ac:dyDescent="0.25">
      <c r="A3" s="1" t="s">
        <v>4</v>
      </c>
      <c r="C3" s="2" t="s">
        <v>5</v>
      </c>
      <c r="N3" s="4" t="s">
        <v>1</v>
      </c>
    </row>
    <row r="4" spans="1:2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Q4" s="5"/>
    </row>
    <row r="5" spans="1:28" x14ac:dyDescent="0.25">
      <c r="A5" s="7" t="s">
        <v>6</v>
      </c>
      <c r="B5" s="4" t="s">
        <v>7</v>
      </c>
      <c r="C5" s="5" t="s">
        <v>8</v>
      </c>
      <c r="D5" s="5"/>
      <c r="E5" s="5"/>
      <c r="F5" s="5"/>
      <c r="G5" s="5"/>
      <c r="H5" s="5"/>
      <c r="I5" s="8">
        <v>1000</v>
      </c>
      <c r="J5" s="9"/>
      <c r="K5" s="5"/>
      <c r="L5" s="5"/>
      <c r="M5" s="5"/>
      <c r="N5" s="4" t="s">
        <v>1</v>
      </c>
      <c r="O5" s="179" t="s">
        <v>7</v>
      </c>
      <c r="P5" s="5" t="s">
        <v>9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B6" s="4" t="s">
        <v>10</v>
      </c>
      <c r="C6" s="5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C7" s="5"/>
      <c r="J7" s="5"/>
      <c r="K7" s="5"/>
      <c r="L7" s="5"/>
      <c r="M7" s="5"/>
      <c r="N7" s="4" t="s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7"/>
      <c r="B8" s="5"/>
      <c r="D8" s="10"/>
      <c r="E8" s="10"/>
      <c r="F8" s="10"/>
      <c r="G8" s="10"/>
      <c r="H8" s="10"/>
      <c r="I8" s="10"/>
      <c r="K8" s="5"/>
      <c r="L8" s="5"/>
      <c r="M8" s="5"/>
      <c r="N8" s="4" t="s">
        <v>1</v>
      </c>
      <c r="O8" s="5"/>
      <c r="P8" s="11"/>
      <c r="Q8" s="12" t="s">
        <v>13</v>
      </c>
      <c r="R8" s="13" t="s">
        <v>14</v>
      </c>
      <c r="S8" s="13" t="s">
        <v>15</v>
      </c>
      <c r="T8" s="13" t="s">
        <v>16</v>
      </c>
      <c r="U8" s="14" t="s">
        <v>17</v>
      </c>
      <c r="V8" s="14" t="s">
        <v>18</v>
      </c>
      <c r="W8" s="5"/>
      <c r="X8" s="5"/>
      <c r="Y8" s="5"/>
      <c r="Z8" s="5"/>
      <c r="AA8" s="5"/>
      <c r="AB8" s="5"/>
    </row>
    <row r="9" spans="1:28" x14ac:dyDescent="0.25">
      <c r="A9" s="7" t="s">
        <v>19</v>
      </c>
      <c r="B9" s="5"/>
      <c r="C9" s="15"/>
      <c r="D9" s="16"/>
      <c r="E9" s="16" t="s">
        <v>20</v>
      </c>
      <c r="F9" s="17" t="s">
        <v>21</v>
      </c>
      <c r="G9" s="10"/>
      <c r="H9" s="5" t="s">
        <v>12</v>
      </c>
      <c r="I9" s="10"/>
      <c r="J9" s="5"/>
      <c r="K9" s="5"/>
      <c r="L9" s="5"/>
      <c r="M9" s="5"/>
      <c r="N9" s="4" t="s">
        <v>1</v>
      </c>
      <c r="O9" s="5"/>
      <c r="P9" s="18"/>
      <c r="Q9" s="19"/>
      <c r="R9" s="19" t="s">
        <v>20</v>
      </c>
      <c r="S9" s="19" t="s">
        <v>21</v>
      </c>
      <c r="T9" s="20" t="s">
        <v>22</v>
      </c>
      <c r="U9" s="21" t="s">
        <v>23</v>
      </c>
      <c r="V9" s="21"/>
      <c r="W9" s="5"/>
      <c r="X9" s="5"/>
      <c r="Y9" s="5"/>
      <c r="Z9" s="5"/>
      <c r="AA9" s="5"/>
      <c r="AB9" s="5"/>
    </row>
    <row r="10" spans="1:28" x14ac:dyDescent="0.25">
      <c r="A10" s="5"/>
      <c r="B10" s="5"/>
      <c r="C10" s="18"/>
      <c r="D10" s="19" t="s">
        <v>24</v>
      </c>
      <c r="E10" s="19" t="s">
        <v>25</v>
      </c>
      <c r="F10" s="21" t="s">
        <v>25</v>
      </c>
      <c r="G10" s="10"/>
      <c r="H10" s="10"/>
      <c r="I10" s="10"/>
      <c r="J10" s="5"/>
      <c r="K10" s="5"/>
      <c r="L10" s="5"/>
      <c r="M10" s="5"/>
      <c r="N10" s="4" t="s">
        <v>1</v>
      </c>
      <c r="O10" s="5"/>
      <c r="P10" s="18"/>
      <c r="Q10" s="19" t="s">
        <v>24</v>
      </c>
      <c r="R10" s="19" t="s">
        <v>25</v>
      </c>
      <c r="S10" s="19" t="s">
        <v>25</v>
      </c>
      <c r="T10" s="20" t="s">
        <v>26</v>
      </c>
      <c r="U10" s="23" t="s">
        <v>25</v>
      </c>
      <c r="V10" s="21" t="s">
        <v>25</v>
      </c>
      <c r="W10" s="5"/>
      <c r="X10" s="5"/>
      <c r="Y10" s="5"/>
      <c r="Z10" s="5"/>
      <c r="AA10" s="5"/>
      <c r="AB10" s="5"/>
    </row>
    <row r="11" spans="1:28" x14ac:dyDescent="0.25">
      <c r="A11" s="5"/>
      <c r="B11" s="5"/>
      <c r="C11" s="25" t="s">
        <v>27</v>
      </c>
      <c r="D11" s="26" t="s">
        <v>22</v>
      </c>
      <c r="E11" s="26" t="s">
        <v>28</v>
      </c>
      <c r="F11" s="27" t="s">
        <v>22</v>
      </c>
      <c r="G11" s="10"/>
      <c r="H11" s="10"/>
      <c r="I11" s="10"/>
      <c r="J11" s="5"/>
      <c r="K11" s="5"/>
      <c r="L11" s="5"/>
      <c r="M11" s="5"/>
      <c r="N11" s="4" t="s">
        <v>1</v>
      </c>
      <c r="O11" s="5"/>
      <c r="P11" s="25" t="s">
        <v>27</v>
      </c>
      <c r="Q11" s="26" t="s">
        <v>22</v>
      </c>
      <c r="R11" s="26" t="s">
        <v>28</v>
      </c>
      <c r="S11" s="26" t="s">
        <v>22</v>
      </c>
      <c r="T11" s="28">
        <f>I5</f>
        <v>1000</v>
      </c>
      <c r="U11" s="27" t="s">
        <v>22</v>
      </c>
      <c r="V11" s="27" t="s">
        <v>29</v>
      </c>
      <c r="W11" s="5"/>
      <c r="X11" s="5"/>
      <c r="Y11" s="5"/>
      <c r="Z11" s="5"/>
      <c r="AA11" s="5"/>
      <c r="AB11" s="5"/>
    </row>
    <row r="12" spans="1:28" x14ac:dyDescent="0.25">
      <c r="A12" s="7"/>
      <c r="B12" s="5"/>
      <c r="C12" s="29">
        <v>2020</v>
      </c>
      <c r="D12" s="30">
        <v>95000</v>
      </c>
      <c r="E12" s="30">
        <v>1</v>
      </c>
      <c r="F12" s="31">
        <v>6123</v>
      </c>
      <c r="G12" s="6"/>
      <c r="H12" s="5"/>
      <c r="I12" s="32"/>
      <c r="J12" s="5"/>
      <c r="K12" s="5"/>
      <c r="L12" s="5"/>
      <c r="M12" s="5"/>
      <c r="N12" s="4" t="s">
        <v>1</v>
      </c>
      <c r="O12" s="5"/>
      <c r="P12" s="29">
        <v>2020</v>
      </c>
      <c r="Q12" s="30">
        <f t="shared" ref="Q12:S17" si="0">D12</f>
        <v>95000</v>
      </c>
      <c r="R12" s="30">
        <f t="shared" si="0"/>
        <v>1</v>
      </c>
      <c r="S12" s="30">
        <f t="shared" si="0"/>
        <v>6123</v>
      </c>
      <c r="T12" s="19">
        <f>S12-R12*T11</f>
        <v>5123</v>
      </c>
      <c r="U12" s="21">
        <f t="shared" ref="U12:U17" si="1">Q12-T12</f>
        <v>89877</v>
      </c>
      <c r="V12" s="33">
        <f>ROUND(T12/U12,3)</f>
        <v>5.7000000000000002E-2</v>
      </c>
      <c r="W12" s="5"/>
      <c r="X12" s="5"/>
      <c r="Y12" s="5"/>
      <c r="Z12" s="5"/>
      <c r="AA12" s="5"/>
      <c r="AB12" s="5"/>
    </row>
    <row r="13" spans="1:28" x14ac:dyDescent="0.25">
      <c r="A13" s="5"/>
      <c r="B13" s="5"/>
      <c r="C13" s="29">
        <v>2021</v>
      </c>
      <c r="D13" s="30">
        <v>110000</v>
      </c>
      <c r="E13" s="30">
        <v>23</v>
      </c>
      <c r="F13" s="31">
        <v>29617</v>
      </c>
      <c r="G13" s="6"/>
      <c r="H13" s="6"/>
      <c r="I13" s="32"/>
      <c r="J13" s="5"/>
      <c r="K13" s="5"/>
      <c r="L13" s="5"/>
      <c r="M13" s="5"/>
      <c r="N13" s="4" t="s">
        <v>1</v>
      </c>
      <c r="O13" s="5"/>
      <c r="P13" s="29">
        <f>P12+1</f>
        <v>2021</v>
      </c>
      <c r="Q13" s="30">
        <f t="shared" si="0"/>
        <v>110000</v>
      </c>
      <c r="R13" s="30">
        <f t="shared" si="0"/>
        <v>23</v>
      </c>
      <c r="S13" s="30">
        <f t="shared" si="0"/>
        <v>29617</v>
      </c>
      <c r="T13" s="19">
        <f>S13-R13*T11</f>
        <v>6617</v>
      </c>
      <c r="U13" s="21">
        <f t="shared" si="1"/>
        <v>103383</v>
      </c>
      <c r="V13" s="33">
        <f>T13/U13</f>
        <v>6.4004720311850116E-2</v>
      </c>
      <c r="W13" s="5"/>
      <c r="X13" s="5"/>
      <c r="Y13" s="5"/>
      <c r="Z13" s="5"/>
      <c r="AA13" s="5"/>
      <c r="AB13" s="5"/>
    </row>
    <row r="14" spans="1:28" x14ac:dyDescent="0.25">
      <c r="A14" s="5"/>
      <c r="B14" s="5"/>
      <c r="C14" s="29">
        <v>2022</v>
      </c>
      <c r="D14" s="30">
        <v>89100</v>
      </c>
      <c r="E14" s="30">
        <v>10</v>
      </c>
      <c r="F14" s="31">
        <v>11057</v>
      </c>
      <c r="G14" s="6"/>
      <c r="H14" s="6"/>
      <c r="I14" s="32"/>
      <c r="J14" s="5"/>
      <c r="K14" s="5"/>
      <c r="L14" s="5"/>
      <c r="M14" s="5"/>
      <c r="N14" s="4" t="s">
        <v>1</v>
      </c>
      <c r="O14" s="5"/>
      <c r="P14" s="29">
        <f>P13+1</f>
        <v>2022</v>
      </c>
      <c r="Q14" s="30">
        <f t="shared" si="0"/>
        <v>89100</v>
      </c>
      <c r="R14" s="30">
        <f t="shared" si="0"/>
        <v>10</v>
      </c>
      <c r="S14" s="30">
        <f t="shared" si="0"/>
        <v>11057</v>
      </c>
      <c r="T14" s="19">
        <f>S14-R14*T11</f>
        <v>1057</v>
      </c>
      <c r="U14" s="21">
        <f t="shared" si="1"/>
        <v>88043</v>
      </c>
      <c r="V14" s="33">
        <f>T14/U14</f>
        <v>1.2005497313812568E-2</v>
      </c>
      <c r="W14" s="5"/>
      <c r="X14" s="5"/>
      <c r="Y14" s="5"/>
      <c r="Z14" s="5"/>
      <c r="AA14" s="5"/>
      <c r="AB14" s="5"/>
    </row>
    <row r="15" spans="1:28" x14ac:dyDescent="0.25">
      <c r="C15" s="29">
        <v>2023</v>
      </c>
      <c r="D15" s="30">
        <v>118560</v>
      </c>
      <c r="E15" s="30">
        <v>20</v>
      </c>
      <c r="F15" s="31">
        <v>23565</v>
      </c>
      <c r="G15" s="6"/>
      <c r="H15" s="6"/>
      <c r="I15" s="32"/>
      <c r="J15" s="5"/>
      <c r="K15" s="5"/>
      <c r="L15" s="5"/>
      <c r="M15" s="5"/>
      <c r="N15" s="4" t="s">
        <v>1</v>
      </c>
      <c r="O15" s="5"/>
      <c r="P15" s="29">
        <f>P14+1</f>
        <v>2023</v>
      </c>
      <c r="Q15" s="30">
        <f t="shared" si="0"/>
        <v>118560</v>
      </c>
      <c r="R15" s="30">
        <f t="shared" si="0"/>
        <v>20</v>
      </c>
      <c r="S15" s="30">
        <f t="shared" si="0"/>
        <v>23565</v>
      </c>
      <c r="T15" s="19">
        <f>S15-R15*T11</f>
        <v>3565</v>
      </c>
      <c r="U15" s="21">
        <f t="shared" si="1"/>
        <v>114995</v>
      </c>
      <c r="V15" s="33">
        <f>T15/U15</f>
        <v>3.1001347884690639E-2</v>
      </c>
      <c r="W15" s="5"/>
      <c r="X15" s="5"/>
      <c r="Y15" s="5"/>
      <c r="Z15" s="5"/>
      <c r="AA15" s="5"/>
      <c r="AB15" s="5"/>
    </row>
    <row r="16" spans="1:28" x14ac:dyDescent="0.25">
      <c r="C16" s="29">
        <v>2024</v>
      </c>
      <c r="D16" s="30">
        <v>106080</v>
      </c>
      <c r="E16" s="30">
        <v>13</v>
      </c>
      <c r="F16" s="31">
        <v>17568</v>
      </c>
      <c r="G16" s="6"/>
      <c r="H16" s="6"/>
      <c r="I16" s="32"/>
      <c r="J16" s="5"/>
      <c r="K16" s="5"/>
      <c r="L16" s="5"/>
      <c r="M16" s="5"/>
      <c r="N16" s="4" t="s">
        <v>1</v>
      </c>
      <c r="O16" s="5"/>
      <c r="P16" s="29">
        <f>P15+1</f>
        <v>2024</v>
      </c>
      <c r="Q16" s="30">
        <f t="shared" si="0"/>
        <v>106080</v>
      </c>
      <c r="R16" s="30">
        <f t="shared" si="0"/>
        <v>13</v>
      </c>
      <c r="S16" s="30">
        <f t="shared" si="0"/>
        <v>17568</v>
      </c>
      <c r="T16" s="19">
        <f>S16-R16*T11</f>
        <v>4568</v>
      </c>
      <c r="U16" s="21">
        <f t="shared" si="1"/>
        <v>101512</v>
      </c>
      <c r="V16" s="33">
        <f>T16/U16</f>
        <v>4.4999605957916307E-2</v>
      </c>
      <c r="W16" s="5"/>
      <c r="X16" s="5"/>
      <c r="Y16" s="5"/>
      <c r="Z16" s="5"/>
      <c r="AA16" s="5"/>
      <c r="AB16" s="5"/>
    </row>
    <row r="17" spans="3:28" x14ac:dyDescent="0.25">
      <c r="C17" s="35">
        <v>2025</v>
      </c>
      <c r="D17" s="36">
        <v>123310</v>
      </c>
      <c r="E17" s="36">
        <v>7</v>
      </c>
      <c r="F17" s="37">
        <v>10824</v>
      </c>
      <c r="G17" s="6"/>
      <c r="H17" s="6"/>
      <c r="I17" s="32"/>
      <c r="J17" s="5"/>
      <c r="K17" s="5"/>
      <c r="L17" s="5"/>
      <c r="M17" s="5"/>
      <c r="N17" s="4" t="s">
        <v>1</v>
      </c>
      <c r="O17" s="5"/>
      <c r="P17" s="35">
        <f>P16+1</f>
        <v>2025</v>
      </c>
      <c r="Q17" s="36">
        <f t="shared" si="0"/>
        <v>123310</v>
      </c>
      <c r="R17" s="36">
        <f t="shared" si="0"/>
        <v>7</v>
      </c>
      <c r="S17" s="36">
        <f t="shared" si="0"/>
        <v>10824</v>
      </c>
      <c r="T17" s="26">
        <f>S17-R17*T11</f>
        <v>3824</v>
      </c>
      <c r="U17" s="27">
        <f t="shared" si="1"/>
        <v>119486</v>
      </c>
      <c r="V17" s="38">
        <f>T17/U17</f>
        <v>3.2003749393234353E-2</v>
      </c>
      <c r="W17" s="5"/>
      <c r="X17" s="5"/>
      <c r="Y17" s="5"/>
      <c r="Z17" s="5"/>
      <c r="AA17" s="5"/>
      <c r="AB17" s="5"/>
    </row>
    <row r="18" spans="3:28" x14ac:dyDescent="0.25">
      <c r="C18" s="25" t="s">
        <v>30</v>
      </c>
      <c r="D18" s="26">
        <v>642050</v>
      </c>
      <c r="E18" s="26">
        <v>74</v>
      </c>
      <c r="F18" s="27">
        <v>98754</v>
      </c>
      <c r="G18" s="5"/>
      <c r="H18" s="5"/>
      <c r="I18" s="5"/>
      <c r="J18" s="5"/>
      <c r="K18" s="5"/>
      <c r="L18" s="5"/>
      <c r="M18" s="5"/>
      <c r="N18" s="4" t="s">
        <v>1</v>
      </c>
      <c r="O18" s="5"/>
      <c r="P18" s="25" t="s">
        <v>31</v>
      </c>
      <c r="Q18" s="26">
        <f>SUM(Q12:Q17)</f>
        <v>642050</v>
      </c>
      <c r="R18" s="26">
        <f>SUM(R12:R17)</f>
        <v>74</v>
      </c>
      <c r="S18" s="26">
        <f>SUM(S12:S17)</f>
        <v>98754</v>
      </c>
      <c r="T18" s="26">
        <f>SUM(T12:T17)</f>
        <v>24754</v>
      </c>
      <c r="U18" s="27">
        <f>SUM(U12:U17)</f>
        <v>617296</v>
      </c>
      <c r="V18" s="180">
        <f>ROUND(T18/U18,3)</f>
        <v>0.04</v>
      </c>
      <c r="W18" s="5"/>
      <c r="X18" s="5"/>
      <c r="Y18" s="5"/>
      <c r="Z18" s="5"/>
      <c r="AA18" s="5"/>
      <c r="AB18" s="5"/>
    </row>
    <row r="19" spans="3:28" x14ac:dyDescent="0.25">
      <c r="N19" s="4" t="s">
        <v>1</v>
      </c>
      <c r="O19" s="5"/>
      <c r="P19" s="5"/>
      <c r="Q19" s="5"/>
      <c r="R19" s="5"/>
      <c r="S19" s="5"/>
      <c r="T19" s="5"/>
      <c r="U19" s="5"/>
      <c r="V19" s="39" t="s">
        <v>32</v>
      </c>
      <c r="W19" s="5"/>
      <c r="X19" s="5"/>
      <c r="Y19" s="5"/>
      <c r="Z19" s="5"/>
      <c r="AA19" s="5"/>
      <c r="AB19" s="5"/>
    </row>
    <row r="20" spans="3:28" x14ac:dyDescent="0.25">
      <c r="N20" s="4" t="s">
        <v>1</v>
      </c>
      <c r="O20" s="5"/>
      <c r="P20" s="40" t="s">
        <v>33</v>
      </c>
      <c r="Q20" s="40" t="str">
        <f>"[ "&amp;T11 &amp; " x (2) ]"</f>
        <v>[ 1000 x (2) ]</v>
      </c>
      <c r="R20" s="41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3:28" x14ac:dyDescent="0.25">
      <c r="N21" s="4" t="s">
        <v>1</v>
      </c>
      <c r="O21" s="5"/>
      <c r="P21" s="41" t="s">
        <v>34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3:28" x14ac:dyDescent="0.25">
      <c r="N22" s="4" t="s">
        <v>1</v>
      </c>
      <c r="O22" s="5"/>
      <c r="P22" s="41" t="s">
        <v>35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3:28" x14ac:dyDescent="0.25">
      <c r="N23" s="4" t="s">
        <v>1</v>
      </c>
      <c r="O23" s="5"/>
      <c r="P23" s="41" t="s">
        <v>36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3:28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 t="s">
        <v>1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8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 t="s">
        <v>1</v>
      </c>
      <c r="O25" s="179" t="s">
        <v>10</v>
      </c>
      <c r="P25" s="5" t="s">
        <v>42</v>
      </c>
      <c r="Q25" s="5"/>
      <c r="R25" s="5"/>
      <c r="S25" s="6" t="s">
        <v>37</v>
      </c>
      <c r="T25" s="5" t="s">
        <v>38</v>
      </c>
      <c r="U25" s="5"/>
      <c r="V25" s="6" t="s">
        <v>39</v>
      </c>
      <c r="W25" s="5" t="s">
        <v>40</v>
      </c>
      <c r="X25" s="5"/>
      <c r="Y25" s="5"/>
      <c r="Z25" s="5"/>
      <c r="AA25" s="5"/>
    </row>
    <row r="26" spans="3:28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 t="s">
        <v>1</v>
      </c>
      <c r="O26" s="5"/>
      <c r="P26" s="5"/>
      <c r="Q26" s="5"/>
      <c r="R26" s="5"/>
      <c r="S26" s="6" t="s">
        <v>37</v>
      </c>
      <c r="T26" s="42">
        <f>U17</f>
        <v>119486</v>
      </c>
      <c r="U26" s="5"/>
      <c r="V26" s="6" t="s">
        <v>39</v>
      </c>
      <c r="W26" s="43">
        <f>1+V18</f>
        <v>1.04</v>
      </c>
      <c r="X26" s="5"/>
      <c r="Y26" s="5"/>
      <c r="Z26" s="5"/>
      <c r="AA26" s="5"/>
    </row>
    <row r="27" spans="3:28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 t="s">
        <v>1</v>
      </c>
      <c r="O27" s="5"/>
      <c r="P27" s="5"/>
      <c r="Q27" s="5"/>
      <c r="R27" s="5"/>
      <c r="S27" s="6" t="s">
        <v>37</v>
      </c>
      <c r="T27" s="181">
        <f>T26*W26</f>
        <v>124265.44</v>
      </c>
      <c r="U27" s="5"/>
      <c r="V27" s="5"/>
      <c r="W27" s="5"/>
      <c r="X27" s="5"/>
      <c r="Y27" s="5"/>
      <c r="Z27" s="5"/>
      <c r="AA27" s="5"/>
    </row>
    <row r="28" spans="3:28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 t="s">
        <v>1</v>
      </c>
      <c r="O28" s="5"/>
      <c r="P28" s="5"/>
      <c r="Q28" s="5"/>
      <c r="R28" s="5"/>
      <c r="S28" s="5"/>
      <c r="T28" s="39" t="s">
        <v>32</v>
      </c>
      <c r="U28" s="5"/>
      <c r="V28" s="5"/>
      <c r="W28" s="5"/>
      <c r="X28" s="5"/>
      <c r="Y28" s="5"/>
      <c r="Z28" s="5"/>
      <c r="AA28" s="5"/>
    </row>
    <row r="29" spans="3:28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 t="s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8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8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 t="s">
        <v>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8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 t="s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 t="s">
        <v>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 t="s">
        <v>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 t="s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 t="s">
        <v>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 t="s">
        <v>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</row>
    <row r="42" spans="1:27" x14ac:dyDescent="0.25">
      <c r="N42" s="4" t="s">
        <v>1</v>
      </c>
    </row>
    <row r="43" spans="1:27" x14ac:dyDescent="0.25">
      <c r="N43" s="4" t="s">
        <v>1</v>
      </c>
    </row>
    <row r="44" spans="1:27" x14ac:dyDescent="0.25">
      <c r="N44" s="4" t="s">
        <v>1</v>
      </c>
    </row>
    <row r="45" spans="1:27" x14ac:dyDescent="0.25">
      <c r="N45" s="4" t="s">
        <v>1</v>
      </c>
    </row>
    <row r="46" spans="1:27" x14ac:dyDescent="0.25">
      <c r="N46" s="4" t="s">
        <v>1</v>
      </c>
    </row>
    <row r="47" spans="1:27" x14ac:dyDescent="0.25">
      <c r="N47" s="4" t="s">
        <v>1</v>
      </c>
    </row>
    <row r="48" spans="1:27" x14ac:dyDescent="0.25">
      <c r="N48" s="4" t="s">
        <v>1</v>
      </c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_x0009_"/>
  </hyperlink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4" width="9.140625" style="2" customWidth="1"/>
    <col min="15" max="15" width="8.7109375" style="2" customWidth="1"/>
    <col min="16" max="18" width="9.140625" style="2" customWidth="1"/>
    <col min="19" max="22" width="9.7109375" style="2" customWidth="1"/>
    <col min="23" max="23" width="7.7109375" style="2" customWidth="1"/>
    <col min="24" max="24" width="9.7109375" style="2" customWidth="1"/>
    <col min="25" max="25" width="9.140625" style="2" customWidth="1"/>
    <col min="26" max="26" width="9.140625" style="2"/>
    <col min="27" max="27" width="9.140625" style="2" customWidth="1"/>
    <col min="28" max="16384" width="9.140625" style="2"/>
  </cols>
  <sheetData>
    <row r="1" spans="1:27" x14ac:dyDescent="0.25">
      <c r="A1" s="1" t="s">
        <v>0</v>
      </c>
      <c r="C1" s="2" t="s">
        <v>41</v>
      </c>
      <c r="D1" s="3"/>
      <c r="E1" s="3"/>
      <c r="L1" s="208" t="s">
        <v>210</v>
      </c>
      <c r="M1" s="208"/>
      <c r="N1" s="4" t="s">
        <v>1</v>
      </c>
    </row>
    <row r="2" spans="1:27" x14ac:dyDescent="0.25">
      <c r="A2" s="1" t="s">
        <v>2</v>
      </c>
      <c r="C2" s="2" t="s">
        <v>43</v>
      </c>
      <c r="N2" s="4" t="s">
        <v>1</v>
      </c>
    </row>
    <row r="3" spans="1:27" x14ac:dyDescent="0.25">
      <c r="A3" s="1" t="s">
        <v>4</v>
      </c>
      <c r="C3" s="2" t="s">
        <v>44</v>
      </c>
      <c r="N3" s="4" t="s">
        <v>1</v>
      </c>
      <c r="O3" s="198" t="s">
        <v>45</v>
      </c>
      <c r="P3" s="2" t="s">
        <v>46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P4" s="3"/>
    </row>
    <row r="5" spans="1:27" x14ac:dyDescent="0.25">
      <c r="A5" s="7" t="s">
        <v>6</v>
      </c>
      <c r="C5" s="5" t="s">
        <v>47</v>
      </c>
      <c r="D5" s="5"/>
      <c r="E5" s="5"/>
      <c r="F5" s="5"/>
      <c r="G5" s="5"/>
      <c r="H5" s="5"/>
      <c r="I5" s="5"/>
      <c r="J5" s="5"/>
      <c r="K5" s="5"/>
      <c r="L5" s="5"/>
      <c r="M5" s="5"/>
      <c r="N5" s="4" t="s">
        <v>1</v>
      </c>
      <c r="O5" s="5"/>
      <c r="P5" s="5"/>
      <c r="Q5" s="5"/>
      <c r="R5" s="5"/>
      <c r="S5" s="44" t="s">
        <v>48</v>
      </c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</v>
      </c>
      <c r="O6" s="5"/>
      <c r="P6" s="5" t="s">
        <v>49</v>
      </c>
      <c r="Q6" s="5"/>
      <c r="R6" s="6" t="s">
        <v>37</v>
      </c>
      <c r="S6" s="6">
        <f>F8</f>
        <v>1300</v>
      </c>
      <c r="T6" s="6" t="s">
        <v>39</v>
      </c>
      <c r="U6" s="45">
        <f>K12</f>
        <v>0.5</v>
      </c>
      <c r="V6" s="6" t="s">
        <v>37</v>
      </c>
      <c r="W6" s="5">
        <f>S6*U6</f>
        <v>650</v>
      </c>
      <c r="X6" s="5"/>
      <c r="Y6" s="5"/>
      <c r="Z6" s="5"/>
      <c r="AA6" s="5"/>
    </row>
    <row r="7" spans="1:27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 t="s">
        <v>1</v>
      </c>
      <c r="O7" s="5"/>
      <c r="P7" s="5" t="s">
        <v>50</v>
      </c>
      <c r="Q7" s="5"/>
      <c r="R7" s="6" t="s">
        <v>37</v>
      </c>
      <c r="S7" s="6">
        <f>F8</f>
        <v>1300</v>
      </c>
      <c r="T7" s="6" t="s">
        <v>39</v>
      </c>
      <c r="U7" s="45">
        <f>K13</f>
        <v>1.3</v>
      </c>
      <c r="V7" s="6" t="s">
        <v>37</v>
      </c>
      <c r="W7" s="5">
        <f>S7*U7</f>
        <v>1690</v>
      </c>
      <c r="X7" s="5"/>
      <c r="Y7" s="5"/>
      <c r="Z7" s="5"/>
      <c r="AA7" s="5"/>
    </row>
    <row r="8" spans="1:27" x14ac:dyDescent="0.25">
      <c r="A8" s="7" t="s">
        <v>19</v>
      </c>
      <c r="B8" s="5"/>
      <c r="C8" s="46" t="s">
        <v>51</v>
      </c>
      <c r="D8" s="47"/>
      <c r="E8" s="48"/>
      <c r="F8" s="49">
        <v>1300</v>
      </c>
      <c r="G8" s="50" t="s">
        <v>52</v>
      </c>
      <c r="H8" s="51" t="s">
        <v>48</v>
      </c>
      <c r="I8" s="5"/>
      <c r="J8" s="5"/>
      <c r="K8" s="5"/>
      <c r="L8" s="5"/>
      <c r="M8" s="5"/>
      <c r="N8" s="4" t="s">
        <v>1</v>
      </c>
      <c r="O8" s="5"/>
      <c r="P8" s="5" t="s">
        <v>53</v>
      </c>
      <c r="Q8" s="5"/>
      <c r="R8" s="6" t="s">
        <v>37</v>
      </c>
      <c r="S8" s="6">
        <f>F8</f>
        <v>1300</v>
      </c>
      <c r="T8" s="6" t="s">
        <v>39</v>
      </c>
      <c r="U8" s="45">
        <f>L12</f>
        <v>0.6</v>
      </c>
      <c r="V8" s="6" t="s">
        <v>37</v>
      </c>
      <c r="W8" s="5">
        <f>S8*U8</f>
        <v>780</v>
      </c>
      <c r="X8" s="5"/>
      <c r="Y8" s="5"/>
      <c r="Z8" s="5"/>
      <c r="AA8" s="5"/>
    </row>
    <row r="9" spans="1:27" x14ac:dyDescent="0.25">
      <c r="A9" s="5"/>
      <c r="B9" s="5"/>
      <c r="F9" s="5"/>
      <c r="G9" s="5"/>
      <c r="H9" s="5"/>
      <c r="I9" s="5"/>
      <c r="J9" s="5"/>
      <c r="K9" s="5"/>
      <c r="L9" s="5"/>
      <c r="M9" s="5"/>
      <c r="N9" s="4" t="s">
        <v>1</v>
      </c>
      <c r="O9" s="5"/>
      <c r="P9" s="5" t="s">
        <v>54</v>
      </c>
      <c r="Q9" s="5"/>
      <c r="R9" s="6" t="s">
        <v>37</v>
      </c>
      <c r="S9" s="6">
        <f>F8</f>
        <v>1300</v>
      </c>
      <c r="T9" s="6" t="s">
        <v>39</v>
      </c>
      <c r="U9" s="45">
        <f>L13</f>
        <v>1.1100000000000001</v>
      </c>
      <c r="V9" s="6" t="s">
        <v>37</v>
      </c>
      <c r="W9" s="5">
        <f>S9*U9</f>
        <v>1443.0000000000002</v>
      </c>
      <c r="X9" s="5"/>
      <c r="Y9" s="5"/>
      <c r="Z9" s="5"/>
      <c r="AA9" s="5"/>
    </row>
    <row r="10" spans="1:27" x14ac:dyDescent="0.25">
      <c r="A10" s="7"/>
      <c r="B10" s="5"/>
      <c r="C10" s="22"/>
      <c r="D10" s="53"/>
      <c r="E10" s="16"/>
      <c r="F10" s="17" t="s">
        <v>30</v>
      </c>
      <c r="G10" s="5"/>
      <c r="H10" s="46"/>
      <c r="I10" s="47"/>
      <c r="J10" s="48"/>
      <c r="K10" s="54" t="s">
        <v>55</v>
      </c>
      <c r="L10" s="55" t="s">
        <v>56</v>
      </c>
      <c r="M10" s="5"/>
      <c r="N10" s="4" t="s">
        <v>1</v>
      </c>
      <c r="O10" s="5"/>
      <c r="X10" s="5"/>
      <c r="Y10" s="5"/>
      <c r="Z10" s="5"/>
      <c r="AA10" s="5"/>
    </row>
    <row r="11" spans="1:27" x14ac:dyDescent="0.25">
      <c r="A11" s="5"/>
      <c r="B11" s="5"/>
      <c r="C11" s="56" t="s">
        <v>57</v>
      </c>
      <c r="D11" s="57"/>
      <c r="E11" s="19" t="s">
        <v>20</v>
      </c>
      <c r="F11" s="21" t="s">
        <v>58</v>
      </c>
      <c r="G11" s="5"/>
      <c r="H11" s="58" t="s">
        <v>59</v>
      </c>
      <c r="I11" s="59"/>
      <c r="J11" s="60"/>
      <c r="K11" s="61">
        <v>0.9</v>
      </c>
      <c r="L11" s="62">
        <v>0.9</v>
      </c>
      <c r="M11" s="5"/>
      <c r="N11" s="4" t="s">
        <v>1</v>
      </c>
      <c r="O11" s="199" t="s">
        <v>60</v>
      </c>
      <c r="P11" s="5" t="s">
        <v>61</v>
      </c>
      <c r="X11" s="5"/>
      <c r="Y11" s="5"/>
      <c r="Z11" s="5"/>
      <c r="AA11" s="5"/>
    </row>
    <row r="12" spans="1:27" x14ac:dyDescent="0.25">
      <c r="A12" s="5"/>
      <c r="B12" s="5"/>
      <c r="C12" s="63" t="s">
        <v>62</v>
      </c>
      <c r="D12" s="64" t="s">
        <v>63</v>
      </c>
      <c r="E12" s="26" t="s">
        <v>64</v>
      </c>
      <c r="F12" s="27" t="s">
        <v>65</v>
      </c>
      <c r="G12" s="5"/>
      <c r="H12" s="58" t="s">
        <v>66</v>
      </c>
      <c r="I12" s="59"/>
      <c r="J12" s="60"/>
      <c r="K12" s="61">
        <v>0.5</v>
      </c>
      <c r="L12" s="62">
        <v>0.6</v>
      </c>
      <c r="M12" s="5"/>
      <c r="N12" s="4" t="s">
        <v>1</v>
      </c>
      <c r="O12" s="5"/>
      <c r="X12" s="5"/>
      <c r="Y12" s="5"/>
      <c r="Z12" s="5"/>
      <c r="AA12" s="5"/>
    </row>
    <row r="13" spans="1:27" x14ac:dyDescent="0.25">
      <c r="C13" s="100">
        <v>0</v>
      </c>
      <c r="D13" s="101">
        <v>0.55555555555555558</v>
      </c>
      <c r="E13" s="102">
        <v>220</v>
      </c>
      <c r="F13" s="103">
        <v>79200</v>
      </c>
      <c r="G13" s="5"/>
      <c r="H13" s="66" t="s">
        <v>67</v>
      </c>
      <c r="I13" s="67"/>
      <c r="J13" s="68"/>
      <c r="K13" s="69">
        <v>1.3</v>
      </c>
      <c r="L13" s="70">
        <v>1.1100000000000001</v>
      </c>
      <c r="M13" s="5"/>
      <c r="N13" s="4" t="s">
        <v>1</v>
      </c>
      <c r="O13" s="5"/>
      <c r="P13" s="71" t="s">
        <v>13</v>
      </c>
      <c r="Q13" s="72" t="s">
        <v>14</v>
      </c>
      <c r="R13" s="73" t="s">
        <v>15</v>
      </c>
      <c r="S13" s="72" t="s">
        <v>16</v>
      </c>
      <c r="T13" s="73" t="s">
        <v>17</v>
      </c>
      <c r="U13" s="73" t="s">
        <v>18</v>
      </c>
      <c r="V13" s="72" t="s">
        <v>68</v>
      </c>
      <c r="W13" s="5"/>
      <c r="X13" s="5"/>
      <c r="Y13" s="5"/>
      <c r="Z13" s="5"/>
      <c r="AA13" s="5"/>
    </row>
    <row r="14" spans="1:27" x14ac:dyDescent="0.25">
      <c r="C14" s="100">
        <v>0.55555555555555558</v>
      </c>
      <c r="D14" s="101">
        <v>0.66666666666666663</v>
      </c>
      <c r="E14" s="102">
        <v>165</v>
      </c>
      <c r="F14" s="103">
        <v>130350</v>
      </c>
      <c r="G14" s="104"/>
      <c r="M14" s="5"/>
      <c r="N14" s="4" t="s">
        <v>1</v>
      </c>
      <c r="O14" s="5"/>
      <c r="P14" s="24"/>
      <c r="Q14" s="74"/>
      <c r="R14" s="19"/>
      <c r="S14" s="75" t="s">
        <v>30</v>
      </c>
      <c r="T14" s="76" t="s">
        <v>69</v>
      </c>
      <c r="U14" s="59"/>
      <c r="V14" s="60"/>
      <c r="W14" s="5"/>
      <c r="X14" s="5"/>
      <c r="Y14" s="5"/>
      <c r="Z14" s="5"/>
      <c r="AA14" s="5"/>
    </row>
    <row r="15" spans="1:27" x14ac:dyDescent="0.25">
      <c r="C15" s="100">
        <v>0.66666666666666663</v>
      </c>
      <c r="D15" s="101">
        <v>1.2333333333333334</v>
      </c>
      <c r="E15" s="102">
        <v>132</v>
      </c>
      <c r="F15" s="103">
        <v>167640</v>
      </c>
      <c r="G15" s="104"/>
      <c r="M15" s="5"/>
      <c r="N15" s="4" t="s">
        <v>1</v>
      </c>
      <c r="O15" s="5"/>
      <c r="P15" s="56" t="s">
        <v>70</v>
      </c>
      <c r="Q15" s="57"/>
      <c r="R15" s="19" t="s">
        <v>20</v>
      </c>
      <c r="S15" s="75" t="s">
        <v>58</v>
      </c>
      <c r="T15" s="76" t="s">
        <v>58</v>
      </c>
      <c r="U15" s="77" t="s">
        <v>55</v>
      </c>
      <c r="V15" s="78" t="s">
        <v>56</v>
      </c>
      <c r="W15" s="5"/>
      <c r="X15" s="5"/>
      <c r="Y15" s="5"/>
      <c r="Z15" s="5"/>
      <c r="AA15" s="5"/>
    </row>
    <row r="16" spans="1:27" x14ac:dyDescent="0.25">
      <c r="C16" s="100">
        <v>1.2333333333333334</v>
      </c>
      <c r="D16" s="101">
        <v>1.4444444444444444</v>
      </c>
      <c r="E16" s="102">
        <v>99</v>
      </c>
      <c r="F16" s="103">
        <v>172260</v>
      </c>
      <c r="G16" s="104"/>
      <c r="H16" s="5"/>
      <c r="I16" s="5"/>
      <c r="J16" s="5"/>
      <c r="K16" s="5"/>
      <c r="L16" s="5"/>
      <c r="M16" s="5"/>
      <c r="N16" s="4" t="s">
        <v>1</v>
      </c>
      <c r="O16" s="5"/>
      <c r="P16" s="63" t="s">
        <v>62</v>
      </c>
      <c r="Q16" s="64" t="s">
        <v>63</v>
      </c>
      <c r="R16" s="26" t="s">
        <v>64</v>
      </c>
      <c r="S16" s="79" t="s">
        <v>65</v>
      </c>
      <c r="T16" s="80" t="s">
        <v>65</v>
      </c>
      <c r="U16" s="81" t="s">
        <v>71</v>
      </c>
      <c r="V16" s="82" t="s">
        <v>71</v>
      </c>
      <c r="W16" s="5"/>
      <c r="X16" s="5"/>
      <c r="Y16" s="5"/>
      <c r="Z16" s="5"/>
      <c r="AA16" s="5"/>
    </row>
    <row r="17" spans="3:27" x14ac:dyDescent="0.25">
      <c r="C17" s="105">
        <v>1.4444444444444444</v>
      </c>
      <c r="D17" s="106" t="s">
        <v>72</v>
      </c>
      <c r="E17" s="107">
        <v>66</v>
      </c>
      <c r="F17" s="108">
        <v>132660</v>
      </c>
      <c r="G17" s="104"/>
      <c r="H17" s="5"/>
      <c r="I17" s="5"/>
      <c r="J17" s="5"/>
      <c r="K17" s="5"/>
      <c r="L17" s="5"/>
      <c r="M17" s="5"/>
      <c r="N17" s="4" t="s">
        <v>1</v>
      </c>
      <c r="O17" s="5"/>
      <c r="P17" s="65">
        <f t="shared" ref="P17:S21" si="0">C13</f>
        <v>0</v>
      </c>
      <c r="Q17" s="33">
        <f t="shared" si="0"/>
        <v>0.55555555555555558</v>
      </c>
      <c r="R17" s="85">
        <f t="shared" si="0"/>
        <v>220</v>
      </c>
      <c r="S17" s="86">
        <f t="shared" si="0"/>
        <v>79200</v>
      </c>
      <c r="T17" s="200">
        <f t="shared" ref="T17:T22" si="1">F13/E13</f>
        <v>360</v>
      </c>
      <c r="U17" s="201">
        <f>MIN(MAX(K11*T17,W6),W7)</f>
        <v>650</v>
      </c>
      <c r="V17" s="202">
        <f>MIN(MAX(L11*T17,W8),W9)</f>
        <v>780</v>
      </c>
      <c r="W17" s="5"/>
      <c r="X17" s="41" t="s">
        <v>73</v>
      </c>
      <c r="Y17" s="41"/>
      <c r="Z17" s="5"/>
      <c r="AA17" s="5"/>
    </row>
    <row r="18" spans="3:27" x14ac:dyDescent="0.25">
      <c r="C18" s="87" t="s">
        <v>74</v>
      </c>
      <c r="D18" s="88"/>
      <c r="E18" s="26">
        <v>682</v>
      </c>
      <c r="F18" s="27">
        <v>682110</v>
      </c>
      <c r="G18" s="5"/>
      <c r="H18" s="5"/>
      <c r="I18" s="5"/>
      <c r="J18" s="5"/>
      <c r="K18" s="5"/>
      <c r="L18" s="5"/>
      <c r="M18" s="5"/>
      <c r="N18" s="4" t="s">
        <v>1</v>
      </c>
      <c r="O18" s="5"/>
      <c r="P18" s="65">
        <f t="shared" si="0"/>
        <v>0.55555555555555558</v>
      </c>
      <c r="Q18" s="33">
        <f t="shared" si="0"/>
        <v>0.66666666666666663</v>
      </c>
      <c r="R18" s="85">
        <f t="shared" si="0"/>
        <v>165</v>
      </c>
      <c r="S18" s="86">
        <f t="shared" si="0"/>
        <v>130350</v>
      </c>
      <c r="T18" s="200">
        <f t="shared" si="1"/>
        <v>790</v>
      </c>
      <c r="U18" s="201">
        <f>MIN(MAX(K11*T18,W6),W7)</f>
        <v>711</v>
      </c>
      <c r="V18" s="202">
        <f>MIN(MAX(L11*T18,W8),W9)</f>
        <v>780</v>
      </c>
      <c r="W18" s="5"/>
      <c r="X18" s="41" t="str">
        <f>"(6)  =  min(MAX(" &amp; K11 &amp; " x (Col 5), " &amp;W6 &amp;"), " &amp;W7&amp;")"</f>
        <v>(6)  =  min(MAX(0.9 x (Col 5), 650), 1690)</v>
      </c>
      <c r="Y18" s="5"/>
      <c r="Z18" s="5"/>
      <c r="AA18" s="5"/>
    </row>
    <row r="19" spans="3:27" x14ac:dyDescent="0.25">
      <c r="M19" s="5"/>
      <c r="N19" s="4" t="s">
        <v>1</v>
      </c>
      <c r="O19" s="5"/>
      <c r="P19" s="65">
        <f t="shared" si="0"/>
        <v>0.66666666666666663</v>
      </c>
      <c r="Q19" s="33">
        <f t="shared" si="0"/>
        <v>1.2333333333333334</v>
      </c>
      <c r="R19" s="85">
        <f t="shared" si="0"/>
        <v>132</v>
      </c>
      <c r="S19" s="86">
        <f t="shared" si="0"/>
        <v>167640</v>
      </c>
      <c r="T19" s="200">
        <f t="shared" si="1"/>
        <v>1270</v>
      </c>
      <c r="U19" s="201">
        <f>MIN(MAX(K11*T19,W6),W7)</f>
        <v>1143</v>
      </c>
      <c r="V19" s="202">
        <f>MIN(MAX(L11*T19,W8),W9)</f>
        <v>1143</v>
      </c>
      <c r="W19" s="5"/>
      <c r="X19" s="5" t="str">
        <f>"(7)  =  min(MAX(" &amp; L11 &amp; " x (Col 5), " &amp;W8 &amp;"), " &amp;W9&amp;")"</f>
        <v>(7)  =  min(MAX(0.9 x (Col 5), 780), 1443)</v>
      </c>
      <c r="Y19" s="5"/>
      <c r="Z19" s="5"/>
      <c r="AA19" s="5"/>
    </row>
    <row r="20" spans="3:27" x14ac:dyDescent="0.25">
      <c r="M20" s="5"/>
      <c r="N20" s="4" t="s">
        <v>1</v>
      </c>
      <c r="O20" s="5"/>
      <c r="P20" s="65">
        <f t="shared" si="0"/>
        <v>1.2333333333333334</v>
      </c>
      <c r="Q20" s="33">
        <f t="shared" si="0"/>
        <v>1.4444444444444444</v>
      </c>
      <c r="R20" s="85">
        <f t="shared" si="0"/>
        <v>99</v>
      </c>
      <c r="S20" s="86">
        <f t="shared" si="0"/>
        <v>172260</v>
      </c>
      <c r="T20" s="200">
        <f t="shared" si="1"/>
        <v>1740</v>
      </c>
      <c r="U20" s="201">
        <f>MIN(MAX(K11*T20,W6),W7)</f>
        <v>1566</v>
      </c>
      <c r="V20" s="202">
        <f>MIN(MAX(L11*T20,W8),W9)</f>
        <v>1443.0000000000002</v>
      </c>
      <c r="W20" s="5"/>
      <c r="X20" s="5"/>
      <c r="Y20" s="5"/>
      <c r="Z20" s="5"/>
      <c r="AA20" s="5"/>
    </row>
    <row r="21" spans="3:27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 t="s">
        <v>1</v>
      </c>
      <c r="O21" s="5"/>
      <c r="P21" s="83">
        <f t="shared" si="0"/>
        <v>1.4444444444444444</v>
      </c>
      <c r="Q21" s="38" t="str">
        <f t="shared" si="0"/>
        <v>n/a</v>
      </c>
      <c r="R21" s="89">
        <f t="shared" si="0"/>
        <v>66</v>
      </c>
      <c r="S21" s="90">
        <f t="shared" si="0"/>
        <v>132660</v>
      </c>
      <c r="T21" s="203">
        <f t="shared" si="1"/>
        <v>2010</v>
      </c>
      <c r="U21" s="204">
        <f>MIN(MAX(K11*T21,W6),W7)</f>
        <v>1690</v>
      </c>
      <c r="V21" s="205">
        <f>MIN(MAX(L11*T21,W8),W9)</f>
        <v>1443.0000000000002</v>
      </c>
      <c r="W21" s="5"/>
      <c r="X21" s="5" t="s">
        <v>75</v>
      </c>
      <c r="Y21" s="5"/>
      <c r="Z21" s="5"/>
      <c r="AA21" s="5"/>
    </row>
    <row r="22" spans="3:27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 t="s">
        <v>1</v>
      </c>
      <c r="O22" s="5"/>
      <c r="P22" s="87" t="s">
        <v>74</v>
      </c>
      <c r="Q22" s="88"/>
      <c r="R22" s="26">
        <f>SUM(R17:R21)</f>
        <v>682</v>
      </c>
      <c r="S22" s="91">
        <f>SUM(S17:S21)</f>
        <v>682110</v>
      </c>
      <c r="T22" s="92">
        <f t="shared" si="1"/>
        <v>1000.1612903225806</v>
      </c>
      <c r="U22" s="93">
        <f>SUMPRODUCT(R17:R21,U17:U21)</f>
        <v>677765</v>
      </c>
      <c r="V22" s="94">
        <f>SUMPRODUCT(R17:R21,V17:V21)</f>
        <v>689271</v>
      </c>
      <c r="W22" s="5"/>
      <c r="X22" s="5" t="s">
        <v>76</v>
      </c>
      <c r="Y22" s="5"/>
      <c r="Z22" s="5"/>
      <c r="AA22" s="5"/>
    </row>
    <row r="23" spans="3:27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 t="s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3:27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 t="s">
        <v>1</v>
      </c>
      <c r="O24" s="179" t="s">
        <v>77</v>
      </c>
      <c r="P24" s="46" t="s">
        <v>78</v>
      </c>
      <c r="Q24" s="47"/>
      <c r="R24" s="47"/>
      <c r="S24" s="54" t="s">
        <v>37</v>
      </c>
      <c r="T24" s="95" t="s">
        <v>79</v>
      </c>
      <c r="U24" s="95"/>
      <c r="V24" s="95"/>
      <c r="W24" s="96" t="s">
        <v>80</v>
      </c>
      <c r="X24" s="95" t="s">
        <v>81</v>
      </c>
      <c r="Y24" s="95"/>
      <c r="Z24" s="95"/>
      <c r="AA24" s="97" t="s">
        <v>82</v>
      </c>
    </row>
    <row r="25" spans="3:2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 t="s">
        <v>1</v>
      </c>
      <c r="S25" s="6" t="s">
        <v>37</v>
      </c>
      <c r="T25" s="98">
        <f>V22</f>
        <v>689271</v>
      </c>
      <c r="W25" s="9" t="s">
        <v>80</v>
      </c>
      <c r="X25" s="99">
        <f>U22</f>
        <v>677765</v>
      </c>
      <c r="Y25" s="5"/>
      <c r="Z25" s="5"/>
      <c r="AA25" s="41" t="s">
        <v>82</v>
      </c>
    </row>
    <row r="26" spans="3:2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 t="s">
        <v>1</v>
      </c>
      <c r="O26" s="5"/>
      <c r="P26" s="5"/>
      <c r="Q26" s="5"/>
      <c r="R26" s="5"/>
      <c r="S26" s="6" t="s">
        <v>37</v>
      </c>
      <c r="T26" s="206">
        <f>T25/X25 - 1</f>
        <v>1.6976385620384615E-2</v>
      </c>
      <c r="U26" s="5"/>
      <c r="V26" s="5"/>
      <c r="W26" s="5"/>
      <c r="X26" s="5"/>
      <c r="Y26" s="5"/>
      <c r="Z26" s="5"/>
      <c r="AA26" s="5"/>
    </row>
    <row r="27" spans="3:2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 t="s">
        <v>1</v>
      </c>
      <c r="O27" s="5"/>
      <c r="P27" s="5"/>
      <c r="Q27" s="5"/>
      <c r="R27" s="5"/>
      <c r="S27" s="5"/>
      <c r="T27" s="39" t="s">
        <v>32</v>
      </c>
      <c r="U27" s="5"/>
      <c r="V27" s="5"/>
      <c r="W27" s="5"/>
      <c r="X27" s="5"/>
      <c r="Y27" s="5"/>
      <c r="Z27" s="5"/>
      <c r="AA27" s="5"/>
    </row>
    <row r="28" spans="3:2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 t="s">
        <v>1</v>
      </c>
    </row>
    <row r="29" spans="3:2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 t="s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5"/>
      <c r="D31" s="5"/>
      <c r="E31" s="5"/>
      <c r="F31" s="5"/>
      <c r="G31" s="5"/>
      <c r="H31" s="5"/>
      <c r="I31" s="5"/>
      <c r="J31" s="5"/>
      <c r="K31" s="5"/>
      <c r="L31" s="84"/>
      <c r="M31" s="5"/>
      <c r="N31" s="4" t="s">
        <v>1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5"/>
      <c r="D32" s="5"/>
      <c r="E32" s="5"/>
      <c r="F32" s="5"/>
      <c r="G32" s="5"/>
      <c r="H32" s="5"/>
      <c r="I32" s="5"/>
      <c r="J32" s="5"/>
      <c r="K32" s="5"/>
      <c r="L32" s="84"/>
      <c r="M32" s="5"/>
      <c r="N32" s="4" t="s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84"/>
      <c r="M33" s="5"/>
      <c r="N33" s="4" t="s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N34" s="4" t="s">
        <v>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N35" s="4" t="s">
        <v>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N36" s="4" t="s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N38" s="4" t="s">
        <v>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 t="s">
        <v>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4" t="s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4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4" t="s">
        <v>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4" t="s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4" t="s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4" t="s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_x0009_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3" width="12" style="2" customWidth="1"/>
    <col min="4" max="5" width="9.140625" style="2" customWidth="1"/>
    <col min="6" max="6" width="12" style="2" customWidth="1"/>
    <col min="7" max="7" width="9.140625" style="2" customWidth="1"/>
    <col min="8" max="8" width="8.28515625" style="2" customWidth="1"/>
    <col min="9" max="9" width="9.140625" style="2"/>
    <col min="10" max="10" width="8.28515625" style="2" customWidth="1"/>
    <col min="11" max="11" width="9.140625" style="2" customWidth="1"/>
    <col min="12" max="12" width="8.28515625" style="2" customWidth="1"/>
    <col min="13" max="13" width="6.28515625" style="2" customWidth="1"/>
    <col min="14" max="14" width="9.140625" style="2" customWidth="1"/>
    <col min="15" max="15" width="12" style="2" customWidth="1"/>
    <col min="16" max="17" width="9.140625" style="2" customWidth="1"/>
    <col min="18" max="18" width="12" style="2" customWidth="1"/>
    <col min="19" max="19" width="9.140625" style="2" customWidth="1"/>
    <col min="20" max="20" width="8.28515625" style="2" customWidth="1"/>
    <col min="21" max="21" width="9.140625" style="2" customWidth="1"/>
    <col min="22" max="22" width="8.28515625" style="2" customWidth="1"/>
    <col min="23" max="23" width="9.140625" style="2" customWidth="1"/>
    <col min="24" max="24" width="8.28515625" style="2" customWidth="1"/>
    <col min="25" max="27" width="4.7109375" style="2" customWidth="1"/>
    <col min="28" max="16384" width="9.140625" style="2"/>
  </cols>
  <sheetData>
    <row r="1" spans="1:27" x14ac:dyDescent="0.25">
      <c r="A1" s="1" t="s">
        <v>0</v>
      </c>
      <c r="C1" s="2" t="s">
        <v>41</v>
      </c>
      <c r="D1" s="3"/>
      <c r="E1" s="3"/>
      <c r="L1" s="208" t="s">
        <v>210</v>
      </c>
      <c r="M1" s="208"/>
      <c r="N1" s="4" t="s">
        <v>1</v>
      </c>
    </row>
    <row r="2" spans="1:27" x14ac:dyDescent="0.25">
      <c r="A2" s="1" t="s">
        <v>2</v>
      </c>
      <c r="C2" s="2" t="s">
        <v>3</v>
      </c>
      <c r="N2" s="4" t="s">
        <v>1</v>
      </c>
    </row>
    <row r="3" spans="1:27" x14ac:dyDescent="0.25">
      <c r="A3" s="1" t="s">
        <v>4</v>
      </c>
      <c r="C3" s="2" t="s">
        <v>83</v>
      </c>
      <c r="N3" s="4" t="s">
        <v>1</v>
      </c>
      <c r="O3" s="2" t="s">
        <v>84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</row>
    <row r="5" spans="1:27" x14ac:dyDescent="0.25">
      <c r="A5" s="7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4" t="s">
        <v>1</v>
      </c>
      <c r="O5" s="5" t="s">
        <v>86</v>
      </c>
      <c r="P5" s="187">
        <v>3.2608695652173836E-2</v>
      </c>
      <c r="Q5" s="5"/>
      <c r="R5" s="130" t="s">
        <v>186</v>
      </c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109" t="s">
        <v>88</v>
      </c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</v>
      </c>
      <c r="O6" s="5" t="s">
        <v>89</v>
      </c>
      <c r="P6" s="187">
        <v>-2.1052631578947434E-2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 t="s">
        <v>1</v>
      </c>
      <c r="O7" s="5" t="s">
        <v>91</v>
      </c>
      <c r="P7" s="187">
        <v>1.0869565217391131E-2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M8" s="5"/>
      <c r="N8" s="4" t="s">
        <v>1</v>
      </c>
      <c r="Y8" s="5"/>
      <c r="Z8" s="5"/>
      <c r="AA8" s="5"/>
    </row>
    <row r="9" spans="1:27" x14ac:dyDescent="0.25">
      <c r="A9" s="7" t="s">
        <v>19</v>
      </c>
      <c r="B9" s="5"/>
      <c r="C9" s="15" t="s">
        <v>93</v>
      </c>
      <c r="D9" s="16"/>
      <c r="E9" s="16" t="s">
        <v>94</v>
      </c>
      <c r="F9" s="17"/>
      <c r="G9" s="22"/>
      <c r="H9" s="17" t="s">
        <v>95</v>
      </c>
      <c r="I9" s="22"/>
      <c r="J9" s="17" t="s">
        <v>95</v>
      </c>
      <c r="K9" s="16"/>
      <c r="L9" s="17" t="s">
        <v>95</v>
      </c>
      <c r="M9" s="5"/>
      <c r="N9" s="4" t="s">
        <v>1</v>
      </c>
      <c r="O9" s="15" t="s">
        <v>93</v>
      </c>
      <c r="P9" s="16"/>
      <c r="Q9" s="16" t="s">
        <v>94</v>
      </c>
      <c r="R9" s="17"/>
      <c r="S9" s="22"/>
      <c r="T9" s="17" t="s">
        <v>95</v>
      </c>
      <c r="U9" s="22"/>
      <c r="V9" s="17" t="s">
        <v>95</v>
      </c>
      <c r="W9" s="16"/>
      <c r="X9" s="17" t="s">
        <v>95</v>
      </c>
      <c r="Y9" s="5"/>
      <c r="Z9" s="5"/>
      <c r="AA9" s="5"/>
    </row>
    <row r="10" spans="1:27" x14ac:dyDescent="0.25">
      <c r="A10" s="5"/>
      <c r="B10" s="5"/>
      <c r="C10" s="18" t="s">
        <v>96</v>
      </c>
      <c r="D10" s="19" t="s">
        <v>97</v>
      </c>
      <c r="E10" s="19" t="s">
        <v>98</v>
      </c>
      <c r="F10" s="21" t="s">
        <v>99</v>
      </c>
      <c r="G10" s="24"/>
      <c r="H10" s="21" t="s">
        <v>100</v>
      </c>
      <c r="I10" s="24"/>
      <c r="J10" s="21" t="s">
        <v>100</v>
      </c>
      <c r="K10" s="110" t="s">
        <v>101</v>
      </c>
      <c r="L10" s="21" t="s">
        <v>100</v>
      </c>
      <c r="M10" s="5"/>
      <c r="N10" s="4" t="s">
        <v>1</v>
      </c>
      <c r="O10" s="18" t="s">
        <v>96</v>
      </c>
      <c r="P10" s="19" t="s">
        <v>97</v>
      </c>
      <c r="Q10" s="19" t="s">
        <v>98</v>
      </c>
      <c r="R10" s="21" t="s">
        <v>99</v>
      </c>
      <c r="S10" s="24"/>
      <c r="T10" s="21" t="s">
        <v>100</v>
      </c>
      <c r="U10" s="24"/>
      <c r="V10" s="21" t="s">
        <v>100</v>
      </c>
      <c r="W10" s="110" t="s">
        <v>101</v>
      </c>
      <c r="X10" s="21" t="s">
        <v>100</v>
      </c>
      <c r="Y10" s="5"/>
      <c r="Z10" s="5"/>
      <c r="AA10" s="5"/>
    </row>
    <row r="11" spans="1:27" x14ac:dyDescent="0.25">
      <c r="A11" s="5"/>
      <c r="B11" s="5"/>
      <c r="C11" s="25" t="s">
        <v>102</v>
      </c>
      <c r="D11" s="26" t="s">
        <v>87</v>
      </c>
      <c r="E11" s="26" t="s">
        <v>90</v>
      </c>
      <c r="F11" s="27" t="s">
        <v>92</v>
      </c>
      <c r="G11" s="111" t="s">
        <v>103</v>
      </c>
      <c r="H11" s="27" t="s">
        <v>104</v>
      </c>
      <c r="I11" s="111" t="s">
        <v>105</v>
      </c>
      <c r="J11" s="27" t="s">
        <v>104</v>
      </c>
      <c r="K11" s="112" t="s">
        <v>106</v>
      </c>
      <c r="L11" s="27" t="s">
        <v>104</v>
      </c>
      <c r="M11" s="5"/>
      <c r="N11" s="4" t="s">
        <v>1</v>
      </c>
      <c r="O11" s="25" t="s">
        <v>102</v>
      </c>
      <c r="P11" s="26" t="s">
        <v>87</v>
      </c>
      <c r="Q11" s="26" t="s">
        <v>90</v>
      </c>
      <c r="R11" s="27" t="s">
        <v>92</v>
      </c>
      <c r="S11" s="111" t="s">
        <v>103</v>
      </c>
      <c r="T11" s="27" t="s">
        <v>104</v>
      </c>
      <c r="U11" s="111" t="s">
        <v>105</v>
      </c>
      <c r="V11" s="27" t="s">
        <v>104</v>
      </c>
      <c r="W11" s="112" t="s">
        <v>106</v>
      </c>
      <c r="X11" s="27" t="s">
        <v>104</v>
      </c>
      <c r="Y11" s="5"/>
      <c r="Z11" s="5"/>
      <c r="AA11" s="5"/>
    </row>
    <row r="12" spans="1:27" x14ac:dyDescent="0.25">
      <c r="A12" s="5"/>
      <c r="B12" s="5"/>
      <c r="C12" s="113" t="s">
        <v>107</v>
      </c>
      <c r="D12" s="19">
        <v>146000</v>
      </c>
      <c r="E12" s="19">
        <v>5300</v>
      </c>
      <c r="F12" s="21">
        <v>5400000</v>
      </c>
      <c r="G12" s="188">
        <f>E12/D12</f>
        <v>3.6301369863013695E-2</v>
      </c>
      <c r="H12" s="23" t="s">
        <v>108</v>
      </c>
      <c r="I12" s="58">
        <f>F12/E12</f>
        <v>1018.8679245283018</v>
      </c>
      <c r="J12" s="23" t="s">
        <v>108</v>
      </c>
      <c r="K12" s="189">
        <f t="shared" ref="K12:K23" si="0">F12/D12</f>
        <v>36.986301369863014</v>
      </c>
      <c r="L12" s="23" t="s">
        <v>108</v>
      </c>
      <c r="M12" s="5"/>
      <c r="N12" s="4" t="s">
        <v>1</v>
      </c>
      <c r="O12" s="113" t="s">
        <v>107</v>
      </c>
      <c r="P12" s="19">
        <f t="shared" ref="P12:R27" si="1">D12</f>
        <v>146000</v>
      </c>
      <c r="Q12" s="19">
        <f t="shared" si="1"/>
        <v>5300</v>
      </c>
      <c r="R12" s="21">
        <f t="shared" si="1"/>
        <v>5400000</v>
      </c>
      <c r="S12" s="114">
        <f>Q12/P12</f>
        <v>3.6301369863013695E-2</v>
      </c>
      <c r="T12" s="23"/>
      <c r="U12" s="58">
        <f>R12/Q12</f>
        <v>1018.8679245283018</v>
      </c>
      <c r="V12" s="23"/>
      <c r="W12" s="189">
        <f>S12*U12</f>
        <v>36.986301369863007</v>
      </c>
      <c r="X12" s="23"/>
      <c r="Y12" s="5"/>
      <c r="Z12" s="5"/>
      <c r="AA12" s="5"/>
    </row>
    <row r="13" spans="1:27" x14ac:dyDescent="0.25">
      <c r="A13" s="7"/>
      <c r="B13" s="5"/>
      <c r="C13" s="113" t="s">
        <v>109</v>
      </c>
      <c r="D13" s="19">
        <v>142559.10853672668</v>
      </c>
      <c r="E13" s="19">
        <v>5248.167698841532</v>
      </c>
      <c r="F13" s="21">
        <v>5297610.0242187474</v>
      </c>
      <c r="G13" s="114">
        <f t="shared" ref="G13:G27" si="2">E13/D13</f>
        <v>3.6813976691566337E-2</v>
      </c>
      <c r="H13" s="23" t="s">
        <v>108</v>
      </c>
      <c r="I13" s="58">
        <f t="shared" ref="I13:I23" si="3">F13/E13</f>
        <v>1009.4208737628809</v>
      </c>
      <c r="J13" s="23" t="s">
        <v>108</v>
      </c>
      <c r="K13" s="189">
        <f t="shared" si="0"/>
        <v>37.160796518687228</v>
      </c>
      <c r="L13" s="23" t="s">
        <v>108</v>
      </c>
      <c r="M13" s="5"/>
      <c r="N13" s="4" t="s">
        <v>1</v>
      </c>
      <c r="O13" s="113" t="s">
        <v>109</v>
      </c>
      <c r="P13" s="19">
        <f t="shared" si="1"/>
        <v>142559.10853672668</v>
      </c>
      <c r="Q13" s="19">
        <f t="shared" si="1"/>
        <v>5248.167698841532</v>
      </c>
      <c r="R13" s="21">
        <f t="shared" si="1"/>
        <v>5297610.0242187474</v>
      </c>
      <c r="S13" s="114">
        <f t="shared" ref="S13:S27" si="4">Q13/P13</f>
        <v>3.6813976691566337E-2</v>
      </c>
      <c r="T13" s="23"/>
      <c r="U13" s="58">
        <f t="shared" ref="U13:U27" si="5">R13/Q13</f>
        <v>1009.4208737628809</v>
      </c>
      <c r="V13" s="23"/>
      <c r="W13" s="189">
        <f t="shared" ref="W13:W27" si="6">S13*U13</f>
        <v>37.160796518687221</v>
      </c>
      <c r="X13" s="23"/>
      <c r="Y13" s="5"/>
      <c r="Z13" s="5"/>
      <c r="AA13" s="5"/>
    </row>
    <row r="14" spans="1:27" x14ac:dyDescent="0.25">
      <c r="A14" s="5"/>
      <c r="B14" s="5"/>
      <c r="C14" s="113" t="s">
        <v>110</v>
      </c>
      <c r="D14" s="19">
        <v>139897.40197056779</v>
      </c>
      <c r="E14" s="19">
        <v>5191.6610025685113</v>
      </c>
      <c r="F14" s="21">
        <v>5202363.8395252582</v>
      </c>
      <c r="G14" s="114">
        <f>E14/D14</f>
        <v>3.7110489040109232E-2</v>
      </c>
      <c r="H14" s="23" t="s">
        <v>108</v>
      </c>
      <c r="I14" s="58">
        <f t="shared" si="3"/>
        <v>1002.0615438780483</v>
      </c>
      <c r="J14" s="23" t="s">
        <v>108</v>
      </c>
      <c r="K14" s="189">
        <f t="shared" si="0"/>
        <v>37.186993941601244</v>
      </c>
      <c r="L14" s="23" t="s">
        <v>108</v>
      </c>
      <c r="M14" s="5"/>
      <c r="N14" s="4" t="s">
        <v>1</v>
      </c>
      <c r="O14" s="113" t="s">
        <v>110</v>
      </c>
      <c r="P14" s="19">
        <f t="shared" si="1"/>
        <v>139897.40197056779</v>
      </c>
      <c r="Q14" s="19">
        <f t="shared" si="1"/>
        <v>5191.6610025685113</v>
      </c>
      <c r="R14" s="21">
        <f t="shared" si="1"/>
        <v>5202363.8395252582</v>
      </c>
      <c r="S14" s="114">
        <f t="shared" si="4"/>
        <v>3.7110489040109232E-2</v>
      </c>
      <c r="T14" s="23"/>
      <c r="U14" s="58">
        <f t="shared" si="5"/>
        <v>1002.0615438780483</v>
      </c>
      <c r="V14" s="23"/>
      <c r="W14" s="189">
        <f t="shared" si="6"/>
        <v>37.186993941601244</v>
      </c>
      <c r="X14" s="23"/>
      <c r="Y14" s="5"/>
      <c r="Z14" s="5"/>
      <c r="AA14" s="5"/>
    </row>
    <row r="15" spans="1:27" x14ac:dyDescent="0.25">
      <c r="A15" s="5"/>
      <c r="B15" s="5"/>
      <c r="C15" s="115" t="s">
        <v>111</v>
      </c>
      <c r="D15" s="26">
        <v>136737.34637958533</v>
      </c>
      <c r="E15" s="26">
        <v>5140.8882220783589</v>
      </c>
      <c r="F15" s="27">
        <v>5124156.5844325516</v>
      </c>
      <c r="G15" s="116">
        <f>E15/D15</f>
        <v>3.7596811392018398E-2</v>
      </c>
      <c r="H15" s="117" t="s">
        <v>108</v>
      </c>
      <c r="I15" s="66">
        <f t="shared" si="3"/>
        <v>996.74537999601887</v>
      </c>
      <c r="J15" s="117" t="s">
        <v>108</v>
      </c>
      <c r="K15" s="190">
        <f t="shared" si="0"/>
        <v>37.474448057576026</v>
      </c>
      <c r="L15" s="117" t="s">
        <v>108</v>
      </c>
      <c r="M15" s="5"/>
      <c r="N15" s="4" t="s">
        <v>1</v>
      </c>
      <c r="O15" s="115" t="s">
        <v>111</v>
      </c>
      <c r="P15" s="26">
        <f t="shared" si="1"/>
        <v>136737.34637958533</v>
      </c>
      <c r="Q15" s="26">
        <f t="shared" si="1"/>
        <v>5140.8882220783589</v>
      </c>
      <c r="R15" s="27">
        <f t="shared" si="1"/>
        <v>5124156.5844325516</v>
      </c>
      <c r="S15" s="116">
        <f t="shared" si="4"/>
        <v>3.7596811392018398E-2</v>
      </c>
      <c r="T15" s="117"/>
      <c r="U15" s="66">
        <f t="shared" si="5"/>
        <v>996.74537999601887</v>
      </c>
      <c r="V15" s="117"/>
      <c r="W15" s="190">
        <f t="shared" si="6"/>
        <v>37.474448057576026</v>
      </c>
      <c r="X15" s="117"/>
      <c r="Y15" s="5"/>
      <c r="Z15" s="5"/>
      <c r="AA15" s="5"/>
    </row>
    <row r="16" spans="1:27" x14ac:dyDescent="0.25">
      <c r="C16" s="113" t="s">
        <v>112</v>
      </c>
      <c r="D16" s="19">
        <v>134318.25384483553</v>
      </c>
      <c r="E16" s="19">
        <v>5060.1596681531091</v>
      </c>
      <c r="F16" s="21">
        <v>5021964.8761319974</v>
      </c>
      <c r="G16" s="188">
        <f t="shared" si="2"/>
        <v>3.7672911337863331E-2</v>
      </c>
      <c r="H16" s="191">
        <f t="shared" ref="H16:H27" si="7">G16/G12-1</f>
        <v>3.7782085910952334E-2</v>
      </c>
      <c r="I16" s="58">
        <f t="shared" si="3"/>
        <v>992.45186031154378</v>
      </c>
      <c r="J16" s="118">
        <f t="shared" ref="J16:J23" si="8">I16/I12-1</f>
        <v>-2.5926877842373686E-2</v>
      </c>
      <c r="K16" s="189">
        <f t="shared" si="0"/>
        <v>37.388550940614309</v>
      </c>
      <c r="L16" s="118">
        <f>K16/K12-1</f>
        <v>1.0875636542535094E-2</v>
      </c>
      <c r="M16" s="5"/>
      <c r="N16" s="4" t="s">
        <v>1</v>
      </c>
      <c r="O16" s="113" t="s">
        <v>112</v>
      </c>
      <c r="P16" s="19">
        <f t="shared" si="1"/>
        <v>134318.25384483553</v>
      </c>
      <c r="Q16" s="19">
        <f t="shared" si="1"/>
        <v>5060.1596681531091</v>
      </c>
      <c r="R16" s="21">
        <f t="shared" si="1"/>
        <v>5021964.8761319974</v>
      </c>
      <c r="S16" s="114">
        <f t="shared" si="4"/>
        <v>3.7672911337863331E-2</v>
      </c>
      <c r="T16" s="118">
        <f t="shared" ref="T16:T27" si="9">S16/S12-1</f>
        <v>3.7782085910952334E-2</v>
      </c>
      <c r="U16" s="58">
        <f t="shared" si="5"/>
        <v>992.45186031154378</v>
      </c>
      <c r="V16" s="118">
        <f t="shared" ref="V16:V27" si="10">U16/U12-1</f>
        <v>-2.5926877842373686E-2</v>
      </c>
      <c r="W16" s="189">
        <f t="shared" si="6"/>
        <v>37.388550940614316</v>
      </c>
      <c r="X16" s="118">
        <f>W16/W12-1</f>
        <v>1.0875636542535316E-2</v>
      </c>
      <c r="Y16" s="5"/>
      <c r="Z16" s="5"/>
      <c r="AA16" s="5"/>
    </row>
    <row r="17" spans="3:27" x14ac:dyDescent="0.25">
      <c r="C17" s="113" t="s">
        <v>113</v>
      </c>
      <c r="D17" s="19">
        <v>131547.31680197796</v>
      </c>
      <c r="E17" s="19">
        <v>4995.685870949761</v>
      </c>
      <c r="F17" s="21">
        <v>4936606.2137212027</v>
      </c>
      <c r="G17" s="114">
        <f t="shared" si="2"/>
        <v>3.7976341839567232E-2</v>
      </c>
      <c r="H17" s="118">
        <f t="shared" si="7"/>
        <v>3.1574017600418003E-2</v>
      </c>
      <c r="I17" s="58">
        <f t="shared" si="3"/>
        <v>988.17386465948346</v>
      </c>
      <c r="J17" s="118">
        <f t="shared" si="8"/>
        <v>-2.1048711846222923E-2</v>
      </c>
      <c r="K17" s="189">
        <f t="shared" si="0"/>
        <v>37.527228481234786</v>
      </c>
      <c r="L17" s="118">
        <f t="shared" ref="L17:L27" si="11">K17/K13-1</f>
        <v>9.8607133558961113E-3</v>
      </c>
      <c r="M17" s="5"/>
      <c r="N17" s="4" t="s">
        <v>1</v>
      </c>
      <c r="O17" s="113" t="s">
        <v>113</v>
      </c>
      <c r="P17" s="19">
        <f t="shared" si="1"/>
        <v>131547.31680197796</v>
      </c>
      <c r="Q17" s="19">
        <f t="shared" si="1"/>
        <v>4995.685870949761</v>
      </c>
      <c r="R17" s="21">
        <f t="shared" si="1"/>
        <v>4936606.2137212027</v>
      </c>
      <c r="S17" s="114">
        <f t="shared" si="4"/>
        <v>3.7976341839567232E-2</v>
      </c>
      <c r="T17" s="118">
        <f t="shared" si="9"/>
        <v>3.1574017600418003E-2</v>
      </c>
      <c r="U17" s="58">
        <f t="shared" si="5"/>
        <v>988.17386465948346</v>
      </c>
      <c r="V17" s="118">
        <f t="shared" si="10"/>
        <v>-2.1048711846222923E-2</v>
      </c>
      <c r="W17" s="189">
        <f t="shared" si="6"/>
        <v>37.527228481234786</v>
      </c>
      <c r="X17" s="118">
        <f t="shared" ref="X17:X27" si="12">W17/W13-1</f>
        <v>9.8607133558963334E-3</v>
      </c>
      <c r="Y17" s="5"/>
      <c r="Z17" s="5"/>
      <c r="AA17" s="5"/>
    </row>
    <row r="18" spans="3:27" x14ac:dyDescent="0.25">
      <c r="C18" s="113" t="s">
        <v>114</v>
      </c>
      <c r="D18" s="19">
        <v>128833.54318907644</v>
      </c>
      <c r="E18" s="19">
        <v>4936.9655973022509</v>
      </c>
      <c r="F18" s="21">
        <v>4847850.5474789608</v>
      </c>
      <c r="G18" s="114">
        <f t="shared" si="2"/>
        <v>3.8320498490495965E-2</v>
      </c>
      <c r="H18" s="118">
        <f t="shared" si="7"/>
        <v>3.2605591618017904E-2</v>
      </c>
      <c r="I18" s="58">
        <f t="shared" si="3"/>
        <v>981.94942863851713</v>
      </c>
      <c r="J18" s="118">
        <f t="shared" si="8"/>
        <v>-2.0070738531383858E-2</v>
      </c>
      <c r="K18" s="189">
        <f t="shared" si="0"/>
        <v>37.628791597885673</v>
      </c>
      <c r="L18" s="118">
        <f t="shared" si="11"/>
        <v>1.1880434782607807E-2</v>
      </c>
      <c r="M18" s="5"/>
      <c r="N18" s="4" t="s">
        <v>1</v>
      </c>
      <c r="O18" s="113" t="s">
        <v>114</v>
      </c>
      <c r="P18" s="19">
        <f t="shared" si="1"/>
        <v>128833.54318907644</v>
      </c>
      <c r="Q18" s="19">
        <f t="shared" si="1"/>
        <v>4936.9655973022509</v>
      </c>
      <c r="R18" s="21">
        <f t="shared" si="1"/>
        <v>4847850.5474789608</v>
      </c>
      <c r="S18" s="114">
        <f t="shared" si="4"/>
        <v>3.8320498490495965E-2</v>
      </c>
      <c r="T18" s="118">
        <f t="shared" si="9"/>
        <v>3.2605591618017904E-2</v>
      </c>
      <c r="U18" s="58">
        <f t="shared" si="5"/>
        <v>981.94942863851713</v>
      </c>
      <c r="V18" s="118">
        <f t="shared" si="10"/>
        <v>-2.0070738531383858E-2</v>
      </c>
      <c r="W18" s="189">
        <f t="shared" si="6"/>
        <v>37.628791597885673</v>
      </c>
      <c r="X18" s="118">
        <f t="shared" si="12"/>
        <v>1.1880434782607807E-2</v>
      </c>
      <c r="Y18" s="5"/>
      <c r="Z18" s="5"/>
      <c r="AA18" s="5"/>
    </row>
    <row r="19" spans="3:27" x14ac:dyDescent="0.25">
      <c r="C19" s="115" t="s">
        <v>115</v>
      </c>
      <c r="D19" s="26">
        <v>126049.57799148097</v>
      </c>
      <c r="E19" s="26">
        <v>4874.0614718210581</v>
      </c>
      <c r="F19" s="27">
        <v>4751169.2457135674</v>
      </c>
      <c r="G19" s="116">
        <f t="shared" si="2"/>
        <v>3.8667812693117233E-2</v>
      </c>
      <c r="H19" s="119">
        <f t="shared" si="7"/>
        <v>2.848649290844385E-2</v>
      </c>
      <c r="I19" s="66">
        <f t="shared" si="3"/>
        <v>974.78648416357055</v>
      </c>
      <c r="J19" s="119">
        <f t="shared" si="8"/>
        <v>-2.2030597054320977E-2</v>
      </c>
      <c r="K19" s="190">
        <f t="shared" si="0"/>
        <v>37.692861185419233</v>
      </c>
      <c r="L19" s="119">
        <f t="shared" si="11"/>
        <v>5.8283214073662215E-3</v>
      </c>
      <c r="M19" s="5"/>
      <c r="N19" s="4" t="s">
        <v>1</v>
      </c>
      <c r="O19" s="115" t="s">
        <v>115</v>
      </c>
      <c r="P19" s="26">
        <f t="shared" si="1"/>
        <v>126049.57799148097</v>
      </c>
      <c r="Q19" s="26">
        <f t="shared" si="1"/>
        <v>4874.0614718210581</v>
      </c>
      <c r="R19" s="27">
        <f t="shared" si="1"/>
        <v>4751169.2457135674</v>
      </c>
      <c r="S19" s="116">
        <f t="shared" si="4"/>
        <v>3.8667812693117233E-2</v>
      </c>
      <c r="T19" s="119">
        <f t="shared" si="9"/>
        <v>2.848649290844385E-2</v>
      </c>
      <c r="U19" s="66">
        <f t="shared" si="5"/>
        <v>974.78648416357055</v>
      </c>
      <c r="V19" s="119">
        <f t="shared" si="10"/>
        <v>-2.2030597054320977E-2</v>
      </c>
      <c r="W19" s="190">
        <f t="shared" si="6"/>
        <v>37.692861185419233</v>
      </c>
      <c r="X19" s="119">
        <f t="shared" si="12"/>
        <v>5.8283214073662215E-3</v>
      </c>
      <c r="Y19" s="5"/>
      <c r="Z19" s="5"/>
      <c r="AA19" s="5"/>
    </row>
    <row r="20" spans="3:27" x14ac:dyDescent="0.25">
      <c r="C20" s="113" t="s">
        <v>116</v>
      </c>
      <c r="D20" s="19">
        <v>123819.56840594261</v>
      </c>
      <c r="E20" s="19">
        <v>4821.5827541030594</v>
      </c>
      <c r="F20" s="21">
        <v>4656416.0714800581</v>
      </c>
      <c r="G20" s="114">
        <f t="shared" si="2"/>
        <v>3.8940393801854441E-2</v>
      </c>
      <c r="H20" s="118">
        <f t="shared" si="7"/>
        <v>3.3644399091535604E-2</v>
      </c>
      <c r="I20" s="58">
        <f t="shared" si="3"/>
        <v>965.74430201733071</v>
      </c>
      <c r="J20" s="118">
        <f t="shared" si="8"/>
        <v>-2.6910683895367216E-2</v>
      </c>
      <c r="K20" s="189">
        <f t="shared" si="0"/>
        <v>37.606463432451903</v>
      </c>
      <c r="L20" s="118">
        <f t="shared" si="11"/>
        <v>5.8283214073664436E-3</v>
      </c>
      <c r="M20" s="5"/>
      <c r="N20" s="4" t="s">
        <v>1</v>
      </c>
      <c r="O20" s="113" t="s">
        <v>116</v>
      </c>
      <c r="P20" s="19">
        <f t="shared" si="1"/>
        <v>123819.56840594261</v>
      </c>
      <c r="Q20" s="19">
        <f t="shared" si="1"/>
        <v>4821.5827541030594</v>
      </c>
      <c r="R20" s="21">
        <f t="shared" si="1"/>
        <v>4656416.0714800581</v>
      </c>
      <c r="S20" s="114">
        <f t="shared" si="4"/>
        <v>3.8940393801854441E-2</v>
      </c>
      <c r="T20" s="118">
        <f t="shared" si="9"/>
        <v>3.3644399091535604E-2</v>
      </c>
      <c r="U20" s="58">
        <f t="shared" si="5"/>
        <v>965.74430201733071</v>
      </c>
      <c r="V20" s="118">
        <f t="shared" si="10"/>
        <v>-2.6910683895367216E-2</v>
      </c>
      <c r="W20" s="189">
        <f t="shared" si="6"/>
        <v>37.60646343245191</v>
      </c>
      <c r="X20" s="118">
        <f t="shared" si="12"/>
        <v>5.8283214073664436E-3</v>
      </c>
      <c r="Y20" s="5"/>
      <c r="Z20" s="5"/>
      <c r="AA20" s="5"/>
    </row>
    <row r="21" spans="3:27" x14ac:dyDescent="0.25">
      <c r="C21" s="113" t="s">
        <v>117</v>
      </c>
      <c r="D21" s="19">
        <v>120901.4198037906</v>
      </c>
      <c r="E21" s="19">
        <v>4769.6690714855094</v>
      </c>
      <c r="F21" s="21">
        <v>4581843.3637564322</v>
      </c>
      <c r="G21" s="114">
        <f t="shared" si="2"/>
        <v>3.9450893787898816E-2</v>
      </c>
      <c r="H21" s="118">
        <f t="shared" si="7"/>
        <v>3.8828172406939476E-2</v>
      </c>
      <c r="I21" s="58">
        <f t="shared" si="3"/>
        <v>960.62080934462415</v>
      </c>
      <c r="J21" s="118">
        <f t="shared" si="8"/>
        <v>-2.788280109427288E-2</v>
      </c>
      <c r="K21" s="192">
        <f>F21/D21</f>
        <v>37.897349519900168</v>
      </c>
      <c r="L21" s="118">
        <f t="shared" si="11"/>
        <v>9.8627331045897382E-3</v>
      </c>
      <c r="M21" s="5"/>
      <c r="N21" s="4" t="s">
        <v>1</v>
      </c>
      <c r="O21" s="113" t="s">
        <v>117</v>
      </c>
      <c r="P21" s="19">
        <f t="shared" si="1"/>
        <v>120901.4198037906</v>
      </c>
      <c r="Q21" s="19">
        <f t="shared" si="1"/>
        <v>4769.6690714855094</v>
      </c>
      <c r="R21" s="21">
        <f t="shared" si="1"/>
        <v>4581843.3637564322</v>
      </c>
      <c r="S21" s="114">
        <f t="shared" si="4"/>
        <v>3.9450893787898816E-2</v>
      </c>
      <c r="T21" s="118">
        <f t="shared" si="9"/>
        <v>3.8828172406939476E-2</v>
      </c>
      <c r="U21" s="58">
        <f t="shared" si="5"/>
        <v>960.62080934462415</v>
      </c>
      <c r="V21" s="118">
        <f t="shared" si="10"/>
        <v>-2.788280109427288E-2</v>
      </c>
      <c r="W21" s="189">
        <f t="shared" si="6"/>
        <v>37.897349519900168</v>
      </c>
      <c r="X21" s="118">
        <f t="shared" si="12"/>
        <v>9.8627331045897382E-3</v>
      </c>
      <c r="Y21" s="5"/>
      <c r="Z21" s="5"/>
      <c r="AA21" s="5"/>
    </row>
    <row r="22" spans="3:27" x14ac:dyDescent="0.25">
      <c r="C22" s="113" t="s">
        <v>118</v>
      </c>
      <c r="D22" s="19">
        <v>118288.85993202133</v>
      </c>
      <c r="E22" s="19">
        <v>4699.4787540818043</v>
      </c>
      <c r="F22" s="21">
        <v>4508464.9412194956</v>
      </c>
      <c r="G22" s="114">
        <f t="shared" si="2"/>
        <v>3.9728836314615913E-2</v>
      </c>
      <c r="H22" s="118">
        <f t="shared" si="7"/>
        <v>3.6751552813678368E-2</v>
      </c>
      <c r="I22" s="58">
        <f t="shared" si="3"/>
        <v>959.35425547005593</v>
      </c>
      <c r="J22" s="118">
        <f t="shared" si="8"/>
        <v>-2.3010526315789592E-2</v>
      </c>
      <c r="K22" s="189">
        <f t="shared" si="0"/>
        <v>38.114028183300071</v>
      </c>
      <c r="L22" s="118">
        <f t="shared" si="11"/>
        <v>1.2895353924723407E-2</v>
      </c>
      <c r="M22" s="5"/>
      <c r="N22" s="4" t="s">
        <v>1</v>
      </c>
      <c r="O22" s="113" t="s">
        <v>118</v>
      </c>
      <c r="P22" s="19">
        <f t="shared" si="1"/>
        <v>118288.85993202133</v>
      </c>
      <c r="Q22" s="19">
        <f t="shared" si="1"/>
        <v>4699.4787540818043</v>
      </c>
      <c r="R22" s="21">
        <f t="shared" si="1"/>
        <v>4508464.9412194956</v>
      </c>
      <c r="S22" s="114">
        <f t="shared" si="4"/>
        <v>3.9728836314615913E-2</v>
      </c>
      <c r="T22" s="118">
        <f t="shared" si="9"/>
        <v>3.6751552813678368E-2</v>
      </c>
      <c r="U22" s="58">
        <f t="shared" si="5"/>
        <v>959.35425547005593</v>
      </c>
      <c r="V22" s="118">
        <f t="shared" si="10"/>
        <v>-2.3010526315789592E-2</v>
      </c>
      <c r="W22" s="189">
        <f t="shared" si="6"/>
        <v>38.114028183300071</v>
      </c>
      <c r="X22" s="118">
        <f t="shared" si="12"/>
        <v>1.2895353924723407E-2</v>
      </c>
      <c r="Y22" s="5"/>
      <c r="Z22" s="5"/>
      <c r="AA22" s="5"/>
    </row>
    <row r="23" spans="3:27" x14ac:dyDescent="0.25">
      <c r="C23" s="115" t="s">
        <v>119</v>
      </c>
      <c r="D23" s="26">
        <v>116196.14930407587</v>
      </c>
      <c r="E23" s="26">
        <v>4625.6817548803547</v>
      </c>
      <c r="F23" s="27">
        <v>4414124.6430215137</v>
      </c>
      <c r="G23" s="116">
        <f t="shared" si="2"/>
        <v>3.9809251705711195E-2</v>
      </c>
      <c r="H23" s="119">
        <f t="shared" si="7"/>
        <v>2.9519099558406925E-2</v>
      </c>
      <c r="I23" s="66">
        <f t="shared" si="3"/>
        <v>954.26466344433743</v>
      </c>
      <c r="J23" s="119">
        <f t="shared" si="8"/>
        <v>-2.1052631578947434E-2</v>
      </c>
      <c r="K23" s="190">
        <f t="shared" si="0"/>
        <v>37.988562180921406</v>
      </c>
      <c r="L23" s="119">
        <f t="shared" si="11"/>
        <v>7.8450132519141125E-3</v>
      </c>
      <c r="M23" s="5"/>
      <c r="N23" s="4" t="s">
        <v>1</v>
      </c>
      <c r="O23" s="115" t="s">
        <v>119</v>
      </c>
      <c r="P23" s="26">
        <f t="shared" si="1"/>
        <v>116196.14930407587</v>
      </c>
      <c r="Q23" s="26">
        <f t="shared" si="1"/>
        <v>4625.6817548803547</v>
      </c>
      <c r="R23" s="27">
        <f t="shared" si="1"/>
        <v>4414124.6430215137</v>
      </c>
      <c r="S23" s="116">
        <f t="shared" si="4"/>
        <v>3.9809251705711195E-2</v>
      </c>
      <c r="T23" s="119">
        <f t="shared" si="9"/>
        <v>2.9519099558406925E-2</v>
      </c>
      <c r="U23" s="66">
        <f t="shared" si="5"/>
        <v>954.26466344433743</v>
      </c>
      <c r="V23" s="119">
        <f t="shared" si="10"/>
        <v>-2.1052631578947434E-2</v>
      </c>
      <c r="W23" s="190">
        <f t="shared" si="6"/>
        <v>37.988562180921406</v>
      </c>
      <c r="X23" s="119">
        <f t="shared" si="12"/>
        <v>7.8450132519141125E-3</v>
      </c>
      <c r="Y23" s="5"/>
      <c r="Z23" s="5"/>
      <c r="AA23" s="5"/>
    </row>
    <row r="24" spans="3:27" x14ac:dyDescent="0.25">
      <c r="C24" s="113" t="s">
        <v>120</v>
      </c>
      <c r="D24" s="19">
        <v>114026.66285919285</v>
      </c>
      <c r="E24" s="19">
        <v>4557.61035082329</v>
      </c>
      <c r="F24" s="21">
        <v>4330427.9550040327</v>
      </c>
      <c r="G24" s="114">
        <f t="shared" si="2"/>
        <v>3.9969689865003842E-2</v>
      </c>
      <c r="H24" s="118">
        <f t="shared" si="7"/>
        <v>2.6432605391381037E-2</v>
      </c>
      <c r="I24" s="193" t="s">
        <v>121</v>
      </c>
      <c r="J24" s="194" t="s">
        <v>121</v>
      </c>
      <c r="K24" s="189">
        <f>F24/D24</f>
        <v>37.977327814561335</v>
      </c>
      <c r="L24" s="118">
        <f t="shared" si="11"/>
        <v>9.861719190255025E-3</v>
      </c>
      <c r="M24" s="5"/>
      <c r="N24" s="4" t="s">
        <v>1</v>
      </c>
      <c r="O24" s="113" t="s">
        <v>120</v>
      </c>
      <c r="P24" s="19">
        <f t="shared" si="1"/>
        <v>114026.66285919285</v>
      </c>
      <c r="Q24" s="19">
        <f t="shared" si="1"/>
        <v>4557.61035082329</v>
      </c>
      <c r="R24" s="21">
        <f t="shared" si="1"/>
        <v>4330427.9550040327</v>
      </c>
      <c r="S24" s="114">
        <f t="shared" si="4"/>
        <v>3.9969689865003842E-2</v>
      </c>
      <c r="T24" s="118">
        <f t="shared" si="9"/>
        <v>2.6432605391381037E-2</v>
      </c>
      <c r="U24" s="193">
        <f t="shared" si="5"/>
        <v>950.1531771406876</v>
      </c>
      <c r="V24" s="194">
        <f t="shared" si="10"/>
        <v>-1.614415414522774E-2</v>
      </c>
      <c r="W24" s="189">
        <f t="shared" si="6"/>
        <v>37.977327814561342</v>
      </c>
      <c r="X24" s="118">
        <f t="shared" si="12"/>
        <v>9.861719190255025E-3</v>
      </c>
      <c r="Y24" s="5"/>
      <c r="Z24" s="5"/>
      <c r="AA24" s="5"/>
    </row>
    <row r="25" spans="3:27" x14ac:dyDescent="0.25">
      <c r="C25" s="113" t="s">
        <v>122</v>
      </c>
      <c r="D25" s="19">
        <v>112009.35700831458</v>
      </c>
      <c r="E25" s="19">
        <v>4513.0383824710589</v>
      </c>
      <c r="F25" s="21">
        <v>4252570.8196319388</v>
      </c>
      <c r="G25" s="114">
        <f t="shared" si="2"/>
        <v>4.0291619405832778E-2</v>
      </c>
      <c r="H25" s="118">
        <f t="shared" si="7"/>
        <v>2.131068620280141E-2</v>
      </c>
      <c r="I25" s="193" t="s">
        <v>121</v>
      </c>
      <c r="J25" s="194" t="s">
        <v>121</v>
      </c>
      <c r="K25" s="192">
        <f>F25/D25</f>
        <v>37.966210441831798</v>
      </c>
      <c r="L25" s="195">
        <f t="shared" si="11"/>
        <v>1.8170379407529413E-3</v>
      </c>
      <c r="M25" s="5"/>
      <c r="N25" s="4" t="s">
        <v>1</v>
      </c>
      <c r="O25" s="113" t="s">
        <v>122</v>
      </c>
      <c r="P25" s="19">
        <f t="shared" si="1"/>
        <v>112009.35700831458</v>
      </c>
      <c r="Q25" s="19">
        <f t="shared" si="1"/>
        <v>4513.0383824710589</v>
      </c>
      <c r="R25" s="21">
        <f t="shared" si="1"/>
        <v>4252570.8196319388</v>
      </c>
      <c r="S25" s="114">
        <f t="shared" si="4"/>
        <v>4.0291619405832778E-2</v>
      </c>
      <c r="T25" s="118">
        <f t="shared" si="9"/>
        <v>2.131068620280141E-2</v>
      </c>
      <c r="U25" s="193">
        <f t="shared" si="5"/>
        <v>942.28554229656163</v>
      </c>
      <c r="V25" s="194">
        <f t="shared" si="10"/>
        <v>-1.9086893464833055E-2</v>
      </c>
      <c r="W25" s="189">
        <f t="shared" si="6"/>
        <v>37.966210441831805</v>
      </c>
      <c r="X25" s="118">
        <f t="shared" si="12"/>
        <v>1.8170379407529413E-3</v>
      </c>
      <c r="Y25" s="5"/>
      <c r="Z25" s="5"/>
      <c r="AA25" s="5"/>
    </row>
    <row r="26" spans="3:27" x14ac:dyDescent="0.25">
      <c r="C26" s="113" t="s">
        <v>123</v>
      </c>
      <c r="D26" s="19">
        <v>109808.34309064288</v>
      </c>
      <c r="E26" s="19">
        <v>4464.4467779758243</v>
      </c>
      <c r="F26" s="21">
        <v>4176113.4843699802</v>
      </c>
      <c r="G26" s="114">
        <f t="shared" si="2"/>
        <v>4.0656717443505928E-2</v>
      </c>
      <c r="H26" s="118">
        <f t="shared" si="7"/>
        <v>2.3355356334679556E-2</v>
      </c>
      <c r="I26" s="193" t="s">
        <v>121</v>
      </c>
      <c r="J26" s="194" t="s">
        <v>121</v>
      </c>
      <c r="K26" s="189">
        <f>F26/D26</f>
        <v>38.030930681858543</v>
      </c>
      <c r="L26" s="118">
        <f t="shared" si="11"/>
        <v>-2.1802340346156468E-3</v>
      </c>
      <c r="M26" s="5"/>
      <c r="N26" s="4" t="s">
        <v>1</v>
      </c>
      <c r="O26" s="113" t="s">
        <v>123</v>
      </c>
      <c r="P26" s="19">
        <f t="shared" si="1"/>
        <v>109808.34309064288</v>
      </c>
      <c r="Q26" s="19">
        <f t="shared" si="1"/>
        <v>4464.4467779758243</v>
      </c>
      <c r="R26" s="21">
        <f t="shared" si="1"/>
        <v>4176113.4843699802</v>
      </c>
      <c r="S26" s="114">
        <f t="shared" si="4"/>
        <v>4.0656717443505928E-2</v>
      </c>
      <c r="T26" s="118">
        <f t="shared" si="9"/>
        <v>2.3355356334679556E-2</v>
      </c>
      <c r="U26" s="193">
        <f t="shared" si="5"/>
        <v>935.41567232288207</v>
      </c>
      <c r="V26" s="194">
        <f t="shared" si="10"/>
        <v>-2.4952808632140444E-2</v>
      </c>
      <c r="W26" s="189">
        <f t="shared" si="6"/>
        <v>38.030930681858543</v>
      </c>
      <c r="X26" s="118">
        <f t="shared" si="12"/>
        <v>-2.1802340346156468E-3</v>
      </c>
      <c r="Y26" s="5"/>
      <c r="Z26" s="5"/>
      <c r="AA26" s="5"/>
    </row>
    <row r="27" spans="3:27" x14ac:dyDescent="0.25">
      <c r="C27" s="115" t="s">
        <v>124</v>
      </c>
      <c r="D27" s="26">
        <v>107220.40754039097</v>
      </c>
      <c r="E27" s="26">
        <v>4403.1556665844919</v>
      </c>
      <c r="F27" s="27">
        <v>4096929.7513099057</v>
      </c>
      <c r="G27" s="116">
        <f t="shared" si="2"/>
        <v>4.1066395545323597E-2</v>
      </c>
      <c r="H27" s="119">
        <f t="shared" si="7"/>
        <v>3.1579187895964589E-2</v>
      </c>
      <c r="I27" s="196" t="s">
        <v>121</v>
      </c>
      <c r="J27" s="197" t="s">
        <v>121</v>
      </c>
      <c r="K27" s="190">
        <f>F27/D27</f>
        <v>38.210354216071714</v>
      </c>
      <c r="L27" s="119">
        <f t="shared" si="11"/>
        <v>5.8383898314977589E-3</v>
      </c>
      <c r="M27" s="5"/>
      <c r="N27" s="4" t="s">
        <v>1</v>
      </c>
      <c r="O27" s="115" t="s">
        <v>124</v>
      </c>
      <c r="P27" s="26">
        <f t="shared" si="1"/>
        <v>107220.40754039097</v>
      </c>
      <c r="Q27" s="26">
        <f t="shared" si="1"/>
        <v>4403.1556665844919</v>
      </c>
      <c r="R27" s="27">
        <f t="shared" si="1"/>
        <v>4096929.7513099057</v>
      </c>
      <c r="S27" s="116">
        <f t="shared" si="4"/>
        <v>4.1066395545323597E-2</v>
      </c>
      <c r="T27" s="119">
        <f t="shared" si="9"/>
        <v>3.1579187895964589E-2</v>
      </c>
      <c r="U27" s="196">
        <f t="shared" si="5"/>
        <v>930.45307991299694</v>
      </c>
      <c r="V27" s="197">
        <f t="shared" si="10"/>
        <v>-2.4952808632140444E-2</v>
      </c>
      <c r="W27" s="190">
        <f t="shared" si="6"/>
        <v>38.210354216071721</v>
      </c>
      <c r="X27" s="119">
        <f t="shared" si="12"/>
        <v>5.8383898314977589E-3</v>
      </c>
      <c r="Y27" s="5"/>
      <c r="Z27" s="5"/>
      <c r="AA27" s="5"/>
    </row>
    <row r="28" spans="3:27" x14ac:dyDescent="0.25">
      <c r="N28" s="4" t="s">
        <v>1</v>
      </c>
    </row>
    <row r="29" spans="3:27" x14ac:dyDescent="0.25">
      <c r="N29" s="4" t="s">
        <v>1</v>
      </c>
    </row>
    <row r="30" spans="3:27" x14ac:dyDescent="0.25">
      <c r="N30" s="4" t="s">
        <v>1</v>
      </c>
    </row>
    <row r="31" spans="3:27" x14ac:dyDescent="0.25">
      <c r="N31" s="4" t="s">
        <v>1</v>
      </c>
    </row>
    <row r="32" spans="3:27" x14ac:dyDescent="0.25">
      <c r="N32" s="4" t="s">
        <v>1</v>
      </c>
    </row>
    <row r="33" spans="14:14" x14ac:dyDescent="0.25">
      <c r="N33" s="4" t="s">
        <v>1</v>
      </c>
    </row>
    <row r="34" spans="14:14" x14ac:dyDescent="0.25">
      <c r="N34" s="4" t="s">
        <v>1</v>
      </c>
    </row>
    <row r="35" spans="14:14" x14ac:dyDescent="0.25">
      <c r="N35" s="4" t="s">
        <v>1</v>
      </c>
    </row>
    <row r="36" spans="14:14" x14ac:dyDescent="0.25">
      <c r="N36" s="4" t="s">
        <v>1</v>
      </c>
    </row>
    <row r="37" spans="14:14" x14ac:dyDescent="0.25">
      <c r="N37" s="4" t="s">
        <v>1</v>
      </c>
    </row>
    <row r="38" spans="14:14" x14ac:dyDescent="0.25">
      <c r="N38" s="4" t="s">
        <v>1</v>
      </c>
    </row>
    <row r="39" spans="14:14" x14ac:dyDescent="0.25">
      <c r="N39" s="4" t="s">
        <v>1</v>
      </c>
    </row>
    <row r="40" spans="14:14" x14ac:dyDescent="0.25">
      <c r="N40" s="4" t="s">
        <v>1</v>
      </c>
    </row>
    <row r="41" spans="14:14" x14ac:dyDescent="0.25">
      <c r="N41" s="4" t="s">
        <v>1</v>
      </c>
    </row>
    <row r="42" spans="14:14" x14ac:dyDescent="0.25">
      <c r="N42" s="4" t="s">
        <v>1</v>
      </c>
    </row>
    <row r="43" spans="14:14" x14ac:dyDescent="0.25">
      <c r="N43" s="4" t="s">
        <v>1</v>
      </c>
    </row>
    <row r="44" spans="14:14" x14ac:dyDescent="0.25">
      <c r="N44" s="4" t="s">
        <v>1</v>
      </c>
    </row>
    <row r="45" spans="14:14" x14ac:dyDescent="0.25">
      <c r="N45" s="4" t="s">
        <v>1</v>
      </c>
    </row>
    <row r="46" spans="14:14" x14ac:dyDescent="0.25">
      <c r="N46" s="4" t="s">
        <v>1</v>
      </c>
    </row>
    <row r="47" spans="14:14" x14ac:dyDescent="0.25">
      <c r="N47" s="4" t="s">
        <v>1</v>
      </c>
    </row>
    <row r="48" spans="14:14" x14ac:dyDescent="0.25">
      <c r="N48" s="4" t="s">
        <v>1</v>
      </c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_x0009_"/>
  </hyperlinks>
  <pageMargins left="0.7" right="0.7" top="0.75" bottom="0.75" header="0.3" footer="0.3"/>
  <ignoredErrors>
    <ignoredError sqref="U16:W27 I16:K20 I22:K27 I21:J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s="2" t="s">
        <v>125</v>
      </c>
      <c r="D1" s="3"/>
      <c r="E1" s="3"/>
      <c r="L1" s="208" t="s">
        <v>210</v>
      </c>
      <c r="M1" s="208"/>
      <c r="N1" s="4" t="s">
        <v>1</v>
      </c>
    </row>
    <row r="2" spans="1:27" x14ac:dyDescent="0.25">
      <c r="A2" s="1" t="s">
        <v>2</v>
      </c>
      <c r="C2" s="2" t="s">
        <v>3</v>
      </c>
      <c r="N2" s="4" t="s">
        <v>1</v>
      </c>
      <c r="R2" s="5"/>
    </row>
    <row r="3" spans="1:27" x14ac:dyDescent="0.25">
      <c r="A3" s="1" t="s">
        <v>4</v>
      </c>
      <c r="C3" s="2" t="s">
        <v>126</v>
      </c>
      <c r="N3" s="4" t="s">
        <v>1</v>
      </c>
      <c r="O3" s="185" t="s">
        <v>45</v>
      </c>
      <c r="P3" s="5" t="s">
        <v>127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</row>
    <row r="5" spans="1:27" x14ac:dyDescent="0.25">
      <c r="A5" s="7" t="s">
        <v>6</v>
      </c>
      <c r="C5" s="5" t="s">
        <v>128</v>
      </c>
      <c r="D5" s="5"/>
      <c r="E5" s="5"/>
      <c r="F5" s="5"/>
      <c r="G5" s="5"/>
      <c r="H5" s="5"/>
      <c r="I5" s="5"/>
      <c r="J5" s="5"/>
      <c r="K5" s="5"/>
      <c r="L5" s="5"/>
      <c r="M5" s="5"/>
      <c r="N5" s="4" t="s">
        <v>1</v>
      </c>
      <c r="P5" s="120" t="s">
        <v>93</v>
      </c>
      <c r="Q5" s="55" t="s">
        <v>22</v>
      </c>
      <c r="R5" s="121" t="s">
        <v>129</v>
      </c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</v>
      </c>
      <c r="P6" s="29">
        <v>2020</v>
      </c>
      <c r="Q6" s="122">
        <f>F21</f>
        <v>150000</v>
      </c>
      <c r="R6" s="123" t="s">
        <v>108</v>
      </c>
      <c r="AA6" s="5"/>
    </row>
    <row r="7" spans="1:27" x14ac:dyDescent="0.25">
      <c r="C7" s="6" t="s">
        <v>7</v>
      </c>
      <c r="D7" s="5" t="s">
        <v>130</v>
      </c>
      <c r="E7" s="5"/>
      <c r="F7" s="5"/>
      <c r="G7" s="5"/>
      <c r="H7" s="5"/>
      <c r="I7" s="5"/>
      <c r="J7" s="5"/>
      <c r="K7" s="5"/>
      <c r="L7" s="5"/>
      <c r="M7" s="5"/>
      <c r="N7" s="4" t="s">
        <v>1</v>
      </c>
      <c r="P7" s="29">
        <f>P6+1</f>
        <v>2021</v>
      </c>
      <c r="Q7" s="122">
        <f>F22</f>
        <v>156293.54999999999</v>
      </c>
      <c r="R7" s="124">
        <f>Q7/Q6-1</f>
        <v>4.1957000000000022E-2</v>
      </c>
      <c r="AA7" s="5"/>
    </row>
    <row r="8" spans="1:27" x14ac:dyDescent="0.25">
      <c r="A8" s="7"/>
      <c r="B8" s="5"/>
      <c r="C8" s="6" t="s">
        <v>10</v>
      </c>
      <c r="D8" s="5" t="s">
        <v>196</v>
      </c>
      <c r="E8" s="5"/>
      <c r="F8" s="5"/>
      <c r="G8" s="5"/>
      <c r="H8" s="5"/>
      <c r="I8" s="5"/>
      <c r="J8" s="5"/>
      <c r="K8" s="5"/>
      <c r="L8" s="5"/>
      <c r="M8" s="5"/>
      <c r="N8" s="4" t="s">
        <v>1</v>
      </c>
      <c r="P8" s="29">
        <f>P7+1</f>
        <v>2022</v>
      </c>
      <c r="Q8" s="122">
        <f>F23</f>
        <v>162851.15847734996</v>
      </c>
      <c r="R8" s="124">
        <f>Q8/Q7-1</f>
        <v>4.19569999999998E-2</v>
      </c>
      <c r="AA8" s="5"/>
    </row>
    <row r="9" spans="1:27" x14ac:dyDescent="0.25">
      <c r="A9" s="5"/>
      <c r="B9" s="5"/>
      <c r="C9" s="6" t="s">
        <v>132</v>
      </c>
      <c r="D9" s="5" t="s">
        <v>197</v>
      </c>
      <c r="E9" s="5"/>
      <c r="F9" s="5"/>
      <c r="G9" s="5"/>
      <c r="H9" s="5"/>
      <c r="I9" s="5"/>
      <c r="J9" s="5"/>
      <c r="K9" s="5"/>
      <c r="L9" s="5"/>
      <c r="M9" s="5"/>
      <c r="N9" s="4" t="s">
        <v>1</v>
      </c>
      <c r="P9" s="35">
        <f>P8+1</f>
        <v>2023</v>
      </c>
      <c r="Q9" s="126">
        <f>F24</f>
        <v>169683.90453358411</v>
      </c>
      <c r="R9" s="127">
        <f>Q9/Q8-1</f>
        <v>4.19569999999998E-2</v>
      </c>
      <c r="AA9" s="5"/>
    </row>
    <row r="10" spans="1:27" x14ac:dyDescent="0.25">
      <c r="A10" s="5"/>
      <c r="B10" s="5"/>
      <c r="C10" s="6" t="s">
        <v>133</v>
      </c>
      <c r="D10" s="5" t="s">
        <v>198</v>
      </c>
      <c r="E10" s="5"/>
      <c r="F10" s="5"/>
      <c r="G10" s="5"/>
      <c r="H10" s="5"/>
      <c r="I10" s="5"/>
      <c r="J10" s="5"/>
      <c r="K10" s="5"/>
      <c r="L10" s="5"/>
      <c r="M10" s="5"/>
      <c r="N10" s="4" t="s">
        <v>1</v>
      </c>
      <c r="O10" s="5"/>
      <c r="P10" s="120" t="s">
        <v>134</v>
      </c>
      <c r="Q10" s="48"/>
      <c r="R10" s="186">
        <f>ROUND(AVERAGE(R7:R9),3)</f>
        <v>4.2000000000000003E-2</v>
      </c>
      <c r="S10" s="129" t="s">
        <v>135</v>
      </c>
      <c r="T10" s="51" t="s">
        <v>136</v>
      </c>
      <c r="U10" s="5"/>
      <c r="V10" s="5"/>
      <c r="W10" s="5"/>
      <c r="X10" s="5"/>
      <c r="Y10" s="5"/>
      <c r="Z10" s="5"/>
      <c r="AA10" s="5"/>
    </row>
    <row r="11" spans="1:27" x14ac:dyDescent="0.25">
      <c r="A11" s="5"/>
      <c r="B11" s="5"/>
      <c r="C11" s="6" t="s">
        <v>137</v>
      </c>
      <c r="D11" s="5" t="s">
        <v>199</v>
      </c>
      <c r="E11" s="5"/>
      <c r="F11" s="5"/>
      <c r="G11" s="5"/>
      <c r="H11" s="5"/>
      <c r="I11" s="5"/>
      <c r="J11" s="5"/>
      <c r="K11" s="5"/>
      <c r="L11" s="5"/>
      <c r="M11" s="5"/>
      <c r="N11" s="4" t="s">
        <v>1</v>
      </c>
      <c r="O11" s="5"/>
      <c r="P11" s="1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C12" s="6"/>
      <c r="D12" s="5"/>
      <c r="K12" s="5"/>
      <c r="L12" s="5"/>
      <c r="M12" s="5"/>
      <c r="N12" s="4" t="s">
        <v>1</v>
      </c>
      <c r="AA12" s="5"/>
    </row>
    <row r="13" spans="1:27" x14ac:dyDescent="0.25">
      <c r="C13" s="6"/>
      <c r="D13" s="5"/>
      <c r="J13" s="5"/>
      <c r="K13" s="5"/>
      <c r="L13" s="5"/>
      <c r="M13" s="5"/>
      <c r="N13" s="4" t="s">
        <v>1</v>
      </c>
      <c r="O13" s="140" t="s">
        <v>138</v>
      </c>
      <c r="P13" s="2" t="s">
        <v>200</v>
      </c>
      <c r="AA13" s="5"/>
    </row>
    <row r="14" spans="1:27" x14ac:dyDescent="0.25">
      <c r="J14" s="5"/>
      <c r="K14" s="5"/>
      <c r="L14" s="5"/>
      <c r="M14" s="5"/>
      <c r="N14" s="4" t="s">
        <v>1</v>
      </c>
      <c r="O14" s="5"/>
      <c r="AA14" s="5"/>
    </row>
    <row r="15" spans="1:27" x14ac:dyDescent="0.25">
      <c r="A15" s="7" t="s">
        <v>19</v>
      </c>
      <c r="B15" s="5"/>
      <c r="C15" s="5" t="s">
        <v>139</v>
      </c>
      <c r="D15" s="5"/>
      <c r="E15" s="131">
        <f>E24</f>
        <v>2023</v>
      </c>
      <c r="F15" s="8"/>
      <c r="G15" s="8"/>
      <c r="H15" s="132"/>
      <c r="I15" s="5"/>
      <c r="J15" s="5"/>
      <c r="K15" s="5"/>
      <c r="L15" s="5"/>
      <c r="M15" s="5"/>
      <c r="N15" s="4" t="s">
        <v>1</v>
      </c>
      <c r="O15" s="5"/>
      <c r="P15" s="5" t="s">
        <v>140</v>
      </c>
      <c r="Q15" s="6" t="s">
        <v>37</v>
      </c>
      <c r="R15" s="5" t="s">
        <v>141</v>
      </c>
      <c r="S15" s="5"/>
      <c r="T15" s="5"/>
      <c r="U15" s="5"/>
      <c r="V15" s="5"/>
      <c r="W15" s="6" t="s">
        <v>37</v>
      </c>
      <c r="X15" s="34">
        <f>E15</f>
        <v>2023</v>
      </c>
      <c r="Y15" s="9" t="s">
        <v>142</v>
      </c>
      <c r="Z15" s="9" t="s">
        <v>143</v>
      </c>
      <c r="AA15" s="5"/>
    </row>
    <row r="16" spans="1:27" x14ac:dyDescent="0.25">
      <c r="A16" s="5"/>
      <c r="B16" s="5"/>
      <c r="C16" s="5" t="s">
        <v>144</v>
      </c>
      <c r="D16" s="5"/>
      <c r="E16" s="131">
        <v>2026</v>
      </c>
      <c r="F16" s="133" t="s">
        <v>143</v>
      </c>
      <c r="G16" s="133" t="s">
        <v>143</v>
      </c>
      <c r="H16" s="134" t="s">
        <v>145</v>
      </c>
      <c r="I16" s="5"/>
      <c r="J16" s="5"/>
      <c r="K16" s="5"/>
      <c r="L16" s="5"/>
      <c r="M16" s="5"/>
      <c r="N16" s="4" t="s">
        <v>1</v>
      </c>
      <c r="O16" s="5"/>
      <c r="P16" s="5" t="s">
        <v>146</v>
      </c>
      <c r="Q16" s="6" t="s">
        <v>37</v>
      </c>
      <c r="R16" s="5" t="s">
        <v>147</v>
      </c>
      <c r="S16" s="5"/>
      <c r="T16" s="5"/>
      <c r="U16" s="5"/>
      <c r="V16" s="5"/>
      <c r="W16" s="6" t="s">
        <v>37</v>
      </c>
      <c r="X16" s="34">
        <v>2026</v>
      </c>
      <c r="Y16" s="9" t="s">
        <v>142</v>
      </c>
      <c r="Z16" s="9" t="s">
        <v>143</v>
      </c>
      <c r="AA16" s="5"/>
    </row>
    <row r="17" spans="1:27" x14ac:dyDescent="0.25">
      <c r="A17" s="5"/>
      <c r="B17" s="5"/>
      <c r="C17" s="5" t="s">
        <v>148</v>
      </c>
      <c r="D17" s="5"/>
      <c r="E17" s="8">
        <v>6</v>
      </c>
      <c r="F17" s="52" t="s">
        <v>149</v>
      </c>
      <c r="G17" s="135"/>
      <c r="H17" s="132"/>
      <c r="I17" s="5"/>
      <c r="J17" s="5"/>
      <c r="K17" s="5"/>
      <c r="L17" s="5"/>
      <c r="M17" s="5"/>
      <c r="N17" s="4" t="s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C18" s="5" t="s">
        <v>150</v>
      </c>
      <c r="D18" s="5"/>
      <c r="E18" s="8">
        <v>6</v>
      </c>
      <c r="F18" s="52" t="s">
        <v>149</v>
      </c>
      <c r="G18" s="135"/>
      <c r="H18" s="132"/>
      <c r="I18" s="5"/>
      <c r="J18" s="5"/>
      <c r="K18" s="5"/>
      <c r="L18" s="5"/>
      <c r="M18" s="5"/>
      <c r="N18" s="4" t="s">
        <v>1</v>
      </c>
      <c r="O18" s="5"/>
      <c r="P18" s="125" t="s">
        <v>151</v>
      </c>
      <c r="Q18" s="6" t="s">
        <v>37</v>
      </c>
      <c r="R18" s="6" t="s">
        <v>146</v>
      </c>
      <c r="S18" s="9" t="s">
        <v>131</v>
      </c>
      <c r="T18" s="6" t="s">
        <v>140</v>
      </c>
      <c r="U18" s="5"/>
      <c r="V18" s="41"/>
      <c r="W18" s="5"/>
      <c r="X18" s="5"/>
      <c r="Y18" s="5"/>
      <c r="Z18" s="5"/>
      <c r="AA18" s="5"/>
    </row>
    <row r="19" spans="1:27" x14ac:dyDescent="0.25">
      <c r="C19" s="5"/>
      <c r="D19" s="5"/>
      <c r="E19" s="34"/>
      <c r="F19" s="136"/>
      <c r="G19" s="136"/>
      <c r="H19" s="5"/>
      <c r="I19" s="5"/>
      <c r="J19" s="5"/>
      <c r="K19" s="5"/>
      <c r="L19" s="5"/>
      <c r="M19" s="5"/>
      <c r="N19" s="4" t="s">
        <v>1</v>
      </c>
      <c r="O19" s="5"/>
      <c r="Q19" s="6" t="s">
        <v>37</v>
      </c>
      <c r="R19" s="128" t="str">
        <f>ROUND(((X16*12)+Y16-(X15*12+Y15))/12+IF(Z15=Z16,0,1/24),3) &amp; " year(s)"</f>
        <v>3 year(s)</v>
      </c>
      <c r="U19" s="5"/>
      <c r="V19" s="5"/>
      <c r="W19" s="5"/>
      <c r="X19" s="5"/>
      <c r="Y19" s="5"/>
      <c r="Z19" s="5"/>
      <c r="AA19" s="5"/>
    </row>
    <row r="20" spans="1:27" x14ac:dyDescent="0.25">
      <c r="C20" s="5" t="s">
        <v>152</v>
      </c>
      <c r="D20" s="5"/>
      <c r="E20" s="120" t="s">
        <v>93</v>
      </c>
      <c r="F20" s="55" t="s">
        <v>22</v>
      </c>
      <c r="G20" s="137"/>
      <c r="H20" s="5"/>
      <c r="I20" s="5"/>
      <c r="J20" s="5"/>
      <c r="K20" s="5"/>
      <c r="L20" s="5"/>
      <c r="M20" s="5"/>
      <c r="N20" s="4" t="s">
        <v>1</v>
      </c>
      <c r="O20" s="5"/>
      <c r="AA20" s="5"/>
    </row>
    <row r="21" spans="1:27" x14ac:dyDescent="0.25">
      <c r="C21" s="5" t="s">
        <v>153</v>
      </c>
      <c r="D21" s="5"/>
      <c r="E21" s="29">
        <v>2020</v>
      </c>
      <c r="F21" s="138">
        <v>150000</v>
      </c>
      <c r="G21" s="139" t="s">
        <v>154</v>
      </c>
      <c r="H21" s="39" t="s">
        <v>155</v>
      </c>
      <c r="I21" s="39"/>
      <c r="J21" s="5"/>
      <c r="K21" s="5"/>
      <c r="L21" s="5"/>
      <c r="M21" s="5"/>
      <c r="N21" s="4" t="s">
        <v>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C22" s="5"/>
      <c r="D22" s="5"/>
      <c r="E22" s="29">
        <v>2021</v>
      </c>
      <c r="F22" s="138">
        <v>156293.54999999999</v>
      </c>
      <c r="G22" s="5"/>
      <c r="H22" s="39" t="s">
        <v>156</v>
      </c>
      <c r="I22" s="39"/>
      <c r="J22" s="5"/>
      <c r="K22" s="5"/>
      <c r="L22" s="5"/>
      <c r="M22" s="5"/>
      <c r="N22" s="4" t="s">
        <v>1</v>
      </c>
      <c r="O22" s="140" t="s">
        <v>157</v>
      </c>
      <c r="P22" s="2" t="s">
        <v>201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C23" s="5"/>
      <c r="D23" s="5"/>
      <c r="E23" s="29">
        <v>2022</v>
      </c>
      <c r="F23" s="138">
        <v>162851.15847734996</v>
      </c>
      <c r="G23" s="5"/>
      <c r="H23" s="39" t="s">
        <v>158</v>
      </c>
      <c r="I23" s="39"/>
      <c r="J23" s="5"/>
      <c r="K23" s="5"/>
      <c r="L23" s="5"/>
      <c r="M23" s="5"/>
      <c r="N23" s="4" t="s">
        <v>1</v>
      </c>
      <c r="O23" s="5"/>
      <c r="P23" s="130" t="s">
        <v>159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C24" s="5"/>
      <c r="D24" s="5"/>
      <c r="E24" s="35">
        <v>2023</v>
      </c>
      <c r="F24" s="141">
        <v>169683.90453358411</v>
      </c>
      <c r="G24" s="5"/>
      <c r="H24" s="5"/>
      <c r="I24" s="5"/>
      <c r="J24" s="5"/>
      <c r="K24" s="5"/>
      <c r="L24" s="5"/>
      <c r="M24" s="5"/>
      <c r="N24" s="4" t="s">
        <v>1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 t="s">
        <v>1</v>
      </c>
      <c r="O25" s="5"/>
      <c r="P25" s="125" t="s">
        <v>160</v>
      </c>
      <c r="Q25" s="6" t="s">
        <v>37</v>
      </c>
      <c r="R25" s="142">
        <f>ROUND(((X16*12)+Y16-(X15*12+Y15))/12+IF(Z15=Z16,0,1/24),3)</f>
        <v>3</v>
      </c>
      <c r="S25" s="6" t="s">
        <v>131</v>
      </c>
      <c r="T25" s="142">
        <v>0.5</v>
      </c>
      <c r="U25" s="6" t="s">
        <v>39</v>
      </c>
      <c r="V25" s="142">
        <f>E18/12</f>
        <v>0.5</v>
      </c>
      <c r="W25" s="5"/>
      <c r="X25" s="5"/>
      <c r="Y25" s="5"/>
      <c r="Z25" s="5"/>
      <c r="AA25" s="5"/>
    </row>
    <row r="26" spans="1:2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 t="s">
        <v>1</v>
      </c>
      <c r="O26" s="5"/>
      <c r="P26" s="5"/>
      <c r="Q26" s="6" t="s">
        <v>37</v>
      </c>
      <c r="R26" s="143" t="str">
        <f>R25-T25*V25 &amp; " year(s)"</f>
        <v>2.75 year(s)</v>
      </c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 t="s">
        <v>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 t="s">
        <v>1</v>
      </c>
      <c r="W28" s="5"/>
      <c r="X28" s="5"/>
      <c r="Y28" s="5"/>
      <c r="Z28" s="5"/>
      <c r="AA28" s="5"/>
    </row>
    <row r="29" spans="1:2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 t="s">
        <v>1</v>
      </c>
      <c r="O29" s="179" t="s">
        <v>161</v>
      </c>
      <c r="P29" s="5" t="s">
        <v>202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 t="s">
        <v>1</v>
      </c>
      <c r="O31" s="5"/>
      <c r="P31" s="5" t="str">
        <f>"AY " &amp; E15 &amp; " trended loss"</f>
        <v>AY 2023 trended loss</v>
      </c>
      <c r="Q31" s="5"/>
      <c r="R31" s="5"/>
      <c r="S31" s="5"/>
      <c r="T31" s="5"/>
      <c r="U31" s="5"/>
      <c r="V31" s="5"/>
      <c r="W31" s="6"/>
      <c r="X31" s="5"/>
      <c r="Y31" s="5"/>
      <c r="Z31" s="5"/>
      <c r="AA31" s="5"/>
    </row>
    <row r="32" spans="1:27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1</v>
      </c>
      <c r="O32" s="5"/>
      <c r="P32" s="5"/>
      <c r="Q32" s="6" t="s">
        <v>37</v>
      </c>
      <c r="R32" s="6">
        <f>F24</f>
        <v>169683.90453358411</v>
      </c>
      <c r="S32" s="6" t="s">
        <v>162</v>
      </c>
      <c r="T32" s="144">
        <f>1+R10</f>
        <v>1.042</v>
      </c>
      <c r="U32" s="6" t="s">
        <v>163</v>
      </c>
      <c r="V32" s="142">
        <f>ROUND(((X16*12)+Y16-(X15*12+Y15))/12+IF(Z15=Z16,0,1/24),3)</f>
        <v>3</v>
      </c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 t="s">
        <v>1</v>
      </c>
      <c r="O33" s="5"/>
      <c r="P33" s="5"/>
      <c r="Q33" s="6" t="s">
        <v>37</v>
      </c>
      <c r="R33" s="179">
        <f>R32*T32^V32</f>
        <v>191974.61526872657</v>
      </c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 t="s">
        <v>1</v>
      </c>
      <c r="O34" s="5"/>
      <c r="P34" s="5"/>
      <c r="Q34" s="5"/>
      <c r="R34" s="39" t="s">
        <v>164</v>
      </c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 t="s">
        <v>1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 t="s">
        <v>1</v>
      </c>
      <c r="O36" s="179" t="s">
        <v>161</v>
      </c>
      <c r="P36" s="5" t="s">
        <v>203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 t="s">
        <v>1</v>
      </c>
      <c r="O38" s="5"/>
      <c r="P38" s="5" t="str">
        <f>"PY " &amp; E15 &amp; " trended loss"</f>
        <v>PY 2023 trended loss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 t="s">
        <v>1</v>
      </c>
      <c r="O39" s="5"/>
      <c r="P39" s="5"/>
      <c r="Q39" s="6" t="s">
        <v>37</v>
      </c>
      <c r="R39" s="6">
        <f>F24</f>
        <v>169683.90453358411</v>
      </c>
      <c r="S39" s="6" t="s">
        <v>162</v>
      </c>
      <c r="T39" s="144">
        <f>1+R10</f>
        <v>1.042</v>
      </c>
      <c r="U39" s="6" t="s">
        <v>163</v>
      </c>
      <c r="V39" s="142">
        <f>R25-T25*V25</f>
        <v>2.75</v>
      </c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5"/>
      <c r="Q40" s="6" t="s">
        <v>37</v>
      </c>
      <c r="R40" s="179">
        <f>R39*T39^V39</f>
        <v>190010.18297168109</v>
      </c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  <c r="O41" s="5"/>
      <c r="P41" s="5"/>
      <c r="Q41" s="5"/>
      <c r="R41" s="39" t="s">
        <v>165</v>
      </c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4" t="s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4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4" t="s">
        <v>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4" t="s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4" t="s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4" t="s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4" t="s">
        <v>1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4" t="s">
        <v>1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4" t="s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4:27" x14ac:dyDescent="0.25">
      <c r="N52" s="4" t="s">
        <v>1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4:27" x14ac:dyDescent="0.25">
      <c r="N53" s="4" t="s">
        <v>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4" t="s">
        <v>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4" t="s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4" t="s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4" t="s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4" t="s">
        <v>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4" t="s">
        <v>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_x0009_"/>
  </hyperlinks>
  <pageMargins left="0.7" right="0.7" top="0.75" bottom="0.75" header="0.3" footer="0.3"/>
  <ignoredErrors>
    <ignoredError sqref="Y15:Z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s="2" t="s">
        <v>41</v>
      </c>
      <c r="D1" s="3"/>
      <c r="E1" s="3"/>
      <c r="L1" s="208" t="s">
        <v>210</v>
      </c>
      <c r="M1" s="208"/>
      <c r="N1" s="4" t="s">
        <v>1</v>
      </c>
    </row>
    <row r="2" spans="1:27" x14ac:dyDescent="0.25">
      <c r="A2" s="1" t="s">
        <v>2</v>
      </c>
      <c r="C2" s="2" t="s">
        <v>166</v>
      </c>
      <c r="N2" s="4" t="s">
        <v>1</v>
      </c>
    </row>
    <row r="3" spans="1:27" x14ac:dyDescent="0.25">
      <c r="A3" s="1" t="s">
        <v>4</v>
      </c>
      <c r="C3" s="2" t="s">
        <v>167</v>
      </c>
      <c r="N3" s="4" t="s">
        <v>1</v>
      </c>
      <c r="O3" s="182" t="s">
        <v>7</v>
      </c>
      <c r="P3" s="2" t="s">
        <v>190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 t="s">
        <v>1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x14ac:dyDescent="0.25">
      <c r="A5" s="7" t="s">
        <v>6</v>
      </c>
      <c r="B5" s="4" t="s">
        <v>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4" t="s">
        <v>1</v>
      </c>
      <c r="O5" s="5"/>
      <c r="P5" s="145"/>
      <c r="Q5" s="146" t="s">
        <v>169</v>
      </c>
      <c r="R5" s="147"/>
      <c r="S5" s="148" t="s">
        <v>170</v>
      </c>
      <c r="T5" s="149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 t="s">
        <v>1</v>
      </c>
      <c r="O6" s="5"/>
      <c r="P6" s="25" t="s">
        <v>171</v>
      </c>
      <c r="Q6" s="150" t="s">
        <v>172</v>
      </c>
      <c r="R6" s="150"/>
      <c r="S6" s="150" t="s">
        <v>172</v>
      </c>
      <c r="T6" s="151"/>
      <c r="U6" s="5"/>
      <c r="V6" s="5"/>
      <c r="W6" s="5"/>
      <c r="X6" s="5"/>
      <c r="Y6" s="5"/>
      <c r="Z6" s="5"/>
      <c r="AA6" s="5"/>
    </row>
    <row r="7" spans="1:27" x14ac:dyDescent="0.25">
      <c r="B7" s="4" t="s">
        <v>10</v>
      </c>
      <c r="C7" s="5" t="s">
        <v>173</v>
      </c>
      <c r="D7" s="5"/>
      <c r="E7" s="5"/>
      <c r="F7" s="5"/>
      <c r="G7" s="5"/>
      <c r="H7" s="5"/>
      <c r="I7" s="5"/>
      <c r="J7" s="5"/>
      <c r="K7" s="5"/>
      <c r="L7" s="5"/>
      <c r="M7" s="5"/>
      <c r="N7" s="4" t="s">
        <v>1</v>
      </c>
      <c r="O7" s="5"/>
      <c r="P7" s="18">
        <v>1</v>
      </c>
      <c r="Q7" s="152">
        <f>MIN(D11,J11)</f>
        <v>44200</v>
      </c>
      <c r="R7" s="152"/>
      <c r="S7" s="152">
        <f>MIN(D11*(1+J10),J11)</f>
        <v>42874</v>
      </c>
      <c r="T7" s="153"/>
      <c r="U7" s="5"/>
      <c r="V7" s="5"/>
      <c r="W7" s="5"/>
      <c r="X7" s="5"/>
      <c r="Y7" s="5"/>
      <c r="Z7" s="5"/>
      <c r="AA7" s="5"/>
    </row>
    <row r="8" spans="1:27" x14ac:dyDescent="0.25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 t="s">
        <v>1</v>
      </c>
      <c r="O8" s="5"/>
      <c r="P8" s="18">
        <v>2</v>
      </c>
      <c r="Q8" s="152">
        <f>MIN(D12,J11)</f>
        <v>65000</v>
      </c>
      <c r="R8" s="152"/>
      <c r="S8" s="152">
        <f>MIN(D12*(1+J10),J11)</f>
        <v>64020</v>
      </c>
      <c r="T8" s="153"/>
      <c r="U8" s="5"/>
      <c r="V8" s="5"/>
      <c r="W8" s="5"/>
      <c r="X8" s="5"/>
      <c r="Y8" s="5"/>
      <c r="Z8" s="5"/>
      <c r="AA8" s="5"/>
    </row>
    <row r="9" spans="1:27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 t="s">
        <v>1</v>
      </c>
      <c r="O9" s="5"/>
      <c r="P9" s="18">
        <v>3</v>
      </c>
      <c r="Q9" s="152">
        <f>MIN(D13,J11)</f>
        <v>65000</v>
      </c>
      <c r="R9" s="152"/>
      <c r="S9" s="152">
        <f>MIN(D13*(1+J10),J11)</f>
        <v>65000</v>
      </c>
      <c r="T9" s="153"/>
      <c r="U9" s="5"/>
      <c r="V9" s="5"/>
      <c r="W9" s="5"/>
      <c r="X9" s="5"/>
      <c r="Y9" s="5"/>
      <c r="Z9" s="5"/>
      <c r="AA9" s="5"/>
    </row>
    <row r="10" spans="1:27" x14ac:dyDescent="0.25">
      <c r="A10" s="7" t="s">
        <v>19</v>
      </c>
      <c r="B10" s="5"/>
      <c r="C10" s="120" t="s">
        <v>171</v>
      </c>
      <c r="D10" s="154" t="s">
        <v>174</v>
      </c>
      <c r="E10" s="155"/>
      <c r="G10" s="156" t="s">
        <v>175</v>
      </c>
      <c r="H10" s="157"/>
      <c r="I10" s="158"/>
      <c r="J10" s="159">
        <v>-0.03</v>
      </c>
      <c r="K10" s="5"/>
      <c r="L10" s="5"/>
      <c r="M10" s="5"/>
      <c r="N10" s="4" t="s">
        <v>1</v>
      </c>
      <c r="O10" s="5"/>
      <c r="P10" s="25">
        <v>4</v>
      </c>
      <c r="Q10" s="150">
        <f>MIN(D14,J11)</f>
        <v>65000</v>
      </c>
      <c r="R10" s="150"/>
      <c r="S10" s="150">
        <f>MIN(D14*(1+J10),J11)</f>
        <v>65000</v>
      </c>
      <c r="T10" s="151"/>
      <c r="U10" s="5"/>
      <c r="V10" s="5"/>
      <c r="W10" s="5"/>
      <c r="X10" s="5"/>
      <c r="Y10" s="5"/>
      <c r="Z10" s="5"/>
      <c r="AA10" s="5"/>
    </row>
    <row r="11" spans="1:27" x14ac:dyDescent="0.25">
      <c r="A11" s="5"/>
      <c r="B11" s="5"/>
      <c r="C11" s="18">
        <v>1</v>
      </c>
      <c r="D11" s="160">
        <v>44200</v>
      </c>
      <c r="E11" s="161"/>
      <c r="G11" s="66" t="s">
        <v>176</v>
      </c>
      <c r="H11" s="67"/>
      <c r="I11" s="68"/>
      <c r="J11" s="141">
        <v>65000</v>
      </c>
      <c r="K11" s="5"/>
      <c r="L11" s="5"/>
      <c r="M11" s="5"/>
      <c r="N11" s="4" t="s">
        <v>1</v>
      </c>
      <c r="O11" s="5"/>
      <c r="P11" s="25" t="s">
        <v>30</v>
      </c>
      <c r="Q11" s="162">
        <f>SUM(Q7:Q10)</f>
        <v>239200</v>
      </c>
      <c r="R11" s="150"/>
      <c r="S11" s="163">
        <f>SUM(S7:S10)</f>
        <v>236894</v>
      </c>
      <c r="T11" s="151"/>
      <c r="U11" s="5"/>
      <c r="V11" s="5"/>
      <c r="W11" s="5"/>
      <c r="X11" s="5"/>
      <c r="Y11" s="5"/>
      <c r="Z11" s="5"/>
      <c r="AA11" s="5"/>
    </row>
    <row r="12" spans="1:27" x14ac:dyDescent="0.25">
      <c r="A12" s="7"/>
      <c r="B12" s="5"/>
      <c r="C12" s="18">
        <v>2</v>
      </c>
      <c r="D12" s="160">
        <v>66000</v>
      </c>
      <c r="E12" s="161"/>
      <c r="F12" s="5"/>
      <c r="G12" s="5"/>
      <c r="H12" s="5"/>
      <c r="I12" s="5"/>
      <c r="J12" s="5"/>
      <c r="K12" s="5"/>
      <c r="L12" s="5"/>
      <c r="M12" s="5"/>
      <c r="N12" s="4" t="s">
        <v>1</v>
      </c>
      <c r="O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5"/>
      <c r="B13" s="5"/>
      <c r="C13" s="18">
        <v>3</v>
      </c>
      <c r="D13" s="160">
        <v>76050</v>
      </c>
      <c r="E13" s="161"/>
      <c r="F13" s="5"/>
      <c r="G13" s="5"/>
      <c r="H13" s="5"/>
      <c r="I13" s="5"/>
      <c r="J13" s="5"/>
      <c r="K13" s="5"/>
      <c r="L13" s="5"/>
      <c r="M13" s="5"/>
      <c r="N13" s="4" t="s">
        <v>1</v>
      </c>
      <c r="O13" s="5"/>
      <c r="P13" s="5" t="s">
        <v>177</v>
      </c>
      <c r="Q13" s="5"/>
      <c r="R13" s="5"/>
      <c r="S13" s="6" t="s">
        <v>37</v>
      </c>
      <c r="T13" s="164">
        <f>S11</f>
        <v>236894</v>
      </c>
      <c r="U13" s="9" t="s">
        <v>80</v>
      </c>
      <c r="V13" s="165">
        <f>Q11</f>
        <v>239200</v>
      </c>
      <c r="W13" s="6" t="s">
        <v>131</v>
      </c>
      <c r="X13" s="6">
        <v>1</v>
      </c>
      <c r="Y13" s="5"/>
      <c r="Z13" s="5"/>
      <c r="AA13" s="5"/>
    </row>
    <row r="14" spans="1:27" x14ac:dyDescent="0.25">
      <c r="A14" s="5"/>
      <c r="B14" s="5"/>
      <c r="C14" s="25">
        <v>4</v>
      </c>
      <c r="D14" s="166">
        <v>108550</v>
      </c>
      <c r="E14" s="167"/>
      <c r="F14" s="5"/>
      <c r="G14" s="5"/>
      <c r="H14" s="5"/>
      <c r="I14" s="5"/>
      <c r="J14" s="5"/>
      <c r="K14" s="5"/>
      <c r="L14" s="5"/>
      <c r="M14" s="5"/>
      <c r="N14" s="4" t="s">
        <v>1</v>
      </c>
      <c r="O14" s="5"/>
      <c r="P14" s="5"/>
      <c r="Q14" s="5"/>
      <c r="R14" s="5"/>
      <c r="S14" s="6" t="s">
        <v>37</v>
      </c>
      <c r="T14" s="183">
        <f>T13/V13-1</f>
        <v>-9.6404682274247033E-3</v>
      </c>
      <c r="U14" s="5"/>
      <c r="V14" s="5"/>
      <c r="W14" s="5"/>
      <c r="X14" s="5"/>
      <c r="Y14" s="5"/>
      <c r="Z14" s="5"/>
      <c r="AA14" s="5"/>
    </row>
    <row r="15" spans="1:27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 t="s">
        <v>1</v>
      </c>
      <c r="O15" s="5"/>
      <c r="P15" s="5"/>
      <c r="Q15" s="5"/>
      <c r="R15" s="5"/>
      <c r="S15" s="5"/>
      <c r="T15" s="39" t="s">
        <v>32</v>
      </c>
      <c r="U15" s="5"/>
      <c r="V15" s="5"/>
      <c r="W15" s="5"/>
      <c r="X15" s="5"/>
      <c r="Y15" s="5"/>
      <c r="Z15" s="5"/>
      <c r="AA15" s="5"/>
    </row>
    <row r="16" spans="1:27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 t="s">
        <v>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3:27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 t="s">
        <v>1</v>
      </c>
      <c r="O17" s="182" t="s">
        <v>10</v>
      </c>
      <c r="P17" s="2" t="s">
        <v>191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3:27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" t="s">
        <v>1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3:27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 t="s">
        <v>1</v>
      </c>
      <c r="O19" s="5"/>
      <c r="P19" s="145"/>
      <c r="Q19" s="146" t="s">
        <v>169</v>
      </c>
      <c r="R19" s="147"/>
      <c r="S19" s="148" t="s">
        <v>170</v>
      </c>
      <c r="T19" s="147"/>
      <c r="U19" s="148" t="s">
        <v>170</v>
      </c>
      <c r="V19" s="149"/>
      <c r="W19" s="5"/>
      <c r="X19" s="5"/>
      <c r="Y19" s="5"/>
      <c r="Z19" s="5"/>
      <c r="AA19" s="5"/>
    </row>
    <row r="20" spans="3:27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 t="s">
        <v>1</v>
      </c>
      <c r="O20" s="5"/>
      <c r="P20" s="25" t="s">
        <v>171</v>
      </c>
      <c r="Q20" s="150" t="s">
        <v>178</v>
      </c>
      <c r="R20" s="150"/>
      <c r="S20" s="150" t="s">
        <v>179</v>
      </c>
      <c r="T20" s="150"/>
      <c r="U20" s="150" t="s">
        <v>178</v>
      </c>
      <c r="V20" s="151"/>
      <c r="W20" s="5"/>
      <c r="X20" s="5"/>
      <c r="Y20" s="5"/>
      <c r="Z20" s="5"/>
      <c r="AA20" s="5"/>
    </row>
    <row r="21" spans="3:27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 t="s">
        <v>1</v>
      </c>
      <c r="O21" s="5"/>
      <c r="P21" s="18">
        <v>1</v>
      </c>
      <c r="Q21" s="152">
        <f>MAX(0,D11-J11)</f>
        <v>0</v>
      </c>
      <c r="R21" s="152"/>
      <c r="S21" s="152">
        <f>D11*(1+J10)</f>
        <v>42874</v>
      </c>
      <c r="T21" s="147"/>
      <c r="U21" s="152">
        <f>MAX(0,S21-J11)</f>
        <v>0</v>
      </c>
      <c r="V21" s="153"/>
      <c r="W21" s="5"/>
      <c r="X21" s="5"/>
      <c r="Y21" s="5"/>
      <c r="Z21" s="5"/>
      <c r="AA21" s="5"/>
    </row>
    <row r="22" spans="3:27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 t="s">
        <v>1</v>
      </c>
      <c r="O22" s="5"/>
      <c r="P22" s="18">
        <v>2</v>
      </c>
      <c r="Q22" s="152">
        <f>MAX(0,D12-J11)</f>
        <v>1000</v>
      </c>
      <c r="R22" s="152"/>
      <c r="S22" s="152">
        <f>D12*(1+J10)</f>
        <v>64020</v>
      </c>
      <c r="T22" s="152"/>
      <c r="U22" s="152">
        <f>MAX(0,S22-J11)</f>
        <v>0</v>
      </c>
      <c r="V22" s="153"/>
      <c r="W22" s="5"/>
      <c r="X22" s="5"/>
      <c r="Y22" s="5"/>
      <c r="Z22" s="5"/>
      <c r="AA22" s="5"/>
    </row>
    <row r="23" spans="3:27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 t="s">
        <v>1</v>
      </c>
      <c r="O23" s="5"/>
      <c r="P23" s="18">
        <v>3</v>
      </c>
      <c r="Q23" s="152">
        <f>MAX(0,D13-J11)</f>
        <v>11050</v>
      </c>
      <c r="R23" s="152"/>
      <c r="S23" s="152">
        <f>D13*(1+J10)</f>
        <v>73768.5</v>
      </c>
      <c r="T23" s="152"/>
      <c r="U23" s="152">
        <f>MAX(0,S23-J11)</f>
        <v>8768.5</v>
      </c>
      <c r="V23" s="153"/>
      <c r="W23" s="5"/>
      <c r="X23" s="5"/>
      <c r="Y23" s="5"/>
      <c r="Z23" s="5"/>
      <c r="AA23" s="5"/>
    </row>
    <row r="24" spans="3:27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 t="s">
        <v>1</v>
      </c>
      <c r="O24" s="5"/>
      <c r="P24" s="25">
        <v>4</v>
      </c>
      <c r="Q24" s="150">
        <f>MAX(0,D14-J11)</f>
        <v>43550</v>
      </c>
      <c r="R24" s="150"/>
      <c r="S24" s="150">
        <f>D14*(1+J10)</f>
        <v>105293.5</v>
      </c>
      <c r="T24" s="150"/>
      <c r="U24" s="150">
        <f>MAX(0,S24-J11)</f>
        <v>40293.5</v>
      </c>
      <c r="V24" s="151"/>
      <c r="W24" s="5"/>
      <c r="X24" s="5"/>
      <c r="Y24" s="5"/>
      <c r="Z24" s="5"/>
      <c r="AA24" s="5"/>
    </row>
    <row r="25" spans="3:2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 t="s">
        <v>1</v>
      </c>
      <c r="O25" s="5"/>
      <c r="P25" s="25" t="s">
        <v>30</v>
      </c>
      <c r="Q25" s="162">
        <f>SUM(Q21:Q24)</f>
        <v>55600</v>
      </c>
      <c r="R25" s="150"/>
      <c r="S25" s="168">
        <f>SUM(S21:S24)</f>
        <v>285956</v>
      </c>
      <c r="T25" s="169"/>
      <c r="U25" s="163">
        <f>SUM(U21:U24)</f>
        <v>49062</v>
      </c>
      <c r="V25" s="151"/>
      <c r="W25" s="5"/>
      <c r="X25" s="5"/>
      <c r="Y25" s="5"/>
      <c r="Z25" s="5"/>
      <c r="AA25" s="5"/>
    </row>
    <row r="26" spans="3:2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 t="s">
        <v>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3:2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 t="s">
        <v>1</v>
      </c>
      <c r="O27" s="5"/>
      <c r="P27" s="5" t="s">
        <v>180</v>
      </c>
      <c r="Q27" s="5"/>
      <c r="R27" s="5"/>
      <c r="S27" s="6" t="s">
        <v>37</v>
      </c>
      <c r="T27" s="164">
        <f>U25</f>
        <v>49062</v>
      </c>
      <c r="U27" s="9" t="s">
        <v>80</v>
      </c>
      <c r="V27" s="165">
        <f>Q25</f>
        <v>55600</v>
      </c>
      <c r="W27" s="6" t="s">
        <v>131</v>
      </c>
      <c r="X27" s="6">
        <v>1</v>
      </c>
      <c r="Y27" s="5"/>
      <c r="Z27" s="5"/>
      <c r="AA27" s="5"/>
    </row>
    <row r="28" spans="3:2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 t="s">
        <v>1</v>
      </c>
      <c r="O28" s="5"/>
      <c r="P28" s="5"/>
      <c r="Q28" s="5"/>
      <c r="R28" s="5"/>
      <c r="S28" s="6" t="s">
        <v>37</v>
      </c>
      <c r="T28" s="183">
        <f>T27/V27-1</f>
        <v>-0.11758992805755397</v>
      </c>
      <c r="U28" s="5"/>
      <c r="V28" s="5"/>
      <c r="W28" s="5"/>
      <c r="X28" s="5"/>
      <c r="Y28" s="5"/>
      <c r="Z28" s="5"/>
      <c r="AA28" s="5"/>
    </row>
    <row r="29" spans="3:2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 t="s">
        <v>1</v>
      </c>
      <c r="O29" s="5"/>
      <c r="P29" s="5"/>
      <c r="Q29" s="5"/>
      <c r="R29" s="5"/>
      <c r="S29" s="5"/>
      <c r="T29" s="39" t="s">
        <v>32</v>
      </c>
      <c r="U29" s="5"/>
      <c r="V29" s="5"/>
      <c r="W29" s="5"/>
      <c r="X29" s="5"/>
      <c r="Y29" s="5"/>
      <c r="Z29" s="5"/>
      <c r="AA29" s="5"/>
    </row>
    <row r="30" spans="3:2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 t="s">
        <v>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 t="s">
        <v>1</v>
      </c>
      <c r="O31" s="184" t="s">
        <v>181</v>
      </c>
      <c r="P31" s="18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 t="s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 t="s">
        <v>1</v>
      </c>
      <c r="O33" s="5"/>
      <c r="P33" s="5" t="s">
        <v>192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 t="s">
        <v>1</v>
      </c>
      <c r="O34" s="5"/>
      <c r="P34" s="5" t="s">
        <v>193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 t="s">
        <v>1</v>
      </c>
      <c r="O35" s="5"/>
      <c r="P35" s="6" t="s">
        <v>182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 t="s">
        <v>1</v>
      </c>
      <c r="O36" s="5"/>
      <c r="P36" s="5" t="s">
        <v>183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 t="s">
        <v>1</v>
      </c>
      <c r="O38" s="5"/>
      <c r="P38" s="5" t="s">
        <v>184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 t="s">
        <v>1</v>
      </c>
      <c r="O39" s="5"/>
      <c r="P39" s="170" t="s">
        <v>185</v>
      </c>
      <c r="Q39" s="5" t="s">
        <v>194</v>
      </c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N40" s="4" t="s">
        <v>1</v>
      </c>
      <c r="O40" s="5"/>
      <c r="P40" s="170" t="s">
        <v>185</v>
      </c>
      <c r="Q40" s="5" t="s">
        <v>195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N41" s="4" t="s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4" t="s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4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4" t="s">
        <v>1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4" t="s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4" t="s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4" t="s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4:14" x14ac:dyDescent="0.25">
      <c r="N49" s="4" t="s">
        <v>1</v>
      </c>
    </row>
    <row r="50" spans="14:14" x14ac:dyDescent="0.25">
      <c r="N50" s="4" t="s">
        <v>1</v>
      </c>
    </row>
    <row r="51" spans="14:14" x14ac:dyDescent="0.25">
      <c r="N51" s="4" t="s">
        <v>1</v>
      </c>
    </row>
    <row r="52" spans="14:14" x14ac:dyDescent="0.25">
      <c r="N52" s="4" t="s">
        <v>1</v>
      </c>
    </row>
    <row r="53" spans="14:14" x14ac:dyDescent="0.25">
      <c r="N53" s="4" t="s">
        <v>1</v>
      </c>
    </row>
    <row r="54" spans="14:14" x14ac:dyDescent="0.25">
      <c r="N54" s="4" t="s">
        <v>1</v>
      </c>
    </row>
    <row r="55" spans="14:14" x14ac:dyDescent="0.25">
      <c r="N55" s="4" t="s">
        <v>1</v>
      </c>
    </row>
    <row r="56" spans="14:14" x14ac:dyDescent="0.25">
      <c r="N56" s="4" t="s">
        <v>1</v>
      </c>
    </row>
    <row r="57" spans="14:14" x14ac:dyDescent="0.25">
      <c r="N57" s="4" t="s">
        <v>1</v>
      </c>
    </row>
    <row r="58" spans="14:14" x14ac:dyDescent="0.25">
      <c r="N58" s="4" t="s">
        <v>1</v>
      </c>
    </row>
    <row r="59" spans="14:14" x14ac:dyDescent="0.25">
      <c r="N59" s="4" t="s">
        <v>1</v>
      </c>
    </row>
  </sheetData>
  <mergeCells count="1">
    <mergeCell ref="L1:M1"/>
  </mergeCells>
  <hyperlinks>
    <hyperlink ref="L1:M1" location="TOC!A1" display="Return to TOC_x0009_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W-06-xs</vt:lpstr>
      <vt:lpstr>W-06-Ben</vt:lpstr>
      <vt:lpstr>W-06-Trd1</vt:lpstr>
      <vt:lpstr>W-06-Trd2</vt:lpstr>
      <vt:lpstr>W-06-Levg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2021-01-28T17:27:01Z</dcterms:created>
  <dcterms:modified xsi:type="dcterms:W3CDTF">2025-03-24T11:10:39Z</dcterms:modified>
</cp:coreProperties>
</file>