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8" r:id="rId1"/>
    <sheet name="W-06-xs" sheetId="2" r:id="rId2"/>
    <sheet name="W-06-Ben" sheetId="3" r:id="rId3"/>
    <sheet name="W-06-Trd1" sheetId="4" r:id="rId4"/>
    <sheet name="W-06-Trd2" sheetId="5" r:id="rId5"/>
    <sheet name="W-06-Levg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5" l="1"/>
  <c r="R32" i="5"/>
  <c r="V25" i="5"/>
  <c r="X15" i="5"/>
  <c r="AL5" i="5" s="1"/>
  <c r="P9" i="5"/>
  <c r="P8" i="5"/>
  <c r="Q7" i="5"/>
  <c r="R7" i="5" s="1"/>
  <c r="P7" i="5"/>
  <c r="AN6" i="5"/>
  <c r="Z16" i="5" s="1"/>
  <c r="AM6" i="5"/>
  <c r="Y16" i="5" s="1"/>
  <c r="AL6" i="5"/>
  <c r="Q6" i="5"/>
  <c r="AN5" i="5"/>
  <c r="X16" i="5" l="1"/>
  <c r="Q8" i="5"/>
  <c r="R8" i="5" s="1"/>
  <c r="Q9" i="5"/>
  <c r="R9" i="5" s="1"/>
  <c r="R25" i="5"/>
  <c r="R19" i="5"/>
  <c r="V32" i="5"/>
  <c r="R10" i="5"/>
  <c r="AM5" i="5"/>
  <c r="AF9" i="5" s="1"/>
  <c r="R26" i="5" l="1"/>
  <c r="V39" i="5"/>
  <c r="T39" i="5"/>
  <c r="R40" i="5" s="1"/>
  <c r="T32" i="5"/>
  <c r="R33" i="5" s="1"/>
  <c r="Q23" i="6" l="1"/>
  <c r="P12" i="4"/>
  <c r="Q21" i="3"/>
  <c r="P17" i="3"/>
  <c r="R21" i="3"/>
  <c r="S9" i="3"/>
  <c r="P13" i="2"/>
  <c r="P14" i="2" s="1"/>
  <c r="P15" i="2" s="1"/>
  <c r="P16" i="2" s="1"/>
  <c r="P17" i="2" s="1"/>
  <c r="Q13" i="4" l="1"/>
  <c r="S9" i="6"/>
  <c r="Q8" i="6"/>
  <c r="Q12" i="4"/>
  <c r="S12" i="4" s="1"/>
  <c r="S24" i="6"/>
  <c r="U24" i="6" s="1"/>
  <c r="S21" i="6"/>
  <c r="R15" i="2"/>
  <c r="U7" i="3"/>
  <c r="R14" i="2"/>
  <c r="U6" i="3"/>
  <c r="R13" i="2"/>
  <c r="T11" i="2"/>
  <c r="Q20" i="2" s="1"/>
  <c r="R16" i="2"/>
  <c r="S8" i="3"/>
  <c r="S7" i="3"/>
  <c r="R17" i="2"/>
  <c r="S6" i="3"/>
  <c r="R17" i="3"/>
  <c r="R12" i="4"/>
  <c r="S23" i="6"/>
  <c r="U23" i="6" s="1"/>
  <c r="Q9" i="6"/>
  <c r="S10" i="6"/>
  <c r="Q17" i="2" l="1"/>
  <c r="S17" i="2"/>
  <c r="T17" i="2" s="1"/>
  <c r="Q16" i="2"/>
  <c r="S16" i="2"/>
  <c r="T16" i="2" s="1"/>
  <c r="U12" i="4"/>
  <c r="W12" i="4" s="1"/>
  <c r="S8" i="6"/>
  <c r="Q22" i="6"/>
  <c r="S22" i="6"/>
  <c r="U22" i="6" s="1"/>
  <c r="W6" i="3"/>
  <c r="Q14" i="4"/>
  <c r="Q7" i="6"/>
  <c r="Q24" i="6"/>
  <c r="Q10" i="6"/>
  <c r="W7" i="3"/>
  <c r="S15" i="2"/>
  <c r="T15" i="2" s="1"/>
  <c r="Q21" i="6"/>
  <c r="S7" i="6"/>
  <c r="S14" i="2"/>
  <c r="T14" i="2" s="1"/>
  <c r="Q14" i="2"/>
  <c r="R13" i="4"/>
  <c r="U13" i="4" s="1"/>
  <c r="R20" i="3"/>
  <c r="Q15" i="2"/>
  <c r="U8" i="3"/>
  <c r="W8" i="3" s="1"/>
  <c r="U21" i="6"/>
  <c r="R18" i="3"/>
  <c r="P13" i="4"/>
  <c r="S13" i="4" s="1"/>
  <c r="R19" i="3"/>
  <c r="R12" i="2"/>
  <c r="R18" i="2" s="1"/>
  <c r="Q13" i="2"/>
  <c r="U9" i="3"/>
  <c r="W9" i="3" s="1"/>
  <c r="S13" i="2"/>
  <c r="T13" i="2" s="1"/>
  <c r="X18" i="3" l="1"/>
  <c r="S11" i="6"/>
  <c r="T13" i="6" s="1"/>
  <c r="S25" i="6"/>
  <c r="U25" i="6"/>
  <c r="T27" i="6" s="1"/>
  <c r="U15" i="2"/>
  <c r="V15" i="2" s="1"/>
  <c r="Q11" i="6"/>
  <c r="V13" i="6" s="1"/>
  <c r="W13" i="4"/>
  <c r="Q25" i="6"/>
  <c r="V27" i="6" s="1"/>
  <c r="R22" i="3"/>
  <c r="X19" i="3"/>
  <c r="P14" i="4"/>
  <c r="S14" i="4" s="1"/>
  <c r="R14" i="4"/>
  <c r="U14" i="4" s="1"/>
  <c r="U13" i="2"/>
  <c r="V13" i="2" s="1"/>
  <c r="U14" i="2"/>
  <c r="V14" i="2" s="1"/>
  <c r="Q12" i="2"/>
  <c r="U16" i="2"/>
  <c r="V16" i="2" s="1"/>
  <c r="U17" i="2"/>
  <c r="T26" i="2" s="1"/>
  <c r="T14" i="6" l="1"/>
  <c r="Q15" i="4"/>
  <c r="T28" i="6"/>
  <c r="W14" i="4"/>
  <c r="P15" i="4"/>
  <c r="S12" i="2"/>
  <c r="Q18" i="2"/>
  <c r="R15" i="4"/>
  <c r="U15" i="4" s="1"/>
  <c r="Q16" i="4"/>
  <c r="V17" i="2"/>
  <c r="S15" i="4" l="1"/>
  <c r="W15" i="4" s="1"/>
  <c r="P20" i="3"/>
  <c r="Q19" i="3"/>
  <c r="P16" i="4"/>
  <c r="S16" i="4" s="1"/>
  <c r="Q20" i="3"/>
  <c r="P21" i="3"/>
  <c r="S18" i="2"/>
  <c r="T12" i="2"/>
  <c r="P18" i="3"/>
  <c r="P19" i="3"/>
  <c r="Q18" i="3"/>
  <c r="Q17" i="4"/>
  <c r="R16" i="4"/>
  <c r="U16" i="4" s="1"/>
  <c r="V16" i="4" s="1"/>
  <c r="T18" i="3" l="1"/>
  <c r="Q18" i="4"/>
  <c r="W16" i="4"/>
  <c r="X16" i="4" s="1"/>
  <c r="T16" i="4"/>
  <c r="Q17" i="3"/>
  <c r="T18" i="2"/>
  <c r="U12" i="2"/>
  <c r="U18" i="2" s="1"/>
  <c r="T19" i="3"/>
  <c r="S19" i="3"/>
  <c r="S21" i="3"/>
  <c r="T21" i="3"/>
  <c r="P17" i="4"/>
  <c r="S17" i="4" s="1"/>
  <c r="R17" i="4"/>
  <c r="U17" i="4" s="1"/>
  <c r="V17" i="4" s="1"/>
  <c r="S18" i="3" l="1"/>
  <c r="V12" i="2"/>
  <c r="T17" i="4"/>
  <c r="W17" i="4"/>
  <c r="X17" i="4" s="1"/>
  <c r="T20" i="3"/>
  <c r="S20" i="3"/>
  <c r="R18" i="4"/>
  <c r="U18" i="4" s="1"/>
  <c r="V18" i="4" s="1"/>
  <c r="P18" i="4"/>
  <c r="S18" i="4" s="1"/>
  <c r="U21" i="3"/>
  <c r="V21" i="3"/>
  <c r="U19" i="3"/>
  <c r="V19" i="3"/>
  <c r="Q19" i="4"/>
  <c r="V18" i="2"/>
  <c r="W26" i="2" s="1"/>
  <c r="T27" i="2" s="1"/>
  <c r="S17" i="3"/>
  <c r="T22" i="3"/>
  <c r="T17" i="3"/>
  <c r="U18" i="3"/>
  <c r="V18" i="3"/>
  <c r="S22" i="3" l="1"/>
  <c r="R19" i="4"/>
  <c r="U19" i="4" s="1"/>
  <c r="V19" i="4" s="1"/>
  <c r="Q20" i="4"/>
  <c r="U20" i="3"/>
  <c r="V20" i="3"/>
  <c r="T18" i="4"/>
  <c r="W18" i="4"/>
  <c r="X18" i="4" s="1"/>
  <c r="P19" i="4"/>
  <c r="S19" i="4" s="1"/>
  <c r="V17" i="3"/>
  <c r="U17" i="3"/>
  <c r="U22" i="3" l="1"/>
  <c r="X25" i="3" s="1"/>
  <c r="V22" i="3"/>
  <c r="T25" i="3" s="1"/>
  <c r="R20" i="4"/>
  <c r="U20" i="4" s="1"/>
  <c r="V20" i="4" s="1"/>
  <c r="T19" i="4"/>
  <c r="W19" i="4"/>
  <c r="X19" i="4" s="1"/>
  <c r="P20" i="4"/>
  <c r="S20" i="4" s="1"/>
  <c r="Q21" i="4"/>
  <c r="T26" i="3" l="1"/>
  <c r="Q22" i="4"/>
  <c r="P21" i="4"/>
  <c r="S21" i="4" s="1"/>
  <c r="R21" i="4"/>
  <c r="U21" i="4" s="1"/>
  <c r="V21" i="4" s="1"/>
  <c r="T20" i="4"/>
  <c r="W20" i="4"/>
  <c r="X20" i="4" s="1"/>
  <c r="Q23" i="4" l="1"/>
  <c r="R22" i="4"/>
  <c r="U22" i="4" s="1"/>
  <c r="V22" i="4" s="1"/>
  <c r="P22" i="4"/>
  <c r="S22" i="4" s="1"/>
  <c r="T21" i="4"/>
  <c r="W21" i="4"/>
  <c r="X21" i="4" s="1"/>
  <c r="W22" i="4" l="1"/>
  <c r="X22" i="4" s="1"/>
  <c r="T22" i="4"/>
  <c r="R23" i="4"/>
  <c r="U23" i="4" s="1"/>
  <c r="V23" i="4" s="1"/>
  <c r="Q24" i="4"/>
  <c r="P23" i="4"/>
  <c r="S23" i="4" s="1"/>
  <c r="T23" i="4" l="1"/>
  <c r="W23" i="4"/>
  <c r="X23" i="4" s="1"/>
  <c r="P24" i="4"/>
  <c r="S24" i="4" s="1"/>
  <c r="R24" i="4"/>
  <c r="U24" i="4" s="1"/>
  <c r="V24" i="4" s="1"/>
  <c r="Q25" i="4"/>
  <c r="T24" i="4" l="1"/>
  <c r="W24" i="4"/>
  <c r="X24" i="4" s="1"/>
  <c r="Q26" i="4"/>
  <c r="P25" i="4"/>
  <c r="S25" i="4" s="1"/>
  <c r="R25" i="4"/>
  <c r="U25" i="4" s="1"/>
  <c r="V25" i="4" s="1"/>
  <c r="R26" i="4" l="1"/>
  <c r="U26" i="4" s="1"/>
  <c r="V26" i="4" s="1"/>
  <c r="T25" i="4"/>
  <c r="W25" i="4"/>
  <c r="X25" i="4" s="1"/>
  <c r="P26" i="4"/>
  <c r="S26" i="4" s="1"/>
  <c r="P27" i="4"/>
  <c r="Q27" i="4"/>
  <c r="T26" i="4" l="1"/>
  <c r="W26" i="4"/>
  <c r="X26" i="4" s="1"/>
  <c r="R27" i="4"/>
  <c r="U27" i="4" s="1"/>
  <c r="V27" i="4" s="1"/>
  <c r="S27" i="4"/>
  <c r="T27" i="4" l="1"/>
  <c r="W27" i="4"/>
  <c r="X27" i="4" s="1"/>
</calcChain>
</file>

<file path=xl/sharedStrings.xml><?xml version="1.0" encoding="utf-8"?>
<sst xmlns="http://schemas.openxmlformats.org/spreadsheetml/2006/main" count="779" uniqueCount="223">
  <si>
    <t>Reading:</t>
  </si>
  <si>
    <t>|</t>
  </si>
  <si>
    <t>Model:</t>
  </si>
  <si>
    <t>Pricing Components</t>
  </si>
  <si>
    <t>Problem Type:</t>
  </si>
  <si>
    <t>Excess Loss Factor</t>
  </si>
  <si>
    <t>Find</t>
  </si>
  <si>
    <t>(a)</t>
  </si>
  <si>
    <t>Calculate the excess loss factor given a large loss threshold of</t>
  </si>
  <si>
    <t xml:space="preserve"> fill in the table using the formulas indicated</t>
  </si>
  <si>
    <t>(b)</t>
  </si>
  <si>
    <t>Restate the AY 2025 reported losses using the excess loss factor.</t>
  </si>
  <si>
    <t>(All loss dollars in 000s)</t>
  </si>
  <si>
    <t>(1)</t>
  </si>
  <si>
    <t>(2)</t>
  </si>
  <si>
    <t>(3)</t>
  </si>
  <si>
    <t>(4)</t>
  </si>
  <si>
    <t>(5)</t>
  </si>
  <si>
    <t>(6)</t>
  </si>
  <si>
    <t>Given</t>
  </si>
  <si>
    <t># of</t>
  </si>
  <si>
    <t>ground-up</t>
  </si>
  <si>
    <t>losses</t>
  </si>
  <si>
    <t>non</t>
  </si>
  <si>
    <t>reported</t>
  </si>
  <si>
    <t>excess</t>
  </si>
  <si>
    <t>excess of</t>
  </si>
  <si>
    <t>AY</t>
  </si>
  <si>
    <t>claims</t>
  </si>
  <si>
    <t>ratio</t>
  </si>
  <si>
    <t>total</t>
  </si>
  <si>
    <t>Totals</t>
  </si>
  <si>
    <t>(final answer)</t>
  </si>
  <si>
    <t>(4)  =  (3) -</t>
  </si>
  <si>
    <t>(5)  =  (1) - (4)</t>
  </si>
  <si>
    <t>(6)  =  (4) / (5)</t>
  </si>
  <si>
    <t>Total Excess Loss Factor (Totals row)  =  (Total 4) / (Total 5)</t>
  </si>
  <si>
    <t>=</t>
  </si>
  <si>
    <t>(non-excess losses)</t>
  </si>
  <si>
    <t>x</t>
  </si>
  <si>
    <t>(1 + excess ratio)</t>
  </si>
  <si>
    <t>Werner 06: Premium</t>
  </si>
  <si>
    <t xml:space="preserve"> restated AY reported loss</t>
  </si>
  <si>
    <t>2017.Fall #6</t>
  </si>
  <si>
    <t>Direct Impact of Benefit Change</t>
  </si>
  <si>
    <t>Step 1</t>
  </si>
  <si>
    <t xml:space="preserve"> calculate dollar-values of current &amp; proposed min/MAX benefits</t>
  </si>
  <si>
    <t>Calculate the direct effect of the state's proposed worker's compensation indemnity benefit change.</t>
  </si>
  <si>
    <t>SAWW</t>
  </si>
  <si>
    <t>min current</t>
  </si>
  <si>
    <t>MAX current</t>
  </si>
  <si>
    <t>State Avg Weekly Wage</t>
  </si>
  <si>
    <t xml:space="preserve"> &lt;====</t>
  </si>
  <si>
    <t>min proposed</t>
  </si>
  <si>
    <t>MAX proposed</t>
  </si>
  <si>
    <t>current</t>
  </si>
  <si>
    <t>proposed</t>
  </si>
  <si>
    <t>Ratio to SAWW</t>
  </si>
  <si>
    <t>weekly</t>
  </si>
  <si>
    <t>% of wages compensation rate</t>
  </si>
  <si>
    <t>Step 2</t>
  </si>
  <si>
    <t xml:space="preserve"> fill in columns (5), (6), (7) of table below</t>
  </si>
  <si>
    <t>min</t>
  </si>
  <si>
    <t>max</t>
  </si>
  <si>
    <t>workers</t>
  </si>
  <si>
    <t>wages</t>
  </si>
  <si>
    <t>min benefit  as % of SAWW</t>
  </si>
  <si>
    <t>MAX benefit  as % of SAWW</t>
  </si>
  <si>
    <t>(7)</t>
  </si>
  <si>
    <t>avg</t>
  </si>
  <si>
    <t>ratio to SAWW</t>
  </si>
  <si>
    <t>benefit</t>
  </si>
  <si>
    <t>n/a</t>
  </si>
  <si>
    <t>(5)  =  (4) / (3)</t>
  </si>
  <si>
    <t>TOTAL</t>
  </si>
  <si>
    <t xml:space="preserve">(TOTAL 6) = SUMPRODUCT( [Col 3], [Col 6] ) </t>
  </si>
  <si>
    <t xml:space="preserve">(TOTAL 7) = SUMPRODUCT( [Col 3], [Col 7] ) </t>
  </si>
  <si>
    <t>Step 3</t>
  </si>
  <si>
    <t xml:space="preserve"> direct effect of change</t>
  </si>
  <si>
    <t>(total proprosed benefit)</t>
  </si>
  <si>
    <t>/</t>
  </si>
  <si>
    <t>(total current benefit)</t>
  </si>
  <si>
    <t>- 1</t>
  </si>
  <si>
    <t>Trend Selection</t>
  </si>
  <si>
    <t>Based on the simulation parameters, the true trends are as follows:</t>
  </si>
  <si>
    <t>Fill in the missing values and select a frequency, severity, and pure premium trend.</t>
  </si>
  <si>
    <t>frequency:</t>
  </si>
  <si>
    <t>exposure</t>
  </si>
  <si>
    <t>The data is based on a simulation with a small degree of random variation.</t>
  </si>
  <si>
    <t>severity:</t>
  </si>
  <si>
    <t>count</t>
  </si>
  <si>
    <t>pure prem:</t>
  </si>
  <si>
    <t>loss</t>
  </si>
  <si>
    <t>year</t>
  </si>
  <si>
    <t>closed</t>
  </si>
  <si>
    <t>annual</t>
  </si>
  <si>
    <t>ending</t>
  </si>
  <si>
    <t>earned</t>
  </si>
  <si>
    <t>claim</t>
  </si>
  <si>
    <t>paid</t>
  </si>
  <si>
    <t>%</t>
  </si>
  <si>
    <t>pure</t>
  </si>
  <si>
    <t>quarter</t>
  </si>
  <si>
    <t>freq</t>
  </si>
  <si>
    <t>change</t>
  </si>
  <si>
    <t>severity</t>
  </si>
  <si>
    <t>premium</t>
  </si>
  <si>
    <t>Mar 2020</t>
  </si>
  <si>
    <t>--</t>
  </si>
  <si>
    <t>Jun 2020</t>
  </si>
  <si>
    <t>Sep 2020</t>
  </si>
  <si>
    <t>Dec 2020</t>
  </si>
  <si>
    <t>Mar 2021</t>
  </si>
  <si>
    <t>Jun 2021</t>
  </si>
  <si>
    <t>Sep 2021</t>
  </si>
  <si>
    <t>Dec 2021</t>
  </si>
  <si>
    <t>Mar 2022</t>
  </si>
  <si>
    <t>Jun 2022</t>
  </si>
  <si>
    <t>Sep 2022</t>
  </si>
  <si>
    <t>Dec 2022</t>
  </si>
  <si>
    <t>Mar 2023</t>
  </si>
  <si>
    <t>?</t>
  </si>
  <si>
    <t>Jun 2023</t>
  </si>
  <si>
    <t>Sep 2023</t>
  </si>
  <si>
    <t>Dec 2023</t>
  </si>
  <si>
    <t>Werner 06: Loss &amp; LAE</t>
  </si>
  <si>
    <t>Trend Period for Losses</t>
  </si>
  <si>
    <t>calculate year-over-year % change in losses and select a reasonable trend</t>
  </si>
  <si>
    <t>Calculate the following quantities:</t>
  </si>
  <si>
    <t>% change</t>
  </si>
  <si>
    <t>trend selection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</si>
  <si>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</si>
  <si>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-</t>
  </si>
  <si>
    <t>(c)</t>
  </si>
  <si>
    <r>
      <t xml:space="preserve">trended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2020 losses</t>
    </r>
  </si>
  <si>
    <t>(d)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</si>
  <si>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</si>
  <si>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t>selection</t>
  </si>
  <si>
    <t>&lt;====</t>
  </si>
  <si>
    <t>select average</t>
  </si>
  <si>
    <t>(e)</t>
  </si>
  <si>
    <r>
      <t xml:space="preserve">trended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2020 losses</t>
    </r>
  </si>
  <si>
    <t>Step 2a</t>
  </si>
  <si>
    <r>
      <t xml:space="preserve">calculate trend period assuming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</si>
  <si>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historical period:</t>
  </si>
  <si>
    <t>AAD 1</t>
  </si>
  <si>
    <t>(mid-point of historical period)</t>
  </si>
  <si>
    <t>07</t>
  </si>
  <si>
    <t>01</t>
  </si>
  <si>
    <t>effective date:</t>
  </si>
  <si>
    <t xml:space="preserve"> (year, month, day)</t>
  </si>
  <si>
    <t>AAD 2</t>
  </si>
  <si>
    <t>(mid-point of effective period) + 0.5 x (term)</t>
  </si>
  <si>
    <t>rates in effect for</t>
  </si>
  <si>
    <t>months</t>
  </si>
  <si>
    <t>policy term:</t>
  </si>
  <si>
    <t>AY trend period</t>
  </si>
  <si>
    <t>historical period</t>
  </si>
  <si>
    <t>paid loss:</t>
  </si>
  <si>
    <t xml:space="preserve">* </t>
  </si>
  <si>
    <t>Selecting loss trends based on annual data may</t>
  </si>
  <si>
    <t>mask seasonality. It's generally better to use</t>
  </si>
  <si>
    <t>Step 2b</t>
  </si>
  <si>
    <r>
      <t xml:space="preserve">calculate trend period assuming historical period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</si>
  <si>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t>quarterly data for trend selections.</t>
  </si>
  <si>
    <t>PY trend period is shorter than the AY trend period by 0.5 x (policy term)</t>
  </si>
  <si>
    <t>PY trend period</t>
  </si>
  <si>
    <t>Step 3a</t>
  </si>
  <si>
    <r>
      <t xml:space="preserve"> calculate the trend loss assuming historical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</si>
  <si>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AY 2020 trended loss</t>
  </si>
  <si>
    <t>x   (</t>
  </si>
  <si>
    <t>)^</t>
  </si>
  <si>
    <t>(final AY answer)</t>
  </si>
  <si>
    <r>
      <t xml:space="preserve"> calculate the trend loss assuming historical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</si>
  <si>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t>PY 2020 trended loss</t>
  </si>
  <si>
    <t>(final PY answer)</t>
  </si>
  <si>
    <t>2019.Spring #4</t>
  </si>
  <si>
    <t>Leveraged Effect of Limits of Severity Trend</t>
  </si>
  <si>
    <r>
      <t xml:space="preserve"> calculate the untrended and trended </t>
    </r>
    <r>
      <rPr>
        <b/>
        <u/>
        <sz val="11"/>
        <color theme="1"/>
        <rFont val="Calibri"/>
        <family val="2"/>
        <scheme val="minor"/>
      </rPr>
      <t>basic</t>
    </r>
    <r>
      <rPr>
        <sz val="11"/>
        <color theme="1"/>
        <rFont val="Calibri"/>
        <family val="2"/>
        <scheme val="minor"/>
      </rPr>
      <t xml:space="preserve"> limits losses</t>
    </r>
  </si>
  <si>
    <t>calculate the basic limits loss trend over a 1-year time frame</t>
  </si>
  <si>
    <t>untrended</t>
  </si>
  <si>
    <t>trended</t>
  </si>
  <si>
    <t>claim #</t>
  </si>
  <si>
    <t>basic limits loss</t>
  </si>
  <si>
    <t>calculate the excess limits loss trend over a 1-year time frame</t>
  </si>
  <si>
    <t>total limits loss</t>
  </si>
  <si>
    <t>total limits severity trend</t>
  </si>
  <si>
    <t>basic limit</t>
  </si>
  <si>
    <t>basic limits loss trend</t>
  </si>
  <si>
    <r>
      <t xml:space="preserve"> calculate the untrended and trended </t>
    </r>
    <r>
      <rPr>
        <b/>
        <u/>
        <sz val="11"/>
        <color theme="1"/>
        <rFont val="Calibri"/>
        <family val="2"/>
        <scheme val="minor"/>
      </rPr>
      <t>excess</t>
    </r>
    <r>
      <rPr>
        <sz val="11"/>
        <color theme="1"/>
        <rFont val="Calibri"/>
        <family val="2"/>
        <scheme val="minor"/>
      </rPr>
      <t xml:space="preserve"> limits losses AND trended total limits losses</t>
    </r>
  </si>
  <si>
    <t>excess limits loss</t>
  </si>
  <si>
    <t>TOTAL limits loss</t>
  </si>
  <si>
    <t>excess limits loss trend</t>
  </si>
  <si>
    <t>Observation</t>
  </si>
  <si>
    <r>
      <t xml:space="preserve">The basic limits loss trend always has the smallest </t>
    </r>
    <r>
      <rPr>
        <u/>
        <sz val="11"/>
        <color theme="1"/>
        <rFont val="Calibri"/>
        <family val="2"/>
        <scheme val="minor"/>
      </rPr>
      <t>magnitude</t>
    </r>
    <r>
      <rPr>
        <sz val="11"/>
        <color theme="1"/>
        <rFont val="Calibri"/>
        <family val="2"/>
        <scheme val="minor"/>
      </rPr>
      <t xml:space="preserve"> or absolute value.</t>
    </r>
  </si>
  <si>
    <r>
      <t xml:space="preserve">The excess limits loss trend always has the greatest </t>
    </r>
    <r>
      <rPr>
        <u/>
        <sz val="11"/>
        <color theme="1"/>
        <rFont val="Calibri"/>
        <family val="2"/>
        <scheme val="minor"/>
      </rPr>
      <t>magnitude</t>
    </r>
    <r>
      <rPr>
        <sz val="11"/>
        <color theme="1"/>
        <rFont val="Calibri"/>
        <family val="2"/>
        <scheme val="minor"/>
      </rPr>
      <t xml:space="preserve"> or absolute value.</t>
    </r>
  </si>
  <si>
    <t>and</t>
  </si>
  <si>
    <t>The total limits loss trend is always in the middle</t>
  </si>
  <si>
    <t>If the total limits loss trend is applied to basic limits losses then</t>
  </si>
  <si>
    <t>====&gt;</t>
  </si>
  <si>
    <r>
      <t xml:space="preserve">if the trend is positive the trended basic limits losses will be </t>
    </r>
    <r>
      <rPr>
        <u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>estimated.</t>
    </r>
  </si>
  <si>
    <r>
      <t xml:space="preserve">if the trend is negative the trended basic limits losses will be </t>
    </r>
    <r>
      <rPr>
        <u/>
        <sz val="11"/>
        <color theme="1"/>
        <rFont val="Calibri"/>
        <family val="2"/>
        <scheme val="minor"/>
      </rPr>
      <t>under</t>
    </r>
    <r>
      <rPr>
        <sz val="11"/>
        <color theme="1"/>
        <rFont val="Calibri"/>
        <family val="2"/>
        <scheme val="minor"/>
      </rPr>
      <t>estimated.</t>
    </r>
  </si>
  <si>
    <t>Exam 5: Pricing - Chapter 6</t>
  </si>
  <si>
    <t>Question</t>
  </si>
  <si>
    <t>Type</t>
  </si>
  <si>
    <t>Sheet</t>
  </si>
  <si>
    <t>W-06-xs</t>
  </si>
  <si>
    <t>W-06-Ben</t>
  </si>
  <si>
    <t>W-06-Trd1</t>
  </si>
  <si>
    <t>W-06-Trd2</t>
  </si>
  <si>
    <t>W-06-Levg</t>
  </si>
  <si>
    <t>Return to TOC</t>
  </si>
  <si>
    <t>side calc</t>
  </si>
  <si>
    <t>AWD</t>
  </si>
  <si>
    <t xml:space="preserve"> AWD for historical and effective period</t>
  </si>
  <si>
    <t>month</t>
  </si>
  <si>
    <t>day</t>
  </si>
  <si>
    <t>AWD 1</t>
  </si>
  <si>
    <t>(mid-point of historical period) - 0.5 x (term)</t>
  </si>
  <si>
    <t>AWD 2</t>
  </si>
  <si>
    <t>(mid-point of effective period)</t>
  </si>
  <si>
    <t>trend period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</si>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</sst>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00"/>
    <numFmt numFmtId="166" formatCode="yyyy/mm/dd;@"/>
    <numFmt numFmtId="167" formatCode="#,##0.0000"/>
    <numFmt numFmtId="168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7" borderId="0" xfId="0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2" fillId="2" borderId="0" xfId="2" applyNumberForma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1" xfId="0" applyFont="1" applyBorder="1"/>
    <xf numFmtId="0" fontId="9" fillId="0" borderId="2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8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7" borderId="8" xfId="0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1" xfId="0" applyNumberFormat="1" applyFont="1" applyBorder="1" applyAlignment="1">
      <alignment horizontal="center"/>
    </xf>
    <xf numFmtId="3" fontId="0" fillId="7" borderId="12" xfId="0" applyNumberFormat="1" applyFont="1" applyFill="1" applyBorder="1" applyAlignment="1">
      <alignment horizontal="center"/>
    </xf>
    <xf numFmtId="3" fontId="0" fillId="7" borderId="13" xfId="0" applyNumberFormat="1" applyFont="1" applyFill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2" fillId="2" borderId="13" xfId="2" applyNumberFormat="1" applyBorder="1" applyAlignment="1">
      <alignment horizontal="center"/>
    </xf>
    <xf numFmtId="3" fontId="8" fillId="0" borderId="0" xfId="0" applyNumberFormat="1" applyFont="1"/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3" fontId="2" fillId="2" borderId="0" xfId="2" applyNumberFormat="1" applyAlignment="1">
      <alignment horizontal="left"/>
    </xf>
    <xf numFmtId="0" fontId="4" fillId="4" borderId="0" xfId="4" applyAlignment="1">
      <alignment horizontal="center"/>
    </xf>
    <xf numFmtId="3" fontId="11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7" borderId="4" xfId="0" applyNumberFormat="1" applyFont="1" applyFill="1" applyBorder="1"/>
    <xf numFmtId="0" fontId="10" fillId="0" borderId="0" xfId="0" applyFont="1" applyAlignment="1">
      <alignment horizontal="center"/>
    </xf>
    <xf numFmtId="3" fontId="5" fillId="0" borderId="0" xfId="0" applyNumberFormat="1" applyFont="1"/>
    <xf numFmtId="3" fontId="0" fillId="7" borderId="0" xfId="0" applyNumberFormat="1" applyFont="1" applyFill="1"/>
    <xf numFmtId="0" fontId="0" fillId="0" borderId="6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Continuous"/>
    </xf>
    <xf numFmtId="0" fontId="0" fillId="0" borderId="8" xfId="0" applyFont="1" applyBorder="1" applyAlignment="1">
      <alignment horizontal="centerContinuous"/>
    </xf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0" borderId="8" xfId="0" applyNumberFormat="1" applyFont="1" applyBorder="1"/>
    <xf numFmtId="9" fontId="0" fillId="7" borderId="0" xfId="1" applyFont="1" applyFill="1" applyBorder="1" applyAlignment="1">
      <alignment horizontal="center"/>
    </xf>
    <xf numFmtId="9" fontId="0" fillId="7" borderId="8" xfId="1" applyFont="1" applyFill="1" applyBorder="1" applyAlignment="1">
      <alignment horizontal="center"/>
    </xf>
    <xf numFmtId="3" fontId="1" fillId="5" borderId="0" xfId="5" applyNumberFormat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9" fontId="0" fillId="7" borderId="12" xfId="1" applyFont="1" applyFill="1" applyBorder="1" applyAlignment="1">
      <alignment horizontal="center"/>
    </xf>
    <xf numFmtId="9" fontId="0" fillId="7" borderId="13" xfId="1" applyFont="1" applyFill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13" fillId="0" borderId="8" xfId="5" applyNumberFormat="1" applyFont="1" applyFill="1" applyBorder="1" applyAlignment="1">
      <alignment horizontal="center"/>
    </xf>
    <xf numFmtId="3" fontId="13" fillId="0" borderId="0" xfId="5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13" fillId="0" borderId="13" xfId="5" applyNumberFormat="1" applyFont="1" applyFill="1" applyBorder="1" applyAlignment="1">
      <alignment horizontal="center"/>
    </xf>
    <xf numFmtId="3" fontId="13" fillId="0" borderId="12" xfId="5" applyNumberFormat="1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/>
    </xf>
    <xf numFmtId="10" fontId="0" fillId="0" borderId="0" xfId="1" applyNumberFormat="1" applyFont="1"/>
    <xf numFmtId="3" fontId="0" fillId="0" borderId="0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right"/>
    </xf>
    <xf numFmtId="3" fontId="4" fillId="4" borderId="0" xfId="4" applyNumberFormat="1" applyBorder="1" applyAlignment="1">
      <alignment horizontal="right"/>
    </xf>
    <xf numFmtId="3" fontId="4" fillId="4" borderId="0" xfId="4" applyNumberFormat="1" applyBorder="1"/>
    <xf numFmtId="3" fontId="4" fillId="4" borderId="8" xfId="4" applyNumberFormat="1" applyBorder="1"/>
    <xf numFmtId="3" fontId="6" fillId="0" borderId="14" xfId="0" applyNumberFormat="1" applyFont="1" applyBorder="1" applyAlignment="1">
      <alignment horizontal="centerContinuous"/>
    </xf>
    <xf numFmtId="3" fontId="6" fillId="0" borderId="13" xfId="0" applyNumberFormat="1" applyFont="1" applyBorder="1" applyAlignment="1">
      <alignment horizontal="centerContinuous"/>
    </xf>
    <xf numFmtId="3" fontId="0" fillId="0" borderId="12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right"/>
    </xf>
    <xf numFmtId="3" fontId="4" fillId="4" borderId="12" xfId="4" applyNumberFormat="1" applyBorder="1" applyAlignment="1">
      <alignment horizontal="right"/>
    </xf>
    <xf numFmtId="3" fontId="4" fillId="4" borderId="12" xfId="4" applyNumberFormat="1" applyBorder="1"/>
    <xf numFmtId="3" fontId="4" fillId="4" borderId="13" xfId="4" applyNumberFormat="1" applyBorder="1"/>
    <xf numFmtId="3" fontId="14" fillId="0" borderId="0" xfId="0" applyNumberFormat="1" applyFont="1"/>
    <xf numFmtId="3" fontId="0" fillId="0" borderId="13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quotePrefix="1" applyNumberFormat="1" applyFont="1" applyBorder="1" applyAlignment="1">
      <alignment horizontal="center"/>
    </xf>
    <xf numFmtId="3" fontId="0" fillId="0" borderId="4" xfId="0" quotePrefix="1" applyNumberFormat="1" applyFont="1" applyBorder="1"/>
    <xf numFmtId="3" fontId="1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64" fontId="2" fillId="2" borderId="0" xfId="2" applyNumberFormat="1" applyAlignment="1">
      <alignment horizontal="left"/>
    </xf>
    <xf numFmtId="9" fontId="0" fillId="0" borderId="1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right"/>
    </xf>
    <xf numFmtId="3" fontId="0" fillId="7" borderId="8" xfId="0" applyNumberFormat="1" applyFont="1" applyFill="1" applyBorder="1" applyAlignment="1">
      <alignment horizontal="right"/>
    </xf>
    <xf numFmtId="4" fontId="0" fillId="0" borderId="0" xfId="0" applyNumberFormat="1" applyFont="1"/>
    <xf numFmtId="9" fontId="0" fillId="0" borderId="14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3" fontId="0" fillId="7" borderId="12" xfId="0" applyNumberFormat="1" applyFont="1" applyFill="1" applyBorder="1" applyAlignment="1">
      <alignment horizontal="right"/>
    </xf>
    <xf numFmtId="3" fontId="0" fillId="7" borderId="13" xfId="0" applyNumberFormat="1" applyFont="1" applyFill="1" applyBorder="1" applyAlignment="1">
      <alignment horizontal="right"/>
    </xf>
    <xf numFmtId="10" fontId="2" fillId="2" borderId="0" xfId="2" applyNumberFormat="1"/>
    <xf numFmtId="0" fontId="16" fillId="0" borderId="0" xfId="0" applyFont="1"/>
    <xf numFmtId="3" fontId="0" fillId="0" borderId="5" xfId="0" applyNumberForma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166" fontId="0" fillId="0" borderId="7" xfId="0" quotePrefix="1" applyNumberFormat="1" applyFont="1" applyBorder="1" applyAlignment="1">
      <alignment horizontal="center"/>
    </xf>
    <xf numFmtId="167" fontId="4" fillId="4" borderId="10" xfId="4" applyNumberFormat="1" applyBorder="1"/>
    <xf numFmtId="4" fontId="0" fillId="0" borderId="0" xfId="0" applyNumberFormat="1" applyBorder="1"/>
    <xf numFmtId="167" fontId="0" fillId="0" borderId="10" xfId="0" applyNumberFormat="1" applyFont="1" applyBorder="1"/>
    <xf numFmtId="166" fontId="0" fillId="0" borderId="11" xfId="0" quotePrefix="1" applyNumberFormat="1" applyFont="1" applyBorder="1" applyAlignment="1">
      <alignment horizontal="center"/>
    </xf>
    <xf numFmtId="167" fontId="0" fillId="0" borderId="14" xfId="0" applyNumberFormat="1" applyFont="1" applyBorder="1"/>
    <xf numFmtId="3" fontId="0" fillId="0" borderId="13" xfId="0" quotePrefix="1" applyNumberFormat="1" applyFont="1" applyBorder="1" applyAlignment="1">
      <alignment horizontal="center"/>
    </xf>
    <xf numFmtId="4" fontId="0" fillId="0" borderId="12" xfId="0" applyNumberFormat="1" applyBorder="1"/>
    <xf numFmtId="10" fontId="4" fillId="4" borderId="8" xfId="4" applyNumberFormat="1" applyBorder="1"/>
    <xf numFmtId="10" fontId="0" fillId="7" borderId="8" xfId="1" applyNumberFormat="1" applyFont="1" applyFill="1" applyBorder="1"/>
    <xf numFmtId="10" fontId="0" fillId="7" borderId="13" xfId="1" applyNumberFormat="1" applyFont="1" applyFill="1" applyBorder="1"/>
    <xf numFmtId="4" fontId="7" fillId="6" borderId="0" xfId="6" applyNumberFormat="1" applyBorder="1"/>
    <xf numFmtId="3" fontId="3" fillId="3" borderId="10" xfId="3" applyNumberFormat="1" applyBorder="1" applyAlignment="1">
      <alignment horizontal="center"/>
    </xf>
    <xf numFmtId="10" fontId="3" fillId="3" borderId="8" xfId="3" applyNumberFormat="1" applyBorder="1" applyAlignment="1">
      <alignment horizontal="center"/>
    </xf>
    <xf numFmtId="10" fontId="7" fillId="6" borderId="8" xfId="6" applyNumberFormat="1" applyBorder="1"/>
    <xf numFmtId="3" fontId="3" fillId="3" borderId="14" xfId="3" applyNumberFormat="1" applyBorder="1" applyAlignment="1">
      <alignment horizontal="center"/>
    </xf>
    <xf numFmtId="10" fontId="3" fillId="3" borderId="13" xfId="3" applyNumberFormat="1" applyBorder="1" applyAlignment="1">
      <alignment horizontal="center"/>
    </xf>
    <xf numFmtId="3" fontId="4" fillId="4" borderId="0" xfId="4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8" xfId="0" applyNumberFormat="1" applyFont="1" applyFill="1" applyBorder="1"/>
    <xf numFmtId="9" fontId="0" fillId="0" borderId="7" xfId="1" quotePrefix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13" xfId="0" applyNumberFormat="1" applyFont="1" applyFill="1" applyBorder="1"/>
    <xf numFmtId="10" fontId="0" fillId="0" borderId="11" xfId="1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0" fontId="4" fillId="4" borderId="4" xfId="4" applyNumberFormat="1" applyBorder="1" applyAlignment="1">
      <alignment horizontal="center"/>
    </xf>
    <xf numFmtId="3" fontId="10" fillId="0" borderId="0" xfId="0" quotePrefix="1" applyNumberFormat="1" applyFont="1" applyAlignment="1">
      <alignment horizontal="center"/>
    </xf>
    <xf numFmtId="3" fontId="16" fillId="0" borderId="0" xfId="0" applyNumberFormat="1" applyFont="1"/>
    <xf numFmtId="0" fontId="1" fillId="5" borderId="0" xfId="5" applyAlignment="1">
      <alignment horizontal="center"/>
    </xf>
    <xf numFmtId="0" fontId="0" fillId="7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7" borderId="0" xfId="0" quotePrefix="1" applyNumberFormat="1" applyFont="1" applyFill="1" applyAlignment="1">
      <alignment horizontal="center"/>
    </xf>
    <xf numFmtId="3" fontId="13" fillId="0" borderId="0" xfId="0" applyNumberFormat="1" applyFont="1" applyAlignment="1">
      <alignment horizontal="left"/>
    </xf>
    <xf numFmtId="3" fontId="6" fillId="7" borderId="0" xfId="0" applyNumberFormat="1" applyFont="1" applyFill="1" applyAlignment="1">
      <alignment horizontal="center"/>
    </xf>
    <xf numFmtId="0" fontId="0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7" borderId="8" xfId="0" applyNumberFormat="1" applyFont="1" applyFill="1" applyBorder="1"/>
    <xf numFmtId="3" fontId="10" fillId="0" borderId="0" xfId="0" applyNumberFormat="1" applyFont="1" applyAlignment="1">
      <alignment horizontal="right"/>
    </xf>
    <xf numFmtId="0" fontId="0" fillId="5" borderId="0" xfId="5" applyFont="1" applyAlignment="1">
      <alignment horizontal="center"/>
    </xf>
    <xf numFmtId="3" fontId="0" fillId="7" borderId="13" xfId="0" applyNumberFormat="1" applyFont="1" applyFill="1" applyBorder="1"/>
    <xf numFmtId="168" fontId="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5" fontId="0" fillId="0" borderId="0" xfId="1" applyNumberFormat="1" applyFont="1" applyAlignment="1">
      <alignment horizontal="center"/>
    </xf>
    <xf numFmtId="0" fontId="2" fillId="2" borderId="0" xfId="2" applyAlignment="1">
      <alignment horizontal="center"/>
    </xf>
    <xf numFmtId="3" fontId="0" fillId="0" borderId="1" xfId="0" applyNumberFormat="1" applyFont="1" applyBorder="1"/>
    <xf numFmtId="3" fontId="5" fillId="0" borderId="5" xfId="0" applyNumberFormat="1" applyFont="1" applyBorder="1" applyAlignment="1">
      <alignment horizontal="centerContinuous"/>
    </xf>
    <xf numFmtId="3" fontId="0" fillId="0" borderId="5" xfId="0" applyNumberFormat="1" applyFont="1" applyBorder="1" applyAlignment="1">
      <alignment horizontal="centerContinuous"/>
    </xf>
    <xf numFmtId="3" fontId="15" fillId="0" borderId="5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3" fontId="0" fillId="0" borderId="12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164" fontId="0" fillId="7" borderId="6" xfId="1" applyNumberFormat="1" applyFont="1" applyFill="1" applyBorder="1"/>
    <xf numFmtId="3" fontId="0" fillId="7" borderId="0" xfId="0" applyNumberFormat="1" applyFont="1" applyFill="1" applyBorder="1" applyAlignment="1">
      <alignment horizontal="centerContinuous"/>
    </xf>
    <xf numFmtId="3" fontId="0" fillId="7" borderId="8" xfId="0" applyNumberFormat="1" applyFont="1" applyFill="1" applyBorder="1" applyAlignment="1">
      <alignment horizontal="centerContinuous"/>
    </xf>
    <xf numFmtId="3" fontId="5" fillId="0" borderId="12" xfId="0" applyNumberFormat="1" applyFont="1" applyBorder="1" applyAlignment="1">
      <alignment horizontal="centerContinuous"/>
    </xf>
    <xf numFmtId="3" fontId="15" fillId="0" borderId="12" xfId="0" applyNumberFormat="1" applyFont="1" applyBorder="1" applyAlignment="1">
      <alignment horizontal="centerContinuous"/>
    </xf>
    <xf numFmtId="3" fontId="1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7" borderId="12" xfId="0" applyNumberFormat="1" applyFont="1" applyFill="1" applyBorder="1" applyAlignment="1">
      <alignment horizontal="centerContinuous"/>
    </xf>
    <xf numFmtId="3" fontId="0" fillId="7" borderId="13" xfId="0" applyNumberFormat="1" applyFont="1" applyFill="1" applyBorder="1" applyAlignment="1">
      <alignment horizontal="centerContinuous"/>
    </xf>
    <xf numFmtId="10" fontId="2" fillId="2" borderId="0" xfId="2" applyNumberFormat="1" applyAlignment="1">
      <alignment horizontal="center"/>
    </xf>
    <xf numFmtId="3" fontId="13" fillId="0" borderId="12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1" fillId="5" borderId="0" xfId="5" applyNumberFormat="1"/>
    <xf numFmtId="3" fontId="5" fillId="0" borderId="0" xfId="0" quotePrefix="1" applyNumberFormat="1" applyFont="1" applyAlignment="1">
      <alignment horizontal="center"/>
    </xf>
    <xf numFmtId="0" fontId="0" fillId="8" borderId="0" xfId="0" applyFont="1" applyFill="1"/>
    <xf numFmtId="0" fontId="0" fillId="8" borderId="0" xfId="0" applyFont="1" applyFill="1" applyBorder="1"/>
    <xf numFmtId="0" fontId="0" fillId="8" borderId="0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left"/>
    </xf>
    <xf numFmtId="0" fontId="20" fillId="8" borderId="0" xfId="7" applyFont="1" applyFill="1" applyBorder="1" applyAlignment="1">
      <alignment horizontal="center"/>
    </xf>
    <xf numFmtId="0" fontId="18" fillId="8" borderId="0" xfId="0" applyFont="1" applyFill="1" applyBorder="1"/>
    <xf numFmtId="0" fontId="6" fillId="8" borderId="12" xfId="0" applyFont="1" applyFill="1" applyBorder="1" applyAlignment="1">
      <alignment horizontal="left"/>
    </xf>
    <xf numFmtId="0" fontId="0" fillId="8" borderId="0" xfId="0" applyFont="1" applyFill="1" applyAlignment="1">
      <alignment horizontal="left"/>
    </xf>
    <xf numFmtId="0" fontId="19" fillId="8" borderId="0" xfId="0" applyFont="1" applyFill="1" applyAlignment="1">
      <alignment horizontal="center"/>
    </xf>
    <xf numFmtId="0" fontId="20" fillId="0" borderId="0" xfId="7" applyAlignment="1">
      <alignment horizontal="right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0" xfId="1" applyNumberFormat="1" applyFont="1"/>
  </cellXfs>
  <cellStyles count="8">
    <cellStyle name="40% - Accent1" xfId="5" builtinId="31"/>
    <cellStyle name="Accent2" xfId="6" builtinId="33"/>
    <cellStyle name="Bad" xfId="3" builtinId="27"/>
    <cellStyle name="Good" xfId="2" builtinId="26"/>
    <cellStyle name="Hyperlink" xfId="7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992505</xdr:colOff>
      <xdr:row>4</xdr:row>
      <xdr:rowOff>38736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539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986902</xdr:colOff>
      <xdr:row>4</xdr:row>
      <xdr:rowOff>38736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7936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986902</xdr:colOff>
      <xdr:row>4</xdr:row>
      <xdr:rowOff>38736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7936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6:T1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7109375" style="203" customWidth="1"/>
    <col min="2" max="2" width="21.42578125" style="211" customWidth="1"/>
    <col min="3" max="3" width="56.7109375" style="203" customWidth="1"/>
    <col min="4" max="16384" width="9.140625" style="203"/>
  </cols>
  <sheetData>
    <row r="6" spans="1:20" ht="21" x14ac:dyDescent="0.35">
      <c r="A6" s="212" t="s">
        <v>202</v>
      </c>
      <c r="B6" s="212"/>
      <c r="C6" s="212"/>
    </row>
    <row r="8" spans="1:20" x14ac:dyDescent="0.25">
      <c r="A8" s="204"/>
      <c r="B8" s="207"/>
      <c r="C8" s="205"/>
      <c r="D8" s="205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</row>
    <row r="9" spans="1:20" x14ac:dyDescent="0.25">
      <c r="A9" s="206" t="s">
        <v>203</v>
      </c>
      <c r="B9" s="210" t="s">
        <v>205</v>
      </c>
      <c r="C9" s="206" t="s">
        <v>204</v>
      </c>
      <c r="D9" s="205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20" x14ac:dyDescent="0.25">
      <c r="A10" s="208">
        <v>1</v>
      </c>
      <c r="B10" s="207" t="s">
        <v>206</v>
      </c>
      <c r="C10" s="204" t="s">
        <v>5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9"/>
      <c r="S10" s="209"/>
      <c r="T10" s="209"/>
    </row>
    <row r="11" spans="1:20" x14ac:dyDescent="0.25">
      <c r="A11" s="208">
        <v>2</v>
      </c>
      <c r="B11" s="207" t="s">
        <v>207</v>
      </c>
      <c r="C11" s="204" t="s">
        <v>44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9"/>
      <c r="S11" s="209"/>
      <c r="T11" s="209"/>
    </row>
    <row r="12" spans="1:20" x14ac:dyDescent="0.25">
      <c r="A12" s="208">
        <v>3</v>
      </c>
      <c r="B12" s="207" t="s">
        <v>208</v>
      </c>
      <c r="C12" s="204" t="s">
        <v>83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9"/>
      <c r="S12" s="209"/>
      <c r="T12" s="209"/>
    </row>
    <row r="13" spans="1:20" x14ac:dyDescent="0.25">
      <c r="A13" s="208">
        <v>4</v>
      </c>
      <c r="B13" s="207" t="s">
        <v>209</v>
      </c>
      <c r="C13" s="204" t="s">
        <v>126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9"/>
      <c r="S13" s="209"/>
      <c r="T13" s="209"/>
    </row>
    <row r="14" spans="1:20" x14ac:dyDescent="0.25">
      <c r="A14" s="208">
        <v>5</v>
      </c>
      <c r="B14" s="207" t="s">
        <v>210</v>
      </c>
      <c r="C14" s="204" t="s">
        <v>177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9"/>
      <c r="S14" s="209"/>
      <c r="T14" s="209"/>
    </row>
  </sheetData>
  <mergeCells count="1">
    <mergeCell ref="A6:C6"/>
  </mergeCells>
  <hyperlinks>
    <hyperlink ref="A10" location="'W-06-xs'!A1" display="'W-06-xs'!A1"/>
    <hyperlink ref="A11" location="'W-06-Ben'!A1" display="'W-06-Ben'!A1"/>
    <hyperlink ref="A12" location="'W-06-Trd1'!A1" display="'W-06-Trd1'!A1"/>
    <hyperlink ref="A13" location="'W-06-Trd2'!A1" display="'W-06-Trd2'!A1"/>
    <hyperlink ref="A14" location="'W-06-Levg'!A1" display="'W-06-Levg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8" width="9.140625" style="2" customWidth="1"/>
    <col min="19" max="19" width="11" style="2" bestFit="1" customWidth="1"/>
    <col min="2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41</v>
      </c>
      <c r="D1" s="3"/>
      <c r="E1" s="3"/>
      <c r="L1" s="213" t="s">
        <v>211</v>
      </c>
      <c r="M1" s="213"/>
      <c r="N1" s="4" t="s">
        <v>1</v>
      </c>
    </row>
    <row r="2" spans="1:27" x14ac:dyDescent="0.25">
      <c r="A2" s="1" t="s">
        <v>2</v>
      </c>
      <c r="C2" s="2" t="s">
        <v>3</v>
      </c>
      <c r="N2" s="4" t="s">
        <v>1</v>
      </c>
    </row>
    <row r="3" spans="1:27" x14ac:dyDescent="0.25">
      <c r="A3" s="1" t="s">
        <v>4</v>
      </c>
      <c r="C3" s="2" t="s">
        <v>5</v>
      </c>
      <c r="N3" s="4" t="s">
        <v>1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Q4" s="5"/>
    </row>
    <row r="5" spans="1:27" x14ac:dyDescent="0.25">
      <c r="A5" s="8" t="s">
        <v>6</v>
      </c>
      <c r="B5" s="4" t="s">
        <v>7</v>
      </c>
      <c r="C5" s="5" t="s">
        <v>8</v>
      </c>
      <c r="D5" s="5"/>
      <c r="E5" s="5"/>
      <c r="F5" s="5"/>
      <c r="G5" s="5"/>
      <c r="H5" s="5"/>
      <c r="I5" s="9">
        <v>250</v>
      </c>
      <c r="J5" s="10"/>
      <c r="K5" s="5"/>
      <c r="L5" s="5"/>
      <c r="M5" s="5"/>
      <c r="N5" s="4" t="s">
        <v>1</v>
      </c>
      <c r="O5" s="11" t="s">
        <v>7</v>
      </c>
      <c r="P5" s="5" t="s">
        <v>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B6" s="4" t="s">
        <v>10</v>
      </c>
      <c r="C6" s="5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C7" s="5"/>
      <c r="J7" s="5"/>
      <c r="K7" s="5"/>
      <c r="L7" s="5"/>
      <c r="M7" s="5"/>
      <c r="N7" s="4" t="s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A8" s="8"/>
      <c r="B8" s="7"/>
      <c r="D8" s="12"/>
      <c r="E8" s="12"/>
      <c r="F8" s="12"/>
      <c r="G8" s="12"/>
      <c r="H8" s="12"/>
      <c r="I8" s="12"/>
      <c r="K8" s="5"/>
      <c r="L8" s="5"/>
      <c r="M8" s="5"/>
      <c r="N8" s="4" t="s">
        <v>1</v>
      </c>
      <c r="O8" s="5"/>
      <c r="P8" s="13"/>
      <c r="Q8" s="14" t="s">
        <v>13</v>
      </c>
      <c r="R8" s="15" t="s">
        <v>14</v>
      </c>
      <c r="S8" s="15" t="s">
        <v>15</v>
      </c>
      <c r="T8" s="15" t="s">
        <v>16</v>
      </c>
      <c r="U8" s="16" t="s">
        <v>17</v>
      </c>
      <c r="V8" s="16" t="s">
        <v>18</v>
      </c>
      <c r="W8" s="5"/>
      <c r="X8" s="5"/>
      <c r="Y8" s="5"/>
      <c r="Z8" s="5"/>
      <c r="AA8" s="5"/>
    </row>
    <row r="9" spans="1:27" x14ac:dyDescent="0.25">
      <c r="A9" s="8" t="s">
        <v>19</v>
      </c>
      <c r="B9" s="7"/>
      <c r="C9" s="17"/>
      <c r="D9" s="18"/>
      <c r="E9" s="18" t="s">
        <v>20</v>
      </c>
      <c r="F9" s="19" t="s">
        <v>21</v>
      </c>
      <c r="G9" s="12"/>
      <c r="H9" s="5" t="s">
        <v>12</v>
      </c>
      <c r="I9" s="12"/>
      <c r="J9" s="5"/>
      <c r="K9" s="5"/>
      <c r="L9" s="5"/>
      <c r="M9" s="5"/>
      <c r="N9" s="4" t="s">
        <v>1</v>
      </c>
      <c r="O9" s="5"/>
      <c r="P9" s="20"/>
      <c r="Q9" s="21"/>
      <c r="R9" s="21" t="s">
        <v>20</v>
      </c>
      <c r="S9" s="21" t="s">
        <v>21</v>
      </c>
      <c r="T9" s="22" t="s">
        <v>22</v>
      </c>
      <c r="U9" s="23" t="s">
        <v>23</v>
      </c>
      <c r="V9" s="23"/>
      <c r="W9" s="5"/>
      <c r="X9" s="5"/>
      <c r="Y9" s="5"/>
      <c r="Z9" s="5"/>
      <c r="AA9" s="5"/>
    </row>
    <row r="10" spans="1:27" x14ac:dyDescent="0.25">
      <c r="A10" s="7"/>
      <c r="B10" s="7"/>
      <c r="C10" s="20"/>
      <c r="D10" s="21" t="s">
        <v>24</v>
      </c>
      <c r="E10" s="21" t="s">
        <v>25</v>
      </c>
      <c r="F10" s="23" t="s">
        <v>25</v>
      </c>
      <c r="G10" s="12"/>
      <c r="H10" s="12"/>
      <c r="I10" s="12"/>
      <c r="J10" s="5"/>
      <c r="K10" s="5"/>
      <c r="L10" s="5"/>
      <c r="M10" s="5"/>
      <c r="N10" s="4" t="s">
        <v>1</v>
      </c>
      <c r="O10" s="5"/>
      <c r="P10" s="20"/>
      <c r="Q10" s="21" t="s">
        <v>24</v>
      </c>
      <c r="R10" s="21" t="s">
        <v>25</v>
      </c>
      <c r="S10" s="21" t="s">
        <v>25</v>
      </c>
      <c r="T10" s="22" t="s">
        <v>26</v>
      </c>
      <c r="U10" s="25" t="s">
        <v>25</v>
      </c>
      <c r="V10" s="23" t="s">
        <v>25</v>
      </c>
      <c r="W10" s="5"/>
      <c r="X10" s="5"/>
      <c r="Y10" s="5"/>
      <c r="Z10" s="5"/>
      <c r="AA10" s="5"/>
    </row>
    <row r="11" spans="1:27" x14ac:dyDescent="0.25">
      <c r="A11" s="7"/>
      <c r="B11" s="7"/>
      <c r="C11" s="27" t="s">
        <v>27</v>
      </c>
      <c r="D11" s="28" t="s">
        <v>22</v>
      </c>
      <c r="E11" s="28" t="s">
        <v>28</v>
      </c>
      <c r="F11" s="29" t="s">
        <v>22</v>
      </c>
      <c r="G11" s="12"/>
      <c r="H11" s="12"/>
      <c r="I11" s="12"/>
      <c r="J11" s="5"/>
      <c r="K11" s="5"/>
      <c r="L11" s="5"/>
      <c r="M11" s="5"/>
      <c r="N11" s="4" t="s">
        <v>1</v>
      </c>
      <c r="O11" s="5"/>
      <c r="P11" s="27" t="s">
        <v>27</v>
      </c>
      <c r="Q11" s="28" t="s">
        <v>22</v>
      </c>
      <c r="R11" s="28" t="s">
        <v>28</v>
      </c>
      <c r="S11" s="28" t="s">
        <v>22</v>
      </c>
      <c r="T11" s="30">
        <f>I5</f>
        <v>250</v>
      </c>
      <c r="U11" s="29" t="s">
        <v>22</v>
      </c>
      <c r="V11" s="29" t="s">
        <v>29</v>
      </c>
      <c r="W11" s="5"/>
      <c r="X11" s="5"/>
      <c r="Y11" s="5"/>
      <c r="Z11" s="5"/>
      <c r="AA11" s="5"/>
    </row>
    <row r="12" spans="1:27" x14ac:dyDescent="0.25">
      <c r="A12" s="8"/>
      <c r="B12" s="7"/>
      <c r="C12" s="31">
        <v>2020</v>
      </c>
      <c r="D12" s="32">
        <v>22500</v>
      </c>
      <c r="E12" s="32">
        <v>8</v>
      </c>
      <c r="F12" s="33">
        <v>2463</v>
      </c>
      <c r="G12" s="6"/>
      <c r="H12" s="5"/>
      <c r="I12" s="34"/>
      <c r="J12" s="5"/>
      <c r="K12" s="5"/>
      <c r="L12" s="5"/>
      <c r="M12" s="5"/>
      <c r="N12" s="4" t="s">
        <v>1</v>
      </c>
      <c r="O12" s="5"/>
      <c r="P12" s="31">
        <v>2020</v>
      </c>
      <c r="Q12" s="32">
        <f t="shared" ref="Q12:S17" si="0">D12</f>
        <v>22500</v>
      </c>
      <c r="R12" s="32">
        <f t="shared" si="0"/>
        <v>8</v>
      </c>
      <c r="S12" s="32">
        <f t="shared" si="0"/>
        <v>2463</v>
      </c>
      <c r="T12" s="21">
        <f>S12-R12*T11</f>
        <v>463</v>
      </c>
      <c r="U12" s="23">
        <f t="shared" ref="U12:U17" si="1">Q12-T12</f>
        <v>22037</v>
      </c>
      <c r="V12" s="35">
        <f>ROUND(T12/U12,3)</f>
        <v>2.1000000000000001E-2</v>
      </c>
      <c r="W12" s="5"/>
      <c r="X12" s="5"/>
      <c r="Y12" s="5"/>
      <c r="Z12" s="5"/>
      <c r="AA12" s="5"/>
    </row>
    <row r="13" spans="1:27" x14ac:dyDescent="0.25">
      <c r="A13" s="7"/>
      <c r="B13" s="7"/>
      <c r="C13" s="31">
        <v>2021</v>
      </c>
      <c r="D13" s="32">
        <v>24750</v>
      </c>
      <c r="E13" s="32">
        <v>17</v>
      </c>
      <c r="F13" s="33">
        <v>4994</v>
      </c>
      <c r="G13" s="6"/>
      <c r="H13" s="6"/>
      <c r="I13" s="34"/>
      <c r="J13" s="5"/>
      <c r="K13" s="5"/>
      <c r="L13" s="5"/>
      <c r="M13" s="5"/>
      <c r="N13" s="4" t="s">
        <v>1</v>
      </c>
      <c r="O13" s="5"/>
      <c r="P13" s="31">
        <f>P12+1</f>
        <v>2021</v>
      </c>
      <c r="Q13" s="32">
        <f t="shared" si="0"/>
        <v>24750</v>
      </c>
      <c r="R13" s="32">
        <f t="shared" si="0"/>
        <v>17</v>
      </c>
      <c r="S13" s="32">
        <f t="shared" si="0"/>
        <v>4994</v>
      </c>
      <c r="T13" s="21">
        <f>S13-R13*T11</f>
        <v>744</v>
      </c>
      <c r="U13" s="23">
        <f t="shared" si="1"/>
        <v>24006</v>
      </c>
      <c r="V13" s="35">
        <f>T13/U13</f>
        <v>3.0992251937015745E-2</v>
      </c>
      <c r="W13" s="5"/>
      <c r="X13" s="5"/>
      <c r="Y13" s="5"/>
      <c r="Z13" s="5"/>
      <c r="AA13" s="5"/>
    </row>
    <row r="14" spans="1:27" x14ac:dyDescent="0.25">
      <c r="A14" s="7"/>
      <c r="B14" s="7"/>
      <c r="C14" s="31">
        <v>2022</v>
      </c>
      <c r="D14" s="32">
        <v>24381</v>
      </c>
      <c r="E14" s="32">
        <v>23</v>
      </c>
      <c r="F14" s="33">
        <v>6710</v>
      </c>
      <c r="G14" s="6"/>
      <c r="H14" s="6"/>
      <c r="I14" s="34"/>
      <c r="J14" s="5"/>
      <c r="K14" s="5"/>
      <c r="L14" s="5"/>
      <c r="M14" s="5"/>
      <c r="N14" s="4" t="s">
        <v>1</v>
      </c>
      <c r="O14" s="5"/>
      <c r="P14" s="31">
        <f>P13+1</f>
        <v>2022</v>
      </c>
      <c r="Q14" s="32">
        <f t="shared" si="0"/>
        <v>24381</v>
      </c>
      <c r="R14" s="32">
        <f t="shared" si="0"/>
        <v>23</v>
      </c>
      <c r="S14" s="32">
        <f t="shared" si="0"/>
        <v>6710</v>
      </c>
      <c r="T14" s="21">
        <f>S14-R14*T11</f>
        <v>960</v>
      </c>
      <c r="U14" s="23">
        <f t="shared" si="1"/>
        <v>23421</v>
      </c>
      <c r="V14" s="35">
        <f>T14/U14</f>
        <v>4.0988856154732932E-2</v>
      </c>
      <c r="W14" s="5"/>
      <c r="X14" s="5"/>
      <c r="Y14" s="5"/>
      <c r="Z14" s="5"/>
      <c r="AA14" s="5"/>
    </row>
    <row r="15" spans="1:27" x14ac:dyDescent="0.25">
      <c r="C15" s="31">
        <v>2023</v>
      </c>
      <c r="D15" s="32">
        <v>23484</v>
      </c>
      <c r="E15" s="32">
        <v>13</v>
      </c>
      <c r="F15" s="33">
        <v>4683</v>
      </c>
      <c r="G15" s="6"/>
      <c r="H15" s="6"/>
      <c r="I15" s="34"/>
      <c r="J15" s="5"/>
      <c r="K15" s="5"/>
      <c r="L15" s="5"/>
      <c r="M15" s="5"/>
      <c r="N15" s="4" t="s">
        <v>1</v>
      </c>
      <c r="O15" s="5"/>
      <c r="P15" s="31">
        <f>P14+1</f>
        <v>2023</v>
      </c>
      <c r="Q15" s="32">
        <f t="shared" si="0"/>
        <v>23484</v>
      </c>
      <c r="R15" s="32">
        <f t="shared" si="0"/>
        <v>13</v>
      </c>
      <c r="S15" s="32">
        <f t="shared" si="0"/>
        <v>4683</v>
      </c>
      <c r="T15" s="21">
        <f>S15-R15*T11</f>
        <v>1433</v>
      </c>
      <c r="U15" s="23">
        <f t="shared" si="1"/>
        <v>22051</v>
      </c>
      <c r="V15" s="35">
        <f>T15/U15</f>
        <v>6.4985714933563102E-2</v>
      </c>
      <c r="W15" s="5"/>
      <c r="X15" s="5"/>
      <c r="Y15" s="5"/>
      <c r="Z15" s="5"/>
      <c r="AA15" s="5"/>
    </row>
    <row r="16" spans="1:27" x14ac:dyDescent="0.25">
      <c r="C16" s="31">
        <v>2024</v>
      </c>
      <c r="D16" s="32">
        <v>25346</v>
      </c>
      <c r="E16" s="32">
        <v>11</v>
      </c>
      <c r="F16" s="33">
        <v>3678</v>
      </c>
      <c r="G16" s="6"/>
      <c r="H16" s="6"/>
      <c r="I16" s="34"/>
      <c r="J16" s="5"/>
      <c r="K16" s="5"/>
      <c r="L16" s="5"/>
      <c r="M16" s="5"/>
      <c r="N16" s="4" t="s">
        <v>1</v>
      </c>
      <c r="O16" s="5"/>
      <c r="P16" s="31">
        <f>P15+1</f>
        <v>2024</v>
      </c>
      <c r="Q16" s="32">
        <f t="shared" si="0"/>
        <v>25346</v>
      </c>
      <c r="R16" s="32">
        <f t="shared" si="0"/>
        <v>11</v>
      </c>
      <c r="S16" s="32">
        <f t="shared" si="0"/>
        <v>3678</v>
      </c>
      <c r="T16" s="21">
        <f>S16-R16*T11</f>
        <v>928</v>
      </c>
      <c r="U16" s="23">
        <f t="shared" si="1"/>
        <v>24418</v>
      </c>
      <c r="V16" s="35">
        <f>T16/U16</f>
        <v>3.800475059382423E-2</v>
      </c>
      <c r="W16" s="5"/>
      <c r="X16" s="5"/>
      <c r="Y16" s="5"/>
      <c r="Z16" s="5"/>
      <c r="AA16" s="5"/>
    </row>
    <row r="17" spans="3:27" x14ac:dyDescent="0.25">
      <c r="C17" s="37">
        <v>2025</v>
      </c>
      <c r="D17" s="38">
        <v>32400</v>
      </c>
      <c r="E17" s="38">
        <v>13</v>
      </c>
      <c r="F17" s="39">
        <v>4556</v>
      </c>
      <c r="G17" s="6"/>
      <c r="H17" s="6"/>
      <c r="I17" s="34"/>
      <c r="J17" s="5"/>
      <c r="K17" s="5"/>
      <c r="L17" s="5"/>
      <c r="M17" s="5"/>
      <c r="N17" s="4" t="s">
        <v>1</v>
      </c>
      <c r="O17" s="5"/>
      <c r="P17" s="37">
        <f>P16+1</f>
        <v>2025</v>
      </c>
      <c r="Q17" s="38">
        <f t="shared" si="0"/>
        <v>32400</v>
      </c>
      <c r="R17" s="38">
        <f t="shared" si="0"/>
        <v>13</v>
      </c>
      <c r="S17" s="38">
        <f t="shared" si="0"/>
        <v>4556</v>
      </c>
      <c r="T17" s="28">
        <f>S17-R17*T11</f>
        <v>1306</v>
      </c>
      <c r="U17" s="29">
        <f t="shared" si="1"/>
        <v>31094</v>
      </c>
      <c r="V17" s="40">
        <f>T17/U17</f>
        <v>4.200167234836303E-2</v>
      </c>
      <c r="W17" s="5"/>
      <c r="X17" s="5"/>
      <c r="Y17" s="5"/>
      <c r="Z17" s="5"/>
      <c r="AA17" s="5"/>
    </row>
    <row r="18" spans="3:27" x14ac:dyDescent="0.25">
      <c r="C18" s="27" t="s">
        <v>30</v>
      </c>
      <c r="D18" s="28">
        <v>152861</v>
      </c>
      <c r="E18" s="28">
        <v>85</v>
      </c>
      <c r="F18" s="29">
        <v>27084</v>
      </c>
      <c r="G18" s="5"/>
      <c r="H18" s="5"/>
      <c r="I18" s="5"/>
      <c r="J18" s="5"/>
      <c r="K18" s="5"/>
      <c r="L18" s="5"/>
      <c r="M18" s="7"/>
      <c r="N18" s="4" t="s">
        <v>1</v>
      </c>
      <c r="O18" s="5"/>
      <c r="P18" s="27" t="s">
        <v>31</v>
      </c>
      <c r="Q18" s="28">
        <f>SUM(Q12:Q17)</f>
        <v>152861</v>
      </c>
      <c r="R18" s="28">
        <f>SUM(R12:R17)</f>
        <v>85</v>
      </c>
      <c r="S18" s="28">
        <f>SUM(S12:S17)</f>
        <v>27084</v>
      </c>
      <c r="T18" s="28">
        <f>SUM(T12:T17)</f>
        <v>5834</v>
      </c>
      <c r="U18" s="29">
        <f>SUM(U12:U17)</f>
        <v>147027</v>
      </c>
      <c r="V18" s="41">
        <f>ROUND(T18/U18,3)</f>
        <v>0.04</v>
      </c>
      <c r="W18" s="5"/>
      <c r="X18" s="5"/>
      <c r="Y18" s="5"/>
      <c r="Z18" s="5"/>
      <c r="AA18" s="5"/>
    </row>
    <row r="19" spans="3:27" x14ac:dyDescent="0.25">
      <c r="N19" s="4" t="s">
        <v>1</v>
      </c>
      <c r="O19" s="5"/>
      <c r="P19" s="5"/>
      <c r="Q19" s="5"/>
      <c r="R19" s="5"/>
      <c r="S19" s="5"/>
      <c r="T19" s="5"/>
      <c r="U19" s="5"/>
      <c r="V19" s="42" t="s">
        <v>32</v>
      </c>
      <c r="W19" s="5"/>
      <c r="X19" s="5"/>
      <c r="Y19" s="5"/>
      <c r="Z19" s="5"/>
      <c r="AA19" s="5"/>
    </row>
    <row r="20" spans="3:27" x14ac:dyDescent="0.25">
      <c r="N20" s="4" t="s">
        <v>1</v>
      </c>
      <c r="O20" s="5"/>
      <c r="P20" s="43" t="s">
        <v>33</v>
      </c>
      <c r="Q20" s="43" t="str">
        <f>"[ "&amp;T11 &amp; " x (2) ]"</f>
        <v>[ 250 x (2) ]</v>
      </c>
      <c r="R20" s="44"/>
      <c r="S20" s="5"/>
      <c r="T20" s="5"/>
      <c r="U20" s="5"/>
      <c r="V20" s="5"/>
      <c r="W20" s="5"/>
      <c r="X20" s="5"/>
      <c r="Y20" s="5"/>
      <c r="Z20" s="5"/>
      <c r="AA20" s="5"/>
    </row>
    <row r="21" spans="3:27" x14ac:dyDescent="0.25">
      <c r="N21" s="4" t="s">
        <v>1</v>
      </c>
      <c r="O21" s="5"/>
      <c r="P21" s="44" t="s">
        <v>34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3:27" x14ac:dyDescent="0.25">
      <c r="N22" s="4" t="s">
        <v>1</v>
      </c>
      <c r="O22" s="5"/>
      <c r="P22" s="44" t="s">
        <v>35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N23" s="4" t="s">
        <v>1</v>
      </c>
      <c r="O23" s="5"/>
      <c r="P23" s="44" t="s">
        <v>36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3:27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  <c r="N24" s="4" t="s">
        <v>1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  <c r="N25" s="4" t="s">
        <v>1</v>
      </c>
      <c r="O25" s="11" t="s">
        <v>10</v>
      </c>
      <c r="P25" s="5" t="s">
        <v>42</v>
      </c>
      <c r="Q25" s="5"/>
      <c r="R25" s="5"/>
      <c r="S25" s="6" t="s">
        <v>37</v>
      </c>
      <c r="T25" s="5" t="s">
        <v>38</v>
      </c>
      <c r="U25" s="5"/>
      <c r="V25" s="6" t="s">
        <v>39</v>
      </c>
      <c r="W25" s="5" t="s">
        <v>40</v>
      </c>
      <c r="X25" s="5"/>
      <c r="Y25" s="5"/>
      <c r="Z25" s="5"/>
      <c r="AA25" s="5"/>
    </row>
    <row r="26" spans="3:2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4" t="s">
        <v>1</v>
      </c>
      <c r="O26" s="5"/>
      <c r="P26" s="5"/>
      <c r="Q26" s="5"/>
      <c r="R26" s="5"/>
      <c r="S26" s="6" t="s">
        <v>37</v>
      </c>
      <c r="T26" s="45">
        <f>U17</f>
        <v>31094</v>
      </c>
      <c r="U26" s="5"/>
      <c r="V26" s="6" t="s">
        <v>39</v>
      </c>
      <c r="W26" s="46">
        <f>1+V18</f>
        <v>1.04</v>
      </c>
      <c r="X26" s="5"/>
      <c r="Y26" s="5"/>
      <c r="Z26" s="5"/>
      <c r="AA26" s="5"/>
    </row>
    <row r="27" spans="3:2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4" t="s">
        <v>1</v>
      </c>
      <c r="O27" s="5"/>
      <c r="P27" s="5"/>
      <c r="Q27" s="5"/>
      <c r="R27" s="5"/>
      <c r="S27" s="6" t="s">
        <v>37</v>
      </c>
      <c r="T27" s="47">
        <f>T26*W26</f>
        <v>32337.760000000002</v>
      </c>
      <c r="U27" s="5"/>
      <c r="V27" s="5"/>
      <c r="W27" s="5"/>
      <c r="X27" s="5"/>
      <c r="Y27" s="5"/>
      <c r="Z27" s="5"/>
      <c r="AA27" s="5"/>
    </row>
    <row r="28" spans="3:2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4" t="s">
        <v>1</v>
      </c>
      <c r="O28" s="5"/>
      <c r="P28" s="5"/>
      <c r="Q28" s="5"/>
      <c r="R28" s="5"/>
      <c r="S28" s="5"/>
      <c r="T28" s="42" t="s">
        <v>32</v>
      </c>
      <c r="U28" s="5"/>
      <c r="V28" s="5"/>
      <c r="W28" s="5"/>
      <c r="X28" s="5"/>
      <c r="Y28" s="5"/>
      <c r="Z28" s="5"/>
      <c r="AA28" s="5"/>
    </row>
    <row r="29" spans="3:2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 s="4" t="s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 s="4" t="s">
        <v>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 s="4" t="s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4" t="s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4" t="s">
        <v>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4" t="s">
        <v>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4" t="s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4" t="s">
        <v>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 t="s">
        <v>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</row>
    <row r="42" spans="1:27" x14ac:dyDescent="0.25">
      <c r="N42" s="4" t="s">
        <v>1</v>
      </c>
    </row>
    <row r="43" spans="1:27" x14ac:dyDescent="0.25">
      <c r="N43" s="4" t="s">
        <v>1</v>
      </c>
    </row>
    <row r="44" spans="1:27" x14ac:dyDescent="0.25">
      <c r="N44" s="4" t="s">
        <v>1</v>
      </c>
    </row>
    <row r="45" spans="1:27" x14ac:dyDescent="0.25">
      <c r="N45" s="4" t="s">
        <v>1</v>
      </c>
    </row>
    <row r="46" spans="1:27" x14ac:dyDescent="0.25">
      <c r="N46" s="4" t="s">
        <v>1</v>
      </c>
    </row>
    <row r="47" spans="1:27" x14ac:dyDescent="0.25">
      <c r="N47" s="4" t="s">
        <v>1</v>
      </c>
    </row>
    <row r="48" spans="1:27" x14ac:dyDescent="0.25">
      <c r="N48" s="4" t="s">
        <v>1</v>
      </c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4" width="9.140625" style="2" customWidth="1"/>
    <col min="15" max="15" width="8.7109375" style="2" customWidth="1"/>
    <col min="16" max="18" width="9.140625" style="2" customWidth="1"/>
    <col min="19" max="22" width="9.7109375" style="2" customWidth="1"/>
    <col min="23" max="23" width="7.7109375" style="2" customWidth="1"/>
    <col min="24" max="24" width="9.7109375" style="2" customWidth="1"/>
    <col min="25" max="25" width="9.140625" style="2" customWidth="1"/>
    <col min="26" max="26" width="9.140625" style="2"/>
    <col min="27" max="27" width="9.140625" style="2" customWidth="1"/>
    <col min="28" max="16384" width="9.140625" style="2"/>
  </cols>
  <sheetData>
    <row r="1" spans="1:27" x14ac:dyDescent="0.25">
      <c r="A1" s="1" t="s">
        <v>0</v>
      </c>
      <c r="C1" t="s">
        <v>41</v>
      </c>
      <c r="D1" s="3"/>
      <c r="E1" s="3"/>
      <c r="L1" s="213" t="s">
        <v>211</v>
      </c>
      <c r="M1" s="213"/>
      <c r="N1" s="4" t="s">
        <v>1</v>
      </c>
    </row>
    <row r="2" spans="1:27" x14ac:dyDescent="0.25">
      <c r="A2" s="1" t="s">
        <v>2</v>
      </c>
      <c r="C2" s="2" t="s">
        <v>43</v>
      </c>
      <c r="N2" s="4" t="s">
        <v>1</v>
      </c>
    </row>
    <row r="3" spans="1:27" x14ac:dyDescent="0.25">
      <c r="A3" s="1" t="s">
        <v>4</v>
      </c>
      <c r="C3" s="2" t="s">
        <v>44</v>
      </c>
      <c r="N3" s="4" t="s">
        <v>1</v>
      </c>
      <c r="O3" s="48" t="s">
        <v>45</v>
      </c>
      <c r="P3" s="2" t="s">
        <v>46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P4" s="3"/>
    </row>
    <row r="5" spans="1:27" x14ac:dyDescent="0.25">
      <c r="A5" s="8" t="s">
        <v>6</v>
      </c>
      <c r="C5" s="5" t="s">
        <v>47</v>
      </c>
      <c r="D5" s="5"/>
      <c r="E5" s="5"/>
      <c r="F5" s="5"/>
      <c r="G5" s="5"/>
      <c r="H5" s="5"/>
      <c r="I5" s="5"/>
      <c r="J5" s="5"/>
      <c r="K5" s="5"/>
      <c r="L5" s="5"/>
      <c r="M5" s="7"/>
      <c r="N5" s="4" t="s">
        <v>1</v>
      </c>
      <c r="O5" s="5"/>
      <c r="P5" s="5"/>
      <c r="Q5" s="5"/>
      <c r="R5" s="5"/>
      <c r="S5" s="49" t="s">
        <v>48</v>
      </c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4" t="s">
        <v>1</v>
      </c>
      <c r="O6" s="5"/>
      <c r="P6" s="5" t="s">
        <v>49</v>
      </c>
      <c r="Q6" s="5"/>
      <c r="R6" s="6" t="s">
        <v>37</v>
      </c>
      <c r="S6" s="6">
        <f>F8</f>
        <v>1100</v>
      </c>
      <c r="T6" s="6" t="s">
        <v>39</v>
      </c>
      <c r="U6" s="50">
        <f>K12</f>
        <v>0.6</v>
      </c>
      <c r="V6" s="6" t="s">
        <v>37</v>
      </c>
      <c r="W6" s="5">
        <f>S6*U6</f>
        <v>660</v>
      </c>
      <c r="X6" s="5"/>
      <c r="Y6" s="5"/>
      <c r="Z6" s="5"/>
      <c r="AA6" s="5"/>
    </row>
    <row r="7" spans="1:27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4" t="s">
        <v>1</v>
      </c>
      <c r="O7" s="5"/>
      <c r="P7" s="5" t="s">
        <v>50</v>
      </c>
      <c r="Q7" s="5"/>
      <c r="R7" s="6" t="s">
        <v>37</v>
      </c>
      <c r="S7" s="6">
        <f>F8</f>
        <v>1100</v>
      </c>
      <c r="T7" s="6" t="s">
        <v>39</v>
      </c>
      <c r="U7" s="50">
        <f>K13</f>
        <v>1.4</v>
      </c>
      <c r="V7" s="6" t="s">
        <v>37</v>
      </c>
      <c r="W7" s="5">
        <f>S7*U7</f>
        <v>1540</v>
      </c>
      <c r="X7" s="5"/>
      <c r="Y7" s="5"/>
      <c r="Z7" s="5"/>
      <c r="AA7" s="5"/>
    </row>
    <row r="8" spans="1:27" x14ac:dyDescent="0.25">
      <c r="A8" s="8" t="s">
        <v>19</v>
      </c>
      <c r="B8" s="7"/>
      <c r="C8" s="51" t="s">
        <v>51</v>
      </c>
      <c r="D8" s="52"/>
      <c r="E8" s="53"/>
      <c r="F8" s="54">
        <v>1100</v>
      </c>
      <c r="G8" s="55" t="s">
        <v>52</v>
      </c>
      <c r="H8" s="56" t="s">
        <v>48</v>
      </c>
      <c r="I8" s="5"/>
      <c r="J8" s="5"/>
      <c r="K8" s="7"/>
      <c r="L8" s="7"/>
      <c r="M8" s="7"/>
      <c r="N8" s="4" t="s">
        <v>1</v>
      </c>
      <c r="O8" s="5"/>
      <c r="P8" s="5" t="s">
        <v>53</v>
      </c>
      <c r="Q8" s="5"/>
      <c r="R8" s="6" t="s">
        <v>37</v>
      </c>
      <c r="S8" s="6">
        <f>F8</f>
        <v>1100</v>
      </c>
      <c r="T8" s="6" t="s">
        <v>39</v>
      </c>
      <c r="U8" s="50">
        <f>L12</f>
        <v>0.78</v>
      </c>
      <c r="V8" s="6" t="s">
        <v>37</v>
      </c>
      <c r="W8" s="5">
        <f>S8*U8</f>
        <v>858</v>
      </c>
      <c r="X8" s="5"/>
      <c r="Y8" s="5"/>
      <c r="Z8" s="5"/>
      <c r="AA8" s="5"/>
    </row>
    <row r="9" spans="1:27" x14ac:dyDescent="0.25">
      <c r="A9" s="7"/>
      <c r="B9" s="7"/>
      <c r="F9" s="5"/>
      <c r="G9" s="5"/>
      <c r="H9" s="5"/>
      <c r="I9" s="5"/>
      <c r="J9" s="5"/>
      <c r="K9" s="7"/>
      <c r="L9" s="7"/>
      <c r="M9" s="7"/>
      <c r="N9" s="4" t="s">
        <v>1</v>
      </c>
      <c r="O9" s="5"/>
      <c r="P9" s="5" t="s">
        <v>54</v>
      </c>
      <c r="Q9" s="5"/>
      <c r="R9" s="6" t="s">
        <v>37</v>
      </c>
      <c r="S9" s="6">
        <f>F8</f>
        <v>1100</v>
      </c>
      <c r="T9" s="6" t="s">
        <v>39</v>
      </c>
      <c r="U9" s="50">
        <f>L13</f>
        <v>1.26</v>
      </c>
      <c r="V9" s="6" t="s">
        <v>37</v>
      </c>
      <c r="W9" s="5">
        <f>S9*U9</f>
        <v>1386</v>
      </c>
      <c r="X9" s="5"/>
      <c r="Y9" s="5"/>
      <c r="Z9" s="5"/>
      <c r="AA9" s="5"/>
    </row>
    <row r="10" spans="1:27" x14ac:dyDescent="0.25">
      <c r="A10" s="8"/>
      <c r="B10" s="7"/>
      <c r="C10" s="24"/>
      <c r="D10" s="58"/>
      <c r="E10" s="18"/>
      <c r="F10" s="19" t="s">
        <v>30</v>
      </c>
      <c r="G10" s="5"/>
      <c r="H10" s="51"/>
      <c r="I10" s="52"/>
      <c r="J10" s="53"/>
      <c r="K10" s="59" t="s">
        <v>55</v>
      </c>
      <c r="L10" s="60" t="s">
        <v>56</v>
      </c>
      <c r="M10" s="7"/>
      <c r="N10" s="4" t="s">
        <v>1</v>
      </c>
      <c r="O10" s="5"/>
      <c r="X10" s="5"/>
      <c r="Y10" s="5"/>
      <c r="Z10" s="5"/>
      <c r="AA10" s="5"/>
    </row>
    <row r="11" spans="1:27" x14ac:dyDescent="0.25">
      <c r="A11" s="7"/>
      <c r="B11" s="7"/>
      <c r="C11" s="61" t="s">
        <v>57</v>
      </c>
      <c r="D11" s="62"/>
      <c r="E11" s="21" t="s">
        <v>20</v>
      </c>
      <c r="F11" s="23" t="s">
        <v>58</v>
      </c>
      <c r="G11" s="5"/>
      <c r="H11" s="63" t="s">
        <v>59</v>
      </c>
      <c r="I11" s="64"/>
      <c r="J11" s="65"/>
      <c r="K11" s="66">
        <v>0.75</v>
      </c>
      <c r="L11" s="67">
        <v>0.75</v>
      </c>
      <c r="M11" s="7"/>
      <c r="N11" s="4" t="s">
        <v>1</v>
      </c>
      <c r="O11" s="68" t="s">
        <v>60</v>
      </c>
      <c r="P11" s="5" t="s">
        <v>61</v>
      </c>
      <c r="X11" s="5"/>
      <c r="Y11" s="5"/>
      <c r="Z11" s="5"/>
      <c r="AA11" s="5"/>
    </row>
    <row r="12" spans="1:27" x14ac:dyDescent="0.25">
      <c r="A12" s="7"/>
      <c r="B12" s="7"/>
      <c r="C12" s="69" t="s">
        <v>62</v>
      </c>
      <c r="D12" s="70" t="s">
        <v>63</v>
      </c>
      <c r="E12" s="28" t="s">
        <v>64</v>
      </c>
      <c r="F12" s="29" t="s">
        <v>65</v>
      </c>
      <c r="G12" s="5"/>
      <c r="H12" s="63" t="s">
        <v>66</v>
      </c>
      <c r="I12" s="64"/>
      <c r="J12" s="65"/>
      <c r="K12" s="66">
        <v>0.6</v>
      </c>
      <c r="L12" s="67">
        <v>0.78</v>
      </c>
      <c r="M12" s="7"/>
      <c r="N12" s="4" t="s">
        <v>1</v>
      </c>
      <c r="O12" s="5"/>
      <c r="X12" s="5"/>
      <c r="Y12" s="5"/>
      <c r="Z12" s="5"/>
      <c r="AA12" s="5"/>
    </row>
    <row r="13" spans="1:27" x14ac:dyDescent="0.25">
      <c r="C13" s="114">
        <v>0</v>
      </c>
      <c r="D13" s="115">
        <v>0.79999999999999993</v>
      </c>
      <c r="E13" s="116">
        <v>300</v>
      </c>
      <c r="F13" s="117">
        <v>135000</v>
      </c>
      <c r="G13" s="5"/>
      <c r="H13" s="72" t="s">
        <v>67</v>
      </c>
      <c r="I13" s="73"/>
      <c r="J13" s="74"/>
      <c r="K13" s="75">
        <v>1.4</v>
      </c>
      <c r="L13" s="76">
        <v>1.26</v>
      </c>
      <c r="M13" s="7"/>
      <c r="N13" s="4" t="s">
        <v>1</v>
      </c>
      <c r="O13" s="5"/>
      <c r="P13" s="77" t="s">
        <v>13</v>
      </c>
      <c r="Q13" s="78" t="s">
        <v>14</v>
      </c>
      <c r="R13" s="79" t="s">
        <v>15</v>
      </c>
      <c r="S13" s="78" t="s">
        <v>16</v>
      </c>
      <c r="T13" s="79" t="s">
        <v>17</v>
      </c>
      <c r="U13" s="79" t="s">
        <v>18</v>
      </c>
      <c r="V13" s="78" t="s">
        <v>68</v>
      </c>
      <c r="W13" s="5"/>
      <c r="X13" s="5"/>
      <c r="Y13" s="5"/>
      <c r="Z13" s="5"/>
      <c r="AA13" s="5"/>
    </row>
    <row r="14" spans="1:27" x14ac:dyDescent="0.25">
      <c r="C14" s="114">
        <v>0.79999999999999993</v>
      </c>
      <c r="D14" s="115">
        <v>1.04</v>
      </c>
      <c r="E14" s="116">
        <v>225</v>
      </c>
      <c r="F14" s="117">
        <v>213750</v>
      </c>
      <c r="G14" s="118"/>
      <c r="M14" s="5"/>
      <c r="N14" s="4" t="s">
        <v>1</v>
      </c>
      <c r="O14" s="5"/>
      <c r="P14" s="26"/>
      <c r="Q14" s="80"/>
      <c r="R14" s="21"/>
      <c r="S14" s="81" t="s">
        <v>30</v>
      </c>
      <c r="T14" s="82" t="s">
        <v>69</v>
      </c>
      <c r="U14" s="64"/>
      <c r="V14" s="65"/>
      <c r="W14" s="5"/>
      <c r="X14" s="5"/>
      <c r="Y14" s="5"/>
      <c r="Z14" s="5"/>
      <c r="AA14" s="5"/>
    </row>
    <row r="15" spans="1:27" x14ac:dyDescent="0.25">
      <c r="C15" s="114">
        <v>1.04</v>
      </c>
      <c r="D15" s="115">
        <v>1.68</v>
      </c>
      <c r="E15" s="116">
        <v>180</v>
      </c>
      <c r="F15" s="117">
        <v>282600</v>
      </c>
      <c r="G15" s="118"/>
      <c r="M15" s="5"/>
      <c r="N15" s="4" t="s">
        <v>1</v>
      </c>
      <c r="O15" s="5"/>
      <c r="P15" s="61" t="s">
        <v>70</v>
      </c>
      <c r="Q15" s="62"/>
      <c r="R15" s="21" t="s">
        <v>20</v>
      </c>
      <c r="S15" s="81" t="s">
        <v>58</v>
      </c>
      <c r="T15" s="82" t="s">
        <v>58</v>
      </c>
      <c r="U15" s="83" t="s">
        <v>55</v>
      </c>
      <c r="V15" s="84" t="s">
        <v>56</v>
      </c>
      <c r="W15" s="5"/>
      <c r="X15" s="5"/>
      <c r="Y15" s="5"/>
      <c r="Z15" s="5"/>
      <c r="AA15" s="5"/>
    </row>
    <row r="16" spans="1:27" x14ac:dyDescent="0.25">
      <c r="C16" s="114">
        <v>1.68</v>
      </c>
      <c r="D16" s="115">
        <v>1.8666666666666665</v>
      </c>
      <c r="E16" s="116">
        <v>135</v>
      </c>
      <c r="F16" s="117">
        <v>257850</v>
      </c>
      <c r="G16" s="118"/>
      <c r="H16" s="5"/>
      <c r="I16" s="5"/>
      <c r="J16" s="5"/>
      <c r="K16" s="5"/>
      <c r="L16" s="5"/>
      <c r="M16" s="7"/>
      <c r="N16" s="4" t="s">
        <v>1</v>
      </c>
      <c r="O16" s="5"/>
      <c r="P16" s="69" t="s">
        <v>62</v>
      </c>
      <c r="Q16" s="70" t="s">
        <v>63</v>
      </c>
      <c r="R16" s="28" t="s">
        <v>64</v>
      </c>
      <c r="S16" s="85" t="s">
        <v>65</v>
      </c>
      <c r="T16" s="86" t="s">
        <v>65</v>
      </c>
      <c r="U16" s="87" t="s">
        <v>71</v>
      </c>
      <c r="V16" s="88" t="s">
        <v>71</v>
      </c>
      <c r="W16" s="5"/>
      <c r="X16" s="5"/>
      <c r="Y16" s="5"/>
      <c r="Z16" s="5"/>
      <c r="AA16" s="5"/>
    </row>
    <row r="17" spans="3:27" x14ac:dyDescent="0.25">
      <c r="C17" s="119">
        <v>1.8666666666666665</v>
      </c>
      <c r="D17" s="120" t="s">
        <v>72</v>
      </c>
      <c r="E17" s="121">
        <v>90</v>
      </c>
      <c r="F17" s="122">
        <v>203400</v>
      </c>
      <c r="G17" s="118"/>
      <c r="H17" s="5"/>
      <c r="I17" s="5"/>
      <c r="J17" s="5"/>
      <c r="K17" s="5"/>
      <c r="L17" s="5"/>
      <c r="M17" s="7"/>
      <c r="N17" s="4" t="s">
        <v>1</v>
      </c>
      <c r="O17" s="5"/>
      <c r="P17" s="71">
        <f t="shared" ref="P17:S21" si="0">C13</f>
        <v>0</v>
      </c>
      <c r="Q17" s="35">
        <f t="shared" si="0"/>
        <v>0.79999999999999993</v>
      </c>
      <c r="R17" s="91">
        <f t="shared" si="0"/>
        <v>300</v>
      </c>
      <c r="S17" s="92">
        <f t="shared" si="0"/>
        <v>135000</v>
      </c>
      <c r="T17" s="93">
        <f t="shared" ref="T17:T22" si="1">F13/E13</f>
        <v>450</v>
      </c>
      <c r="U17" s="94">
        <f>MIN(MAX(K11*T17,W6),W7)</f>
        <v>660</v>
      </c>
      <c r="V17" s="95">
        <f>MIN(MAX(L11*T17,W8),W9)</f>
        <v>858</v>
      </c>
      <c r="W17" s="5"/>
      <c r="X17" s="44" t="s">
        <v>73</v>
      </c>
      <c r="Y17" s="44"/>
      <c r="Z17" s="5"/>
      <c r="AA17" s="5"/>
    </row>
    <row r="18" spans="3:27" x14ac:dyDescent="0.25">
      <c r="C18" s="96" t="s">
        <v>74</v>
      </c>
      <c r="D18" s="97"/>
      <c r="E18" s="28">
        <v>930</v>
      </c>
      <c r="F18" s="29">
        <v>1092600</v>
      </c>
      <c r="G18" s="5"/>
      <c r="H18" s="5"/>
      <c r="I18" s="5"/>
      <c r="J18" s="5"/>
      <c r="K18" s="5"/>
      <c r="L18" s="5"/>
      <c r="M18" s="7"/>
      <c r="N18" s="4" t="s">
        <v>1</v>
      </c>
      <c r="O18" s="5"/>
      <c r="P18" s="71">
        <f t="shared" si="0"/>
        <v>0.79999999999999993</v>
      </c>
      <c r="Q18" s="35">
        <f t="shared" si="0"/>
        <v>1.04</v>
      </c>
      <c r="R18" s="91">
        <f t="shared" si="0"/>
        <v>225</v>
      </c>
      <c r="S18" s="92">
        <f t="shared" si="0"/>
        <v>213750</v>
      </c>
      <c r="T18" s="93">
        <f t="shared" si="1"/>
        <v>950</v>
      </c>
      <c r="U18" s="94">
        <f>MIN(MAX(K11*T18,W6),W7)</f>
        <v>712.5</v>
      </c>
      <c r="V18" s="95">
        <f>MIN(MAX(L11*T18,W8),W9)</f>
        <v>858</v>
      </c>
      <c r="W18" s="5"/>
      <c r="X18" s="44" t="str">
        <f>"(6)  =  min(MAX(" &amp; K11 &amp; " x (Col 5), " &amp;W6 &amp;"), " &amp;W7&amp;")"</f>
        <v>(6)  =  min(MAX(0.75 x (Col 5), 660), 1540)</v>
      </c>
      <c r="Y18" s="5"/>
      <c r="Z18" s="5"/>
      <c r="AA18" s="5"/>
    </row>
    <row r="19" spans="3:27" x14ac:dyDescent="0.25">
      <c r="M19" s="7"/>
      <c r="N19" s="4" t="s">
        <v>1</v>
      </c>
      <c r="O19" s="5"/>
      <c r="P19" s="71">
        <f t="shared" si="0"/>
        <v>1.04</v>
      </c>
      <c r="Q19" s="35">
        <f t="shared" si="0"/>
        <v>1.68</v>
      </c>
      <c r="R19" s="91">
        <f t="shared" si="0"/>
        <v>180</v>
      </c>
      <c r="S19" s="92">
        <f t="shared" si="0"/>
        <v>282600</v>
      </c>
      <c r="T19" s="93">
        <f t="shared" si="1"/>
        <v>1570</v>
      </c>
      <c r="U19" s="94">
        <f>MIN(MAX(K11*T19,W6),W7)</f>
        <v>1177.5</v>
      </c>
      <c r="V19" s="95">
        <f>MIN(MAX(L11*T19,W8),W9)</f>
        <v>1177.5</v>
      </c>
      <c r="W19" s="5"/>
      <c r="X19" s="5" t="str">
        <f>"(7)  =  min(MAX(" &amp; L11 &amp; " x (Col 5), " &amp;W8 &amp;"), " &amp;W9&amp;")"</f>
        <v>(7)  =  min(MAX(0.75 x (Col 5), 858), 1386)</v>
      </c>
      <c r="Y19" s="5"/>
      <c r="Z19" s="5"/>
      <c r="AA19" s="5"/>
    </row>
    <row r="20" spans="3:27" x14ac:dyDescent="0.25">
      <c r="M20" s="7"/>
      <c r="N20" s="4" t="s">
        <v>1</v>
      </c>
      <c r="O20" s="5"/>
      <c r="P20" s="71">
        <f t="shared" si="0"/>
        <v>1.68</v>
      </c>
      <c r="Q20" s="35">
        <f t="shared" si="0"/>
        <v>1.8666666666666665</v>
      </c>
      <c r="R20" s="91">
        <f t="shared" si="0"/>
        <v>135</v>
      </c>
      <c r="S20" s="92">
        <f t="shared" si="0"/>
        <v>257850</v>
      </c>
      <c r="T20" s="93">
        <f t="shared" si="1"/>
        <v>1910</v>
      </c>
      <c r="U20" s="94">
        <f>MIN(MAX(K11*T20,W6),W7)</f>
        <v>1432.5</v>
      </c>
      <c r="V20" s="95">
        <f>MIN(MAX(L11*T20,W8),W9)</f>
        <v>1386</v>
      </c>
      <c r="W20" s="5"/>
      <c r="X20" s="5"/>
      <c r="Y20" s="5"/>
      <c r="Z20" s="5"/>
      <c r="AA20" s="5"/>
    </row>
    <row r="21" spans="3:27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4" t="s">
        <v>1</v>
      </c>
      <c r="O21" s="5"/>
      <c r="P21" s="89">
        <f t="shared" si="0"/>
        <v>1.8666666666666665</v>
      </c>
      <c r="Q21" s="40" t="str">
        <f t="shared" si="0"/>
        <v>n/a</v>
      </c>
      <c r="R21" s="98">
        <f t="shared" si="0"/>
        <v>90</v>
      </c>
      <c r="S21" s="99">
        <f t="shared" si="0"/>
        <v>203400</v>
      </c>
      <c r="T21" s="100">
        <f t="shared" si="1"/>
        <v>2260</v>
      </c>
      <c r="U21" s="101">
        <f>MIN(MAX(K11*T21,W6),W7)</f>
        <v>1540</v>
      </c>
      <c r="V21" s="102">
        <f>MIN(MAX(L11*T21,W8),W9)</f>
        <v>1386</v>
      </c>
      <c r="W21" s="5"/>
      <c r="X21" s="103" t="s">
        <v>75</v>
      </c>
      <c r="Y21" s="5"/>
      <c r="Z21" s="5"/>
      <c r="AA21" s="5"/>
    </row>
    <row r="22" spans="3:27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  <c r="N22" s="4" t="s">
        <v>1</v>
      </c>
      <c r="O22" s="5"/>
      <c r="P22" s="96" t="s">
        <v>74</v>
      </c>
      <c r="Q22" s="97"/>
      <c r="R22" s="28">
        <f>SUM(R17:R21)</f>
        <v>930</v>
      </c>
      <c r="S22" s="104">
        <f>SUM(S17:S21)</f>
        <v>1092600</v>
      </c>
      <c r="T22" s="105">
        <f t="shared" si="1"/>
        <v>1174.8387096774193</v>
      </c>
      <c r="U22" s="106">
        <f>SUMPRODUCT(R17:R21,U17:U21)</f>
        <v>902250</v>
      </c>
      <c r="V22" s="107">
        <f>SUMPRODUCT(R17:R21,V17:V21)</f>
        <v>974250</v>
      </c>
      <c r="W22" s="5"/>
      <c r="X22" s="103" t="s">
        <v>76</v>
      </c>
      <c r="Y22" s="5"/>
      <c r="Z22" s="5"/>
      <c r="AA22" s="5"/>
    </row>
    <row r="23" spans="3:27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 s="4" t="s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3:27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  <c r="N24" s="4" t="s">
        <v>1</v>
      </c>
      <c r="O24" s="11" t="s">
        <v>77</v>
      </c>
      <c r="P24" s="51" t="s">
        <v>78</v>
      </c>
      <c r="Q24" s="52"/>
      <c r="R24" s="52"/>
      <c r="S24" s="59" t="s">
        <v>37</v>
      </c>
      <c r="T24" s="108" t="s">
        <v>79</v>
      </c>
      <c r="U24" s="108"/>
      <c r="V24" s="108"/>
      <c r="W24" s="109" t="s">
        <v>80</v>
      </c>
      <c r="X24" s="108" t="s">
        <v>81</v>
      </c>
      <c r="Y24" s="108"/>
      <c r="Z24" s="108"/>
      <c r="AA24" s="110" t="s">
        <v>82</v>
      </c>
    </row>
    <row r="25" spans="3:2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  <c r="N25" s="4" t="s">
        <v>1</v>
      </c>
      <c r="S25" s="6" t="s">
        <v>37</v>
      </c>
      <c r="T25" s="111">
        <f>V22</f>
        <v>974250</v>
      </c>
      <c r="W25" s="10" t="s">
        <v>80</v>
      </c>
      <c r="X25" s="112">
        <f>U22</f>
        <v>902250</v>
      </c>
      <c r="Y25" s="5"/>
      <c r="Z25" s="5"/>
      <c r="AA25" s="44" t="s">
        <v>82</v>
      </c>
    </row>
    <row r="26" spans="3:2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4" t="s">
        <v>1</v>
      </c>
      <c r="O26" s="5"/>
      <c r="P26" s="5"/>
      <c r="Q26" s="5"/>
      <c r="R26" s="5"/>
      <c r="S26" s="6" t="s">
        <v>37</v>
      </c>
      <c r="T26" s="113">
        <f>T25/X25 - 1</f>
        <v>7.9800498753117122E-2</v>
      </c>
      <c r="U26" s="5"/>
      <c r="V26" s="5"/>
      <c r="W26" s="5"/>
      <c r="X26" s="5"/>
      <c r="Y26" s="5"/>
      <c r="Z26" s="5"/>
      <c r="AA26" s="5"/>
    </row>
    <row r="27" spans="3:2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4" t="s">
        <v>1</v>
      </c>
      <c r="O27" s="5"/>
      <c r="P27" s="5"/>
      <c r="Q27" s="5"/>
      <c r="R27" s="5"/>
      <c r="S27" s="5"/>
      <c r="T27" s="42" t="s">
        <v>32</v>
      </c>
      <c r="U27" s="5"/>
      <c r="V27" s="5"/>
      <c r="W27" s="5"/>
      <c r="X27" s="5"/>
      <c r="Y27" s="5"/>
      <c r="Z27" s="5"/>
      <c r="AA27" s="5"/>
    </row>
    <row r="28" spans="3:2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4" t="s">
        <v>1</v>
      </c>
    </row>
    <row r="29" spans="3:2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 s="4" t="s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5"/>
      <c r="D31" s="5"/>
      <c r="E31" s="5"/>
      <c r="F31" s="5"/>
      <c r="G31" s="5"/>
      <c r="H31" s="5"/>
      <c r="I31" s="5"/>
      <c r="J31" s="5"/>
      <c r="K31" s="5"/>
      <c r="L31" s="90"/>
      <c r="M31" s="7"/>
      <c r="N31" s="4" t="s">
        <v>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5"/>
      <c r="D32" s="5"/>
      <c r="E32" s="5"/>
      <c r="F32" s="5"/>
      <c r="G32" s="5"/>
      <c r="H32" s="5"/>
      <c r="I32" s="5"/>
      <c r="J32" s="5"/>
      <c r="K32" s="5"/>
      <c r="L32" s="90"/>
      <c r="M32" s="7"/>
      <c r="N32" s="4" t="s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90"/>
      <c r="M33" s="7"/>
      <c r="N33" s="4" t="s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N34" s="4" t="s">
        <v>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N35" s="4" t="s">
        <v>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N36" s="4" t="s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N38" s="4" t="s">
        <v>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 t="s">
        <v>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4" t="s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4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4" t="s">
        <v>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4" t="s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4" t="s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4" t="s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3" width="12" style="2" customWidth="1"/>
    <col min="4" max="5" width="9.140625" style="2" customWidth="1"/>
    <col min="6" max="6" width="12" style="2" customWidth="1"/>
    <col min="7" max="7" width="9.140625" style="2" customWidth="1"/>
    <col min="8" max="8" width="8.28515625" style="2" customWidth="1"/>
    <col min="9" max="9" width="9.140625" style="2"/>
    <col min="10" max="10" width="8.28515625" style="2" customWidth="1"/>
    <col min="11" max="11" width="9.140625" style="2" customWidth="1"/>
    <col min="12" max="12" width="8.28515625" style="2" customWidth="1"/>
    <col min="13" max="13" width="6.28515625" style="2" customWidth="1"/>
    <col min="14" max="14" width="9.140625" style="2" customWidth="1"/>
    <col min="15" max="15" width="12" style="2" customWidth="1"/>
    <col min="16" max="17" width="9.140625" style="2" customWidth="1"/>
    <col min="18" max="18" width="12" style="2" customWidth="1"/>
    <col min="19" max="19" width="9.140625" style="2" customWidth="1"/>
    <col min="20" max="20" width="8.28515625" style="2" customWidth="1"/>
    <col min="21" max="21" width="9.140625" style="2" customWidth="1"/>
    <col min="22" max="22" width="8.28515625" style="2" customWidth="1"/>
    <col min="23" max="23" width="9.140625" style="2" customWidth="1"/>
    <col min="24" max="24" width="8.28515625" style="2" customWidth="1"/>
    <col min="25" max="27" width="4.7109375" style="2" customWidth="1"/>
    <col min="28" max="16384" width="9.140625" style="2"/>
  </cols>
  <sheetData>
    <row r="1" spans="1:27" x14ac:dyDescent="0.25">
      <c r="A1" s="1" t="s">
        <v>0</v>
      </c>
      <c r="C1" t="s">
        <v>41</v>
      </c>
      <c r="D1" s="3"/>
      <c r="E1" s="3"/>
      <c r="L1" s="213" t="s">
        <v>211</v>
      </c>
      <c r="M1" s="213"/>
      <c r="N1" s="4" t="s">
        <v>1</v>
      </c>
    </row>
    <row r="2" spans="1:27" x14ac:dyDescent="0.25">
      <c r="A2" s="1" t="s">
        <v>2</v>
      </c>
      <c r="C2" s="2" t="s">
        <v>3</v>
      </c>
      <c r="N2" s="4" t="s">
        <v>1</v>
      </c>
    </row>
    <row r="3" spans="1:27" x14ac:dyDescent="0.25">
      <c r="A3" s="1" t="s">
        <v>4</v>
      </c>
      <c r="C3" s="2" t="s">
        <v>83</v>
      </c>
      <c r="N3" s="4" t="s">
        <v>1</v>
      </c>
      <c r="O3" s="2" t="s">
        <v>84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</row>
    <row r="5" spans="1:27" x14ac:dyDescent="0.25">
      <c r="A5" s="8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7"/>
      <c r="N5" s="4" t="s">
        <v>1</v>
      </c>
      <c r="O5" s="5" t="s">
        <v>86</v>
      </c>
      <c r="P5" s="123">
        <v>0.11224489795918369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124" t="s">
        <v>88</v>
      </c>
      <c r="D6" s="5"/>
      <c r="E6" s="5"/>
      <c r="F6" s="5"/>
      <c r="G6" s="5"/>
      <c r="H6" s="5"/>
      <c r="I6" s="5"/>
      <c r="J6" s="5"/>
      <c r="K6" s="5"/>
      <c r="L6" s="5"/>
      <c r="M6" s="7"/>
      <c r="N6" s="4" t="s">
        <v>1</v>
      </c>
      <c r="O6" s="5" t="s">
        <v>89</v>
      </c>
      <c r="P6" s="123">
        <v>-7.3394495412844152E-2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4" t="s">
        <v>1</v>
      </c>
      <c r="O7" s="5" t="s">
        <v>91</v>
      </c>
      <c r="P7" s="123">
        <v>3.0612244897959107E-2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M8" s="7"/>
      <c r="N8" s="4" t="s">
        <v>1</v>
      </c>
      <c r="Y8" s="5"/>
      <c r="Z8" s="5"/>
      <c r="AA8" s="5"/>
    </row>
    <row r="9" spans="1:27" x14ac:dyDescent="0.25">
      <c r="A9" s="8" t="s">
        <v>19</v>
      </c>
      <c r="B9" s="7"/>
      <c r="C9" s="17" t="s">
        <v>93</v>
      </c>
      <c r="D9" s="18"/>
      <c r="E9" s="18" t="s">
        <v>94</v>
      </c>
      <c r="F9" s="19"/>
      <c r="G9" s="24"/>
      <c r="H9" s="19" t="s">
        <v>95</v>
      </c>
      <c r="I9" s="24"/>
      <c r="J9" s="19" t="s">
        <v>95</v>
      </c>
      <c r="K9" s="125"/>
      <c r="L9" s="19" t="s">
        <v>95</v>
      </c>
      <c r="M9" s="7"/>
      <c r="N9" s="4" t="s">
        <v>1</v>
      </c>
      <c r="O9" s="17" t="s">
        <v>93</v>
      </c>
      <c r="P9" s="18"/>
      <c r="Q9" s="18" t="s">
        <v>94</v>
      </c>
      <c r="R9" s="19"/>
      <c r="S9" s="24"/>
      <c r="T9" s="19" t="s">
        <v>95</v>
      </c>
      <c r="U9" s="24"/>
      <c r="V9" s="19" t="s">
        <v>95</v>
      </c>
      <c r="W9" s="125"/>
      <c r="X9" s="19" t="s">
        <v>95</v>
      </c>
      <c r="Y9" s="5"/>
      <c r="Z9" s="5"/>
      <c r="AA9" s="5"/>
    </row>
    <row r="10" spans="1:27" x14ac:dyDescent="0.25">
      <c r="A10" s="7"/>
      <c r="B10" s="7"/>
      <c r="C10" s="20" t="s">
        <v>96</v>
      </c>
      <c r="D10" s="21" t="s">
        <v>97</v>
      </c>
      <c r="E10" s="21" t="s">
        <v>98</v>
      </c>
      <c r="F10" s="23" t="s">
        <v>99</v>
      </c>
      <c r="G10" s="26"/>
      <c r="H10" s="23" t="s">
        <v>100</v>
      </c>
      <c r="I10" s="26"/>
      <c r="J10" s="23" t="s">
        <v>100</v>
      </c>
      <c r="K10" s="126" t="s">
        <v>101</v>
      </c>
      <c r="L10" s="23" t="s">
        <v>100</v>
      </c>
      <c r="M10" s="7"/>
      <c r="N10" s="4" t="s">
        <v>1</v>
      </c>
      <c r="O10" s="20" t="s">
        <v>96</v>
      </c>
      <c r="P10" s="21" t="s">
        <v>97</v>
      </c>
      <c r="Q10" s="21" t="s">
        <v>98</v>
      </c>
      <c r="R10" s="23" t="s">
        <v>99</v>
      </c>
      <c r="S10" s="26"/>
      <c r="T10" s="23" t="s">
        <v>100</v>
      </c>
      <c r="U10" s="26"/>
      <c r="V10" s="23" t="s">
        <v>100</v>
      </c>
      <c r="W10" s="126" t="s">
        <v>101</v>
      </c>
      <c r="X10" s="23" t="s">
        <v>100</v>
      </c>
      <c r="Y10" s="5"/>
      <c r="Z10" s="5"/>
      <c r="AA10" s="5"/>
    </row>
    <row r="11" spans="1:27" x14ac:dyDescent="0.25">
      <c r="A11" s="7"/>
      <c r="B11" s="7"/>
      <c r="C11" s="27" t="s">
        <v>102</v>
      </c>
      <c r="D11" s="28" t="s">
        <v>87</v>
      </c>
      <c r="E11" s="28" t="s">
        <v>90</v>
      </c>
      <c r="F11" s="29" t="s">
        <v>92</v>
      </c>
      <c r="G11" s="127" t="s">
        <v>103</v>
      </c>
      <c r="H11" s="29" t="s">
        <v>104</v>
      </c>
      <c r="I11" s="127" t="s">
        <v>105</v>
      </c>
      <c r="J11" s="29" t="s">
        <v>104</v>
      </c>
      <c r="K11" s="128" t="s">
        <v>106</v>
      </c>
      <c r="L11" s="29" t="s">
        <v>104</v>
      </c>
      <c r="M11" s="7"/>
      <c r="N11" s="4" t="s">
        <v>1</v>
      </c>
      <c r="O11" s="27" t="s">
        <v>102</v>
      </c>
      <c r="P11" s="28" t="s">
        <v>87</v>
      </c>
      <c r="Q11" s="28" t="s">
        <v>90</v>
      </c>
      <c r="R11" s="29" t="s">
        <v>92</v>
      </c>
      <c r="S11" s="127" t="s">
        <v>103</v>
      </c>
      <c r="T11" s="29" t="s">
        <v>104</v>
      </c>
      <c r="U11" s="127" t="s">
        <v>105</v>
      </c>
      <c r="V11" s="29" t="s">
        <v>104</v>
      </c>
      <c r="W11" s="128" t="s">
        <v>106</v>
      </c>
      <c r="X11" s="29" t="s">
        <v>104</v>
      </c>
      <c r="Y11" s="5"/>
      <c r="Z11" s="5"/>
      <c r="AA11" s="5"/>
    </row>
    <row r="12" spans="1:27" x14ac:dyDescent="0.25">
      <c r="A12" s="7"/>
      <c r="B12" s="7"/>
      <c r="C12" s="129" t="s">
        <v>107</v>
      </c>
      <c r="D12" s="21">
        <v>125000</v>
      </c>
      <c r="E12" s="21">
        <v>5900</v>
      </c>
      <c r="F12" s="23">
        <v>7100000</v>
      </c>
      <c r="G12" s="130">
        <v>4.7199999999999999E-2</v>
      </c>
      <c r="H12" s="25" t="s">
        <v>108</v>
      </c>
      <c r="I12" s="63">
        <v>1203.3898305084747</v>
      </c>
      <c r="J12" s="25" t="s">
        <v>108</v>
      </c>
      <c r="K12" s="131">
        <v>56.8</v>
      </c>
      <c r="L12" s="25" t="s">
        <v>108</v>
      </c>
      <c r="M12" s="7"/>
      <c r="N12" s="4" t="s">
        <v>1</v>
      </c>
      <c r="O12" s="129" t="s">
        <v>107</v>
      </c>
      <c r="P12" s="21">
        <f t="shared" ref="P12:R27" si="0">D12</f>
        <v>125000</v>
      </c>
      <c r="Q12" s="21">
        <f t="shared" si="0"/>
        <v>5900</v>
      </c>
      <c r="R12" s="23">
        <f t="shared" si="0"/>
        <v>7100000</v>
      </c>
      <c r="S12" s="132">
        <f>Q12/P12</f>
        <v>4.7199999999999999E-2</v>
      </c>
      <c r="T12" s="25"/>
      <c r="U12" s="63">
        <f>R12/Q12</f>
        <v>1203.3898305084747</v>
      </c>
      <c r="V12" s="25"/>
      <c r="W12" s="131">
        <f>S12*U12</f>
        <v>56.800000000000004</v>
      </c>
      <c r="X12" s="25"/>
      <c r="Y12" s="5"/>
      <c r="Z12" s="5"/>
      <c r="AA12" s="5"/>
    </row>
    <row r="13" spans="1:27" x14ac:dyDescent="0.25">
      <c r="A13" s="8"/>
      <c r="B13" s="7"/>
      <c r="C13" s="129" t="s">
        <v>109</v>
      </c>
      <c r="D13" s="21">
        <v>124494.62730613508</v>
      </c>
      <c r="E13" s="21">
        <v>6046.5767409026857</v>
      </c>
      <c r="F13" s="23">
        <v>7139036.8746010745</v>
      </c>
      <c r="G13" s="132">
        <v>4.8568977406824296E-2</v>
      </c>
      <c r="H13" s="25" t="s">
        <v>108</v>
      </c>
      <c r="I13" s="63">
        <v>1180.6741534111907</v>
      </c>
      <c r="J13" s="25" t="s">
        <v>108</v>
      </c>
      <c r="K13" s="131">
        <v>57.344136281849522</v>
      </c>
      <c r="L13" s="25" t="s">
        <v>108</v>
      </c>
      <c r="M13" s="7"/>
      <c r="N13" s="4" t="s">
        <v>1</v>
      </c>
      <c r="O13" s="129" t="s">
        <v>109</v>
      </c>
      <c r="P13" s="21">
        <f t="shared" si="0"/>
        <v>124494.62730613508</v>
      </c>
      <c r="Q13" s="21">
        <f t="shared" si="0"/>
        <v>6046.5767409026857</v>
      </c>
      <c r="R13" s="23">
        <f t="shared" si="0"/>
        <v>7139036.8746010745</v>
      </c>
      <c r="S13" s="132">
        <f t="shared" ref="S13:S27" si="1">Q13/P13</f>
        <v>4.8568977406824296E-2</v>
      </c>
      <c r="T13" s="25"/>
      <c r="U13" s="63">
        <f t="shared" ref="U13:U27" si="2">R13/Q13</f>
        <v>1180.6741534111907</v>
      </c>
      <c r="V13" s="25"/>
      <c r="W13" s="131">
        <f t="shared" ref="W13:W27" si="3">S13*U13</f>
        <v>57.344136281849522</v>
      </c>
      <c r="X13" s="25"/>
      <c r="Y13" s="5"/>
      <c r="Z13" s="5"/>
      <c r="AA13" s="5"/>
    </row>
    <row r="14" spans="1:27" x14ac:dyDescent="0.25">
      <c r="A14" s="7"/>
      <c r="B14" s="7"/>
      <c r="C14" s="129" t="s">
        <v>110</v>
      </c>
      <c r="D14" s="21">
        <v>124486.76754632521</v>
      </c>
      <c r="E14" s="21">
        <v>6190.6167031435525</v>
      </c>
      <c r="F14" s="23">
        <v>7185445.1977730943</v>
      </c>
      <c r="G14" s="132">
        <v>4.9729114388321158E-2</v>
      </c>
      <c r="H14" s="25" t="s">
        <v>108</v>
      </c>
      <c r="I14" s="63">
        <v>1160.6994169295565</v>
      </c>
      <c r="J14" s="25" t="s">
        <v>108</v>
      </c>
      <c r="K14" s="131">
        <v>57.720554074947586</v>
      </c>
      <c r="L14" s="25" t="s">
        <v>108</v>
      </c>
      <c r="M14" s="7"/>
      <c r="N14" s="4" t="s">
        <v>1</v>
      </c>
      <c r="O14" s="129" t="s">
        <v>110</v>
      </c>
      <c r="P14" s="21">
        <f t="shared" si="0"/>
        <v>124486.76754632521</v>
      </c>
      <c r="Q14" s="21">
        <f t="shared" si="0"/>
        <v>6190.6167031435525</v>
      </c>
      <c r="R14" s="23">
        <f t="shared" si="0"/>
        <v>7185445.1977730943</v>
      </c>
      <c r="S14" s="132">
        <f t="shared" si="1"/>
        <v>4.9729114388321158E-2</v>
      </c>
      <c r="T14" s="25"/>
      <c r="U14" s="63">
        <f t="shared" si="2"/>
        <v>1160.6994169295565</v>
      </c>
      <c r="V14" s="25"/>
      <c r="W14" s="131">
        <f t="shared" si="3"/>
        <v>57.720554074947586</v>
      </c>
      <c r="X14" s="25"/>
      <c r="Y14" s="5"/>
      <c r="Z14" s="5"/>
      <c r="AA14" s="5"/>
    </row>
    <row r="15" spans="1:27" x14ac:dyDescent="0.25">
      <c r="A15" s="7"/>
      <c r="B15" s="7"/>
      <c r="C15" s="133" t="s">
        <v>111</v>
      </c>
      <c r="D15" s="28">
        <v>123240.31218041242</v>
      </c>
      <c r="E15" s="28">
        <v>6293.8098880014404</v>
      </c>
      <c r="F15" s="29">
        <v>7210545.1793288663</v>
      </c>
      <c r="G15" s="134">
        <v>5.1069408837490483E-2</v>
      </c>
      <c r="H15" s="135" t="s">
        <v>108</v>
      </c>
      <c r="I15" s="72">
        <v>1145.6566543382723</v>
      </c>
      <c r="J15" s="135" t="s">
        <v>108</v>
      </c>
      <c r="K15" s="136">
        <v>58.508008067792744</v>
      </c>
      <c r="L15" s="135" t="s">
        <v>108</v>
      </c>
      <c r="M15" s="7"/>
      <c r="N15" s="4" t="s">
        <v>1</v>
      </c>
      <c r="O15" s="133" t="s">
        <v>111</v>
      </c>
      <c r="P15" s="28">
        <f t="shared" si="0"/>
        <v>123240.31218041242</v>
      </c>
      <c r="Q15" s="28">
        <f t="shared" si="0"/>
        <v>6293.8098880014404</v>
      </c>
      <c r="R15" s="29">
        <f t="shared" si="0"/>
        <v>7210545.1793288663</v>
      </c>
      <c r="S15" s="134">
        <f t="shared" si="1"/>
        <v>5.1069408837490483E-2</v>
      </c>
      <c r="T15" s="135"/>
      <c r="U15" s="72">
        <f t="shared" si="2"/>
        <v>1145.6566543382723</v>
      </c>
      <c r="V15" s="135"/>
      <c r="W15" s="136">
        <f t="shared" si="3"/>
        <v>58.508008067792744</v>
      </c>
      <c r="X15" s="135"/>
      <c r="Y15" s="5"/>
      <c r="Z15" s="5"/>
      <c r="AA15" s="5"/>
    </row>
    <row r="16" spans="1:27" x14ac:dyDescent="0.25">
      <c r="C16" s="129" t="s">
        <v>112</v>
      </c>
      <c r="D16" s="21">
        <v>122987.29274081248</v>
      </c>
      <c r="E16" s="21">
        <v>6463.0320061603516</v>
      </c>
      <c r="F16" s="23">
        <v>7257418.3523922069</v>
      </c>
      <c r="G16" s="130">
        <v>5.255040469734349E-2</v>
      </c>
      <c r="H16" s="137">
        <v>0.11335603172337905</v>
      </c>
      <c r="I16" s="63">
        <v>1122.9123336345344</v>
      </c>
      <c r="J16" s="138">
        <v>-6.6875666416372881E-2</v>
      </c>
      <c r="K16" s="131">
        <v>59.009497572133178</v>
      </c>
      <c r="L16" s="138">
        <v>3.8899605143189797E-2</v>
      </c>
      <c r="M16" s="7"/>
      <c r="N16" s="4" t="s">
        <v>1</v>
      </c>
      <c r="O16" s="129" t="s">
        <v>112</v>
      </c>
      <c r="P16" s="21">
        <f t="shared" si="0"/>
        <v>122987.29274081248</v>
      </c>
      <c r="Q16" s="21">
        <f t="shared" si="0"/>
        <v>6463.0320061603516</v>
      </c>
      <c r="R16" s="23">
        <f t="shared" si="0"/>
        <v>7257418.3523922069</v>
      </c>
      <c r="S16" s="132">
        <f t="shared" si="1"/>
        <v>5.255040469734349E-2</v>
      </c>
      <c r="T16" s="138">
        <f t="shared" ref="T16:T27" si="4">S16/S12-1</f>
        <v>0.11335603172337905</v>
      </c>
      <c r="U16" s="63">
        <f t="shared" si="2"/>
        <v>1122.9123336345344</v>
      </c>
      <c r="V16" s="138">
        <f t="shared" ref="V16:V27" si="5">U16/U12-1</f>
        <v>-6.6875666416372881E-2</v>
      </c>
      <c r="W16" s="131">
        <f t="shared" si="3"/>
        <v>59.009497572133178</v>
      </c>
      <c r="X16" s="138">
        <f>W16/W12-1</f>
        <v>3.8899605143189575E-2</v>
      </c>
      <c r="Y16" s="5"/>
      <c r="Z16" s="5"/>
      <c r="AA16" s="5"/>
    </row>
    <row r="17" spans="3:27" x14ac:dyDescent="0.25">
      <c r="C17" s="129" t="s">
        <v>113</v>
      </c>
      <c r="D17" s="21">
        <v>122367.6896955683</v>
      </c>
      <c r="E17" s="21">
        <v>6590.5775159522263</v>
      </c>
      <c r="F17" s="23">
        <v>7297320.7369203577</v>
      </c>
      <c r="G17" s="132">
        <v>5.3858804822976995E-2</v>
      </c>
      <c r="H17" s="138">
        <v>0.10891370785602406</v>
      </c>
      <c r="I17" s="63">
        <v>1107.235400730435</v>
      </c>
      <c r="J17" s="138">
        <v>-6.2200694805232493E-2</v>
      </c>
      <c r="K17" s="131">
        <v>59.634375341031216</v>
      </c>
      <c r="L17" s="138">
        <v>3.9938504748332937E-2</v>
      </c>
      <c r="M17" s="7"/>
      <c r="N17" s="4" t="s">
        <v>1</v>
      </c>
      <c r="O17" s="129" t="s">
        <v>113</v>
      </c>
      <c r="P17" s="21">
        <f t="shared" si="0"/>
        <v>122367.6896955683</v>
      </c>
      <c r="Q17" s="21">
        <f t="shared" si="0"/>
        <v>6590.5775159522263</v>
      </c>
      <c r="R17" s="23">
        <f t="shared" si="0"/>
        <v>7297320.7369203577</v>
      </c>
      <c r="S17" s="132">
        <f t="shared" si="1"/>
        <v>5.3858804822976995E-2</v>
      </c>
      <c r="T17" s="138">
        <f t="shared" si="4"/>
        <v>0.10891370785602406</v>
      </c>
      <c r="U17" s="63">
        <f t="shared" si="2"/>
        <v>1107.235400730435</v>
      </c>
      <c r="V17" s="138">
        <f t="shared" si="5"/>
        <v>-6.2200694805232493E-2</v>
      </c>
      <c r="W17" s="131">
        <f t="shared" si="3"/>
        <v>59.634375341031216</v>
      </c>
      <c r="X17" s="138">
        <f t="shared" ref="X17:X27" si="6">W17/W13-1</f>
        <v>3.9938504748332937E-2</v>
      </c>
      <c r="Y17" s="5"/>
      <c r="Z17" s="5"/>
      <c r="AA17" s="5"/>
    </row>
    <row r="18" spans="3:27" x14ac:dyDescent="0.25">
      <c r="C18" s="129" t="s">
        <v>114</v>
      </c>
      <c r="D18" s="21">
        <v>121751.20817552498</v>
      </c>
      <c r="E18" s="21">
        <v>6734.108305097071</v>
      </c>
      <c r="F18" s="23">
        <v>7278918.5426161233</v>
      </c>
      <c r="G18" s="132">
        <v>5.5310402303266788E-2</v>
      </c>
      <c r="H18" s="138">
        <v>0.1122338087777488</v>
      </c>
      <c r="I18" s="63">
        <v>1080.9030999852919</v>
      </c>
      <c r="J18" s="138">
        <v>-6.8748476806642089E-2</v>
      </c>
      <c r="K18" s="131">
        <v>59.785185311034695</v>
      </c>
      <c r="L18" s="138">
        <v>3.5769428571428508E-2</v>
      </c>
      <c r="M18" s="7"/>
      <c r="N18" s="4" t="s">
        <v>1</v>
      </c>
      <c r="O18" s="129" t="s">
        <v>114</v>
      </c>
      <c r="P18" s="21">
        <f t="shared" si="0"/>
        <v>121751.20817552498</v>
      </c>
      <c r="Q18" s="21">
        <f t="shared" si="0"/>
        <v>6734.108305097071</v>
      </c>
      <c r="R18" s="23">
        <f t="shared" si="0"/>
        <v>7278918.5426161233</v>
      </c>
      <c r="S18" s="132">
        <f t="shared" si="1"/>
        <v>5.5310402303266788E-2</v>
      </c>
      <c r="T18" s="138">
        <f t="shared" si="4"/>
        <v>0.1122338087777488</v>
      </c>
      <c r="U18" s="63">
        <f t="shared" si="2"/>
        <v>1080.9030999852919</v>
      </c>
      <c r="V18" s="138">
        <f t="shared" si="5"/>
        <v>-6.8748476806642089E-2</v>
      </c>
      <c r="W18" s="131">
        <f t="shared" si="3"/>
        <v>59.785185311034702</v>
      </c>
      <c r="X18" s="138">
        <f t="shared" si="6"/>
        <v>3.5769428571428508E-2</v>
      </c>
      <c r="Y18" s="5"/>
      <c r="Z18" s="5"/>
      <c r="AA18" s="5"/>
    </row>
    <row r="19" spans="3:27" x14ac:dyDescent="0.25">
      <c r="C19" s="133" t="s">
        <v>115</v>
      </c>
      <c r="D19" s="28">
        <v>121622.38378443306</v>
      </c>
      <c r="E19" s="28">
        <v>6853.2418739926461</v>
      </c>
      <c r="F19" s="29">
        <v>7275156.8504774636</v>
      </c>
      <c r="G19" s="134">
        <v>5.6348524512885106E-2</v>
      </c>
      <c r="H19" s="139">
        <v>0.1033713879906748</v>
      </c>
      <c r="I19" s="72">
        <v>1061.5642909213436</v>
      </c>
      <c r="J19" s="139">
        <v>-7.3401016874030334E-2</v>
      </c>
      <c r="K19" s="136">
        <v>59.817581468984827</v>
      </c>
      <c r="L19" s="139">
        <v>2.2382806122448917E-2</v>
      </c>
      <c r="M19" s="7"/>
      <c r="N19" s="4" t="s">
        <v>1</v>
      </c>
      <c r="O19" s="133" t="s">
        <v>115</v>
      </c>
      <c r="P19" s="28">
        <f t="shared" si="0"/>
        <v>121622.38378443306</v>
      </c>
      <c r="Q19" s="28">
        <f t="shared" si="0"/>
        <v>6853.2418739926461</v>
      </c>
      <c r="R19" s="29">
        <f t="shared" si="0"/>
        <v>7275156.8504774636</v>
      </c>
      <c r="S19" s="134">
        <f t="shared" si="1"/>
        <v>5.6348524512885106E-2</v>
      </c>
      <c r="T19" s="139">
        <f t="shared" si="4"/>
        <v>0.1033713879906748</v>
      </c>
      <c r="U19" s="72">
        <f t="shared" si="2"/>
        <v>1061.5642909213436</v>
      </c>
      <c r="V19" s="139">
        <f t="shared" si="5"/>
        <v>-7.3401016874030334E-2</v>
      </c>
      <c r="W19" s="136">
        <f t="shared" si="3"/>
        <v>59.817581468984827</v>
      </c>
      <c r="X19" s="139">
        <f t="shared" si="6"/>
        <v>2.2382806122448917E-2</v>
      </c>
      <c r="Y19" s="5"/>
      <c r="Z19" s="5"/>
      <c r="AA19" s="5"/>
    </row>
    <row r="20" spans="3:27" x14ac:dyDescent="0.25">
      <c r="C20" s="129" t="s">
        <v>116</v>
      </c>
      <c r="D20" s="21">
        <v>121372.68604476085</v>
      </c>
      <c r="E20" s="21">
        <v>6988.4880290035226</v>
      </c>
      <c r="F20" s="23">
        <v>7307863.4870196963</v>
      </c>
      <c r="G20" s="132">
        <v>5.757875397456598E-2</v>
      </c>
      <c r="H20" s="138">
        <v>9.5686214143973602E-2</v>
      </c>
      <c r="I20" s="63">
        <v>1045.7002225217682</v>
      </c>
      <c r="J20" s="138">
        <v>-6.8760586913186317E-2</v>
      </c>
      <c r="K20" s="131">
        <v>60.210115843729788</v>
      </c>
      <c r="L20" s="138">
        <v>2.034618698674695E-2</v>
      </c>
      <c r="M20" s="7"/>
      <c r="N20" s="4" t="s">
        <v>1</v>
      </c>
      <c r="O20" s="129" t="s">
        <v>116</v>
      </c>
      <c r="P20" s="21">
        <f t="shared" si="0"/>
        <v>121372.68604476085</v>
      </c>
      <c r="Q20" s="21">
        <f t="shared" si="0"/>
        <v>6988.4880290035226</v>
      </c>
      <c r="R20" s="23">
        <f t="shared" si="0"/>
        <v>7307863.4870196963</v>
      </c>
      <c r="S20" s="132">
        <f t="shared" si="1"/>
        <v>5.757875397456598E-2</v>
      </c>
      <c r="T20" s="138">
        <f t="shared" si="4"/>
        <v>9.5686214143973602E-2</v>
      </c>
      <c r="U20" s="63">
        <f t="shared" si="2"/>
        <v>1045.7002225217682</v>
      </c>
      <c r="V20" s="138">
        <f t="shared" si="5"/>
        <v>-6.8760586913186317E-2</v>
      </c>
      <c r="W20" s="131">
        <f t="shared" si="3"/>
        <v>60.210115843729788</v>
      </c>
      <c r="X20" s="138">
        <f t="shared" si="6"/>
        <v>2.034618698674695E-2</v>
      </c>
      <c r="Y20" s="5"/>
      <c r="Z20" s="5"/>
      <c r="AA20" s="5"/>
    </row>
    <row r="21" spans="3:27" x14ac:dyDescent="0.25">
      <c r="C21" s="129" t="s">
        <v>117</v>
      </c>
      <c r="D21" s="21">
        <v>120519.69486240536</v>
      </c>
      <c r="E21" s="21">
        <v>7169.2473236106189</v>
      </c>
      <c r="F21" s="23">
        <v>7333391.0964701371</v>
      </c>
      <c r="G21" s="132">
        <v>5.9486105833536904E-2</v>
      </c>
      <c r="H21" s="138">
        <v>0.10448247095448382</v>
      </c>
      <c r="I21" s="63">
        <v>1022.8955377671155</v>
      </c>
      <c r="J21" s="138">
        <v>-7.617157373010397E-2</v>
      </c>
      <c r="K21" s="140">
        <v>60.848072216267269</v>
      </c>
      <c r="L21" s="138">
        <v>2.0352302984566917E-2</v>
      </c>
      <c r="M21" s="7"/>
      <c r="N21" s="4" t="s">
        <v>1</v>
      </c>
      <c r="O21" s="129" t="s">
        <v>117</v>
      </c>
      <c r="P21" s="21">
        <f t="shared" si="0"/>
        <v>120519.69486240536</v>
      </c>
      <c r="Q21" s="21">
        <f t="shared" si="0"/>
        <v>7169.2473236106189</v>
      </c>
      <c r="R21" s="23">
        <f t="shared" si="0"/>
        <v>7333391.0964701371</v>
      </c>
      <c r="S21" s="132">
        <f t="shared" si="1"/>
        <v>5.9486105833536904E-2</v>
      </c>
      <c r="T21" s="138">
        <f t="shared" si="4"/>
        <v>0.10448247095448382</v>
      </c>
      <c r="U21" s="63">
        <f t="shared" si="2"/>
        <v>1022.8955377671155</v>
      </c>
      <c r="V21" s="138">
        <f t="shared" si="5"/>
        <v>-7.617157373010397E-2</v>
      </c>
      <c r="W21" s="131">
        <f t="shared" si="3"/>
        <v>60.848072216267276</v>
      </c>
      <c r="X21" s="138">
        <f t="shared" si="6"/>
        <v>2.0352302984567139E-2</v>
      </c>
      <c r="Y21" s="5"/>
      <c r="Z21" s="5"/>
      <c r="AA21" s="5"/>
    </row>
    <row r="22" spans="3:27" x14ac:dyDescent="0.25">
      <c r="C22" s="129" t="s">
        <v>118</v>
      </c>
      <c r="D22" s="21">
        <v>119432.87334237364</v>
      </c>
      <c r="E22" s="21">
        <v>7332.7058689760415</v>
      </c>
      <c r="F22" s="23">
        <v>7381062.8468658542</v>
      </c>
      <c r="G22" s="132">
        <v>6.139604334859846E-2</v>
      </c>
      <c r="H22" s="138">
        <v>0.11002706167212661</v>
      </c>
      <c r="I22" s="63">
        <v>1006.5946976128425</v>
      </c>
      <c r="J22" s="138">
        <v>-6.8746590118448636E-2</v>
      </c>
      <c r="K22" s="131">
        <v>61.800931689107436</v>
      </c>
      <c r="L22" s="138">
        <v>3.3716486242967081E-2</v>
      </c>
      <c r="M22" s="7"/>
      <c r="N22" s="4" t="s">
        <v>1</v>
      </c>
      <c r="O22" s="129" t="s">
        <v>118</v>
      </c>
      <c r="P22" s="21">
        <f t="shared" si="0"/>
        <v>119432.87334237364</v>
      </c>
      <c r="Q22" s="21">
        <f t="shared" si="0"/>
        <v>7332.7058689760415</v>
      </c>
      <c r="R22" s="23">
        <f t="shared" si="0"/>
        <v>7381062.8468658542</v>
      </c>
      <c r="S22" s="132">
        <f t="shared" si="1"/>
        <v>6.139604334859846E-2</v>
      </c>
      <c r="T22" s="138">
        <f t="shared" si="4"/>
        <v>0.11002706167212661</v>
      </c>
      <c r="U22" s="63">
        <f t="shared" si="2"/>
        <v>1006.5946976128425</v>
      </c>
      <c r="V22" s="138">
        <f t="shared" si="5"/>
        <v>-6.8746590118448636E-2</v>
      </c>
      <c r="W22" s="131">
        <f t="shared" si="3"/>
        <v>61.800931689107436</v>
      </c>
      <c r="X22" s="138">
        <f t="shared" si="6"/>
        <v>3.3716486242967081E-2</v>
      </c>
      <c r="Y22" s="5"/>
      <c r="Z22" s="5"/>
      <c r="AA22" s="5"/>
    </row>
    <row r="23" spans="3:27" x14ac:dyDescent="0.25">
      <c r="C23" s="133" t="s">
        <v>119</v>
      </c>
      <c r="D23" s="28">
        <v>119306.50197066201</v>
      </c>
      <c r="E23" s="28">
        <v>7514.8760602086704</v>
      </c>
      <c r="F23" s="29">
        <v>7369848.9205865813</v>
      </c>
      <c r="G23" s="134">
        <v>6.2987984192652058E-2</v>
      </c>
      <c r="H23" s="139">
        <v>0.11782845668387854</v>
      </c>
      <c r="I23" s="72">
        <v>980.70132648095034</v>
      </c>
      <c r="J23" s="139">
        <v>-7.6173402903569221E-2</v>
      </c>
      <c r="K23" s="136">
        <v>61.772399650095011</v>
      </c>
      <c r="L23" s="139">
        <v>3.2679659275822504E-2</v>
      </c>
      <c r="M23" s="7"/>
      <c r="N23" s="4" t="s">
        <v>1</v>
      </c>
      <c r="O23" s="133" t="s">
        <v>119</v>
      </c>
      <c r="P23" s="28">
        <f t="shared" si="0"/>
        <v>119306.50197066201</v>
      </c>
      <c r="Q23" s="28">
        <f t="shared" si="0"/>
        <v>7514.8760602086704</v>
      </c>
      <c r="R23" s="29">
        <f t="shared" si="0"/>
        <v>7369848.9205865813</v>
      </c>
      <c r="S23" s="134">
        <f t="shared" si="1"/>
        <v>6.2987984192652058E-2</v>
      </c>
      <c r="T23" s="139">
        <f t="shared" si="4"/>
        <v>0.11782845668387854</v>
      </c>
      <c r="U23" s="72">
        <f t="shared" si="2"/>
        <v>980.70132648095034</v>
      </c>
      <c r="V23" s="139">
        <f t="shared" si="5"/>
        <v>-7.6173402903569221E-2</v>
      </c>
      <c r="W23" s="136">
        <f t="shared" si="3"/>
        <v>61.772399650095004</v>
      </c>
      <c r="X23" s="139">
        <f t="shared" si="6"/>
        <v>3.2679659275822504E-2</v>
      </c>
      <c r="Y23" s="5"/>
      <c r="Z23" s="5"/>
      <c r="AA23" s="5"/>
    </row>
    <row r="24" spans="3:27" x14ac:dyDescent="0.25">
      <c r="C24" s="129" t="s">
        <v>120</v>
      </c>
      <c r="D24" s="21">
        <v>119061.55886937339</v>
      </c>
      <c r="E24" s="21">
        <v>7693.8934630037029</v>
      </c>
      <c r="F24" s="23">
        <v>7388204.8508427581</v>
      </c>
      <c r="G24" s="132">
        <v>6.4621138309174528E-2</v>
      </c>
      <c r="H24" s="138">
        <v>0.12230873105936535</v>
      </c>
      <c r="I24" s="141" t="s">
        <v>121</v>
      </c>
      <c r="J24" s="142" t="s">
        <v>121</v>
      </c>
      <c r="K24" s="131">
        <v>62.053654605250188</v>
      </c>
      <c r="L24" s="138">
        <v>3.061842243096069E-2</v>
      </c>
      <c r="M24" s="7"/>
      <c r="N24" s="4" t="s">
        <v>1</v>
      </c>
      <c r="O24" s="129" t="s">
        <v>120</v>
      </c>
      <c r="P24" s="21">
        <f t="shared" si="0"/>
        <v>119061.55886937339</v>
      </c>
      <c r="Q24" s="21">
        <f t="shared" si="0"/>
        <v>7693.8934630037029</v>
      </c>
      <c r="R24" s="23">
        <f t="shared" si="0"/>
        <v>7388204.8508427581</v>
      </c>
      <c r="S24" s="132">
        <f t="shared" si="1"/>
        <v>6.4621138309174528E-2</v>
      </c>
      <c r="T24" s="138">
        <f t="shared" si="4"/>
        <v>0.12230873105936535</v>
      </c>
      <c r="U24" s="141">
        <f t="shared" si="2"/>
        <v>960.26867104011035</v>
      </c>
      <c r="V24" s="142">
        <f t="shared" si="5"/>
        <v>-8.1697937555788802E-2</v>
      </c>
      <c r="W24" s="131">
        <f t="shared" si="3"/>
        <v>62.053654605250188</v>
      </c>
      <c r="X24" s="138">
        <f t="shared" si="6"/>
        <v>3.061842243096069E-2</v>
      </c>
      <c r="Y24" s="5"/>
      <c r="Z24" s="5"/>
      <c r="AA24" s="5"/>
    </row>
    <row r="25" spans="3:27" x14ac:dyDescent="0.25">
      <c r="C25" s="129" t="s">
        <v>122</v>
      </c>
      <c r="D25" s="21">
        <v>117987.88651619088</v>
      </c>
      <c r="E25" s="21">
        <v>7869.3139188606701</v>
      </c>
      <c r="F25" s="23">
        <v>7436232.9258340579</v>
      </c>
      <c r="G25" s="132">
        <v>6.6695947789358903E-2</v>
      </c>
      <c r="H25" s="138">
        <v>0.12120211694471439</v>
      </c>
      <c r="I25" s="141" t="s">
        <v>121</v>
      </c>
      <c r="J25" s="142" t="s">
        <v>121</v>
      </c>
      <c r="K25" s="140">
        <v>63.025393075530864</v>
      </c>
      <c r="L25" s="143">
        <v>3.5782906178603691E-2</v>
      </c>
      <c r="M25" s="7"/>
      <c r="N25" s="4" t="s">
        <v>1</v>
      </c>
      <c r="O25" s="129" t="s">
        <v>122</v>
      </c>
      <c r="P25" s="21">
        <f t="shared" si="0"/>
        <v>117987.88651619088</v>
      </c>
      <c r="Q25" s="21">
        <f t="shared" si="0"/>
        <v>7869.3139188606701</v>
      </c>
      <c r="R25" s="23">
        <f t="shared" si="0"/>
        <v>7436232.9258340579</v>
      </c>
      <c r="S25" s="132">
        <f t="shared" si="1"/>
        <v>6.6695947789358903E-2</v>
      </c>
      <c r="T25" s="138">
        <f t="shared" si="4"/>
        <v>0.12120211694471439</v>
      </c>
      <c r="U25" s="141">
        <f t="shared" si="2"/>
        <v>944.96585121752082</v>
      </c>
      <c r="V25" s="142">
        <f t="shared" si="5"/>
        <v>-7.6185381275303832E-2</v>
      </c>
      <c r="W25" s="131">
        <f t="shared" si="3"/>
        <v>63.025393075530864</v>
      </c>
      <c r="X25" s="138">
        <f t="shared" si="6"/>
        <v>3.5782906178603691E-2</v>
      </c>
      <c r="Y25" s="5"/>
      <c r="Z25" s="5"/>
      <c r="AA25" s="5"/>
    </row>
    <row r="26" spans="3:27" x14ac:dyDescent="0.25">
      <c r="C26" s="129" t="s">
        <v>123</v>
      </c>
      <c r="D26" s="21">
        <v>117745.6506081691</v>
      </c>
      <c r="E26" s="21">
        <v>8032.6525674055893</v>
      </c>
      <c r="F26" s="23">
        <v>7454754.1973589063</v>
      </c>
      <c r="G26" s="132">
        <v>6.8220376089614052E-2</v>
      </c>
      <c r="H26" s="138">
        <v>0.11115264712202944</v>
      </c>
      <c r="I26" s="141" t="s">
        <v>121</v>
      </c>
      <c r="J26" s="142" t="s">
        <v>121</v>
      </c>
      <c r="K26" s="131">
        <v>63.31235301562554</v>
      </c>
      <c r="L26" s="138">
        <v>2.4456287068961746E-2</v>
      </c>
      <c r="M26" s="7"/>
      <c r="N26" s="4" t="s">
        <v>1</v>
      </c>
      <c r="O26" s="129" t="s">
        <v>123</v>
      </c>
      <c r="P26" s="21">
        <f t="shared" si="0"/>
        <v>117745.6506081691</v>
      </c>
      <c r="Q26" s="21">
        <f t="shared" si="0"/>
        <v>8032.6525674055893</v>
      </c>
      <c r="R26" s="23">
        <f t="shared" si="0"/>
        <v>7454754.1973589063</v>
      </c>
      <c r="S26" s="132">
        <f t="shared" si="1"/>
        <v>6.8220376089614052E-2</v>
      </c>
      <c r="T26" s="138">
        <f t="shared" si="4"/>
        <v>0.11115264712202944</v>
      </c>
      <c r="U26" s="141">
        <f t="shared" si="2"/>
        <v>928.05634686708049</v>
      </c>
      <c r="V26" s="142">
        <f t="shared" si="5"/>
        <v>-7.8023807329819173E-2</v>
      </c>
      <c r="W26" s="131">
        <f t="shared" si="3"/>
        <v>63.31235301562554</v>
      </c>
      <c r="X26" s="138">
        <f t="shared" si="6"/>
        <v>2.4456287068961746E-2</v>
      </c>
      <c r="Y26" s="5"/>
      <c r="Z26" s="5"/>
      <c r="AA26" s="5"/>
    </row>
    <row r="27" spans="3:27" x14ac:dyDescent="0.25">
      <c r="C27" s="133" t="s">
        <v>124</v>
      </c>
      <c r="D27" s="28">
        <v>116566.6923870969</v>
      </c>
      <c r="E27" s="28">
        <v>8199.381538713531</v>
      </c>
      <c r="F27" s="29">
        <v>7495741.5642299112</v>
      </c>
      <c r="G27" s="134">
        <v>7.0340689701350254E-2</v>
      </c>
      <c r="H27" s="139">
        <v>0.11673187518129735</v>
      </c>
      <c r="I27" s="144" t="s">
        <v>121</v>
      </c>
      <c r="J27" s="145" t="s">
        <v>121</v>
      </c>
      <c r="K27" s="136">
        <v>64.304317217288016</v>
      </c>
      <c r="L27" s="139">
        <v>4.0987845405631829E-2</v>
      </c>
      <c r="M27" s="7"/>
      <c r="N27" s="4" t="s">
        <v>1</v>
      </c>
      <c r="O27" s="133" t="s">
        <v>124</v>
      </c>
      <c r="P27" s="28">
        <f t="shared" si="0"/>
        <v>116566.6923870969</v>
      </c>
      <c r="Q27" s="28">
        <f t="shared" si="0"/>
        <v>8199.381538713531</v>
      </c>
      <c r="R27" s="29">
        <f t="shared" si="0"/>
        <v>7495741.5642299112</v>
      </c>
      <c r="S27" s="134">
        <f t="shared" si="1"/>
        <v>7.0340689701350254E-2</v>
      </c>
      <c r="T27" s="139">
        <f t="shared" si="4"/>
        <v>0.11673187518129735</v>
      </c>
      <c r="U27" s="144">
        <f t="shared" si="2"/>
        <v>914.18377457356132</v>
      </c>
      <c r="V27" s="145">
        <f t="shared" si="5"/>
        <v>-6.7826513650260822E-2</v>
      </c>
      <c r="W27" s="136">
        <f t="shared" si="3"/>
        <v>64.304317217288002</v>
      </c>
      <c r="X27" s="139">
        <f t="shared" si="6"/>
        <v>4.0987845405631829E-2</v>
      </c>
      <c r="Y27" s="5"/>
      <c r="Z27" s="5"/>
      <c r="AA27" s="5"/>
    </row>
    <row r="28" spans="3:27" x14ac:dyDescent="0.25">
      <c r="N28" s="4" t="s">
        <v>1</v>
      </c>
    </row>
    <row r="29" spans="3:27" x14ac:dyDescent="0.25">
      <c r="N29" s="4" t="s">
        <v>1</v>
      </c>
    </row>
    <row r="30" spans="3:27" x14ac:dyDescent="0.25">
      <c r="N30" s="4" t="s">
        <v>1</v>
      </c>
    </row>
    <row r="31" spans="3:27" x14ac:dyDescent="0.25">
      <c r="N31" s="4" t="s">
        <v>1</v>
      </c>
    </row>
    <row r="32" spans="3:27" x14ac:dyDescent="0.25">
      <c r="N32" s="4" t="s">
        <v>1</v>
      </c>
    </row>
    <row r="33" spans="14:14" x14ac:dyDescent="0.25">
      <c r="N33" s="4" t="s">
        <v>1</v>
      </c>
    </row>
    <row r="34" spans="14:14" x14ac:dyDescent="0.25">
      <c r="N34" s="4" t="s">
        <v>1</v>
      </c>
    </row>
    <row r="35" spans="14:14" x14ac:dyDescent="0.25">
      <c r="N35" s="4" t="s">
        <v>1</v>
      </c>
    </row>
    <row r="36" spans="14:14" x14ac:dyDescent="0.25">
      <c r="N36" s="4" t="s">
        <v>1</v>
      </c>
    </row>
    <row r="37" spans="14:14" x14ac:dyDescent="0.25">
      <c r="N37" s="4" t="s">
        <v>1</v>
      </c>
    </row>
    <row r="38" spans="14:14" x14ac:dyDescent="0.25">
      <c r="N38" s="4" t="s">
        <v>1</v>
      </c>
    </row>
    <row r="39" spans="14:14" x14ac:dyDescent="0.25">
      <c r="N39" s="4" t="s">
        <v>1</v>
      </c>
    </row>
    <row r="40" spans="14:14" x14ac:dyDescent="0.25">
      <c r="N40" s="4" t="s">
        <v>1</v>
      </c>
    </row>
    <row r="41" spans="14:14" x14ac:dyDescent="0.25">
      <c r="N41" s="4" t="s">
        <v>1</v>
      </c>
    </row>
    <row r="42" spans="14:14" x14ac:dyDescent="0.25">
      <c r="N42" s="4" t="s">
        <v>1</v>
      </c>
    </row>
    <row r="43" spans="14:14" x14ac:dyDescent="0.25">
      <c r="N43" s="4" t="s">
        <v>1</v>
      </c>
    </row>
    <row r="44" spans="14:14" x14ac:dyDescent="0.25">
      <c r="N44" s="4" t="s">
        <v>1</v>
      </c>
    </row>
    <row r="45" spans="14:14" x14ac:dyDescent="0.25">
      <c r="N45" s="4" t="s">
        <v>1</v>
      </c>
    </row>
    <row r="46" spans="14:14" x14ac:dyDescent="0.25">
      <c r="N46" s="4" t="s">
        <v>1</v>
      </c>
    </row>
    <row r="47" spans="14:14" x14ac:dyDescent="0.25">
      <c r="N47" s="4" t="s">
        <v>1</v>
      </c>
    </row>
    <row r="48" spans="14:14" x14ac:dyDescent="0.25">
      <c r="N48" s="4" t="s">
        <v>1</v>
      </c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40" x14ac:dyDescent="0.25">
      <c r="A1" s="1" t="s">
        <v>0</v>
      </c>
      <c r="C1" t="s">
        <v>125</v>
      </c>
      <c r="D1" s="3"/>
      <c r="E1" s="3"/>
      <c r="L1" s="213" t="s">
        <v>211</v>
      </c>
      <c r="M1" s="213"/>
      <c r="N1" s="4" t="s">
        <v>1</v>
      </c>
      <c r="AB1" s="4" t="s">
        <v>1</v>
      </c>
    </row>
    <row r="2" spans="1:40" x14ac:dyDescent="0.25">
      <c r="A2" s="1" t="s">
        <v>2</v>
      </c>
      <c r="C2" s="2" t="s">
        <v>3</v>
      </c>
      <c r="N2" s="4" t="s">
        <v>1</v>
      </c>
      <c r="R2" s="5"/>
      <c r="AB2" s="4" t="s">
        <v>1</v>
      </c>
      <c r="AC2" s="1" t="s">
        <v>212</v>
      </c>
    </row>
    <row r="3" spans="1:40" x14ac:dyDescent="0.25">
      <c r="A3" s="1" t="s">
        <v>4</v>
      </c>
      <c r="C3" s="2" t="s">
        <v>126</v>
      </c>
      <c r="N3" s="4" t="s">
        <v>1</v>
      </c>
      <c r="O3" s="146" t="s">
        <v>45</v>
      </c>
      <c r="P3" s="5" t="s">
        <v>127</v>
      </c>
      <c r="Q3" s="5"/>
      <c r="R3" s="5"/>
      <c r="S3" s="5"/>
      <c r="T3" s="5"/>
      <c r="U3" s="5"/>
      <c r="V3" s="5"/>
      <c r="W3" s="5"/>
      <c r="X3" s="5"/>
      <c r="Y3" s="5"/>
      <c r="Z3" s="5"/>
      <c r="AB3" s="4" t="s">
        <v>1</v>
      </c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AB4" s="4" t="s">
        <v>1</v>
      </c>
      <c r="AC4" s="48" t="s">
        <v>213</v>
      </c>
      <c r="AD4" s="1" t="s">
        <v>214</v>
      </c>
      <c r="AL4" s="214" t="s">
        <v>93</v>
      </c>
      <c r="AM4" s="214" t="s">
        <v>215</v>
      </c>
      <c r="AN4" s="214" t="s">
        <v>216</v>
      </c>
    </row>
    <row r="5" spans="1:40" x14ac:dyDescent="0.25">
      <c r="A5" s="8" t="s">
        <v>6</v>
      </c>
      <c r="C5" s="5" t="s">
        <v>128</v>
      </c>
      <c r="D5" s="5"/>
      <c r="E5" s="5"/>
      <c r="F5" s="5"/>
      <c r="G5" s="5"/>
      <c r="H5" s="5"/>
      <c r="I5" s="5"/>
      <c r="J5" s="5"/>
      <c r="K5" s="5"/>
      <c r="L5" s="5"/>
      <c r="M5" s="7"/>
      <c r="N5" s="4" t="s">
        <v>1</v>
      </c>
      <c r="P5" s="147" t="s">
        <v>93</v>
      </c>
      <c r="Q5" s="60" t="s">
        <v>22</v>
      </c>
      <c r="R5" s="148" t="s">
        <v>129</v>
      </c>
      <c r="AA5" s="5"/>
      <c r="AB5" s="4" t="s">
        <v>1</v>
      </c>
      <c r="AC5" s="5"/>
      <c r="AD5" s="6" t="s">
        <v>217</v>
      </c>
      <c r="AE5" s="6" t="s">
        <v>37</v>
      </c>
      <c r="AF5" s="5" t="s">
        <v>218</v>
      </c>
      <c r="AG5" s="5"/>
      <c r="AH5" s="5"/>
      <c r="AI5" s="5"/>
      <c r="AJ5" s="5"/>
      <c r="AK5" s="6" t="s">
        <v>37</v>
      </c>
      <c r="AL5" s="36">
        <f>X15+INT((Y15-0.5*E18)/12)</f>
        <v>2020</v>
      </c>
      <c r="AM5" s="6" t="str">
        <f>RIGHT("0"&amp;MOD(Y15-0.5*E18,12),2)</f>
        <v>04</v>
      </c>
      <c r="AN5" s="6" t="str">
        <f>Z15</f>
        <v>01</v>
      </c>
    </row>
    <row r="6" spans="1:40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4" t="s">
        <v>1</v>
      </c>
      <c r="P6" s="31">
        <v>2020</v>
      </c>
      <c r="Q6" s="149">
        <f>F21</f>
        <v>132000</v>
      </c>
      <c r="R6" s="150" t="s">
        <v>108</v>
      </c>
      <c r="AA6" s="5"/>
      <c r="AB6" s="4" t="s">
        <v>1</v>
      </c>
      <c r="AC6" s="5"/>
      <c r="AD6" s="6" t="s">
        <v>219</v>
      </c>
      <c r="AE6" s="6" t="s">
        <v>37</v>
      </c>
      <c r="AF6" s="5" t="s">
        <v>220</v>
      </c>
      <c r="AG6" s="5"/>
      <c r="AH6" s="5"/>
      <c r="AI6" s="5"/>
      <c r="AJ6" s="5"/>
      <c r="AK6" s="6" t="s">
        <v>37</v>
      </c>
      <c r="AL6" s="36">
        <f>E16+INT((F16+E17/2)/12)</f>
        <v>2024</v>
      </c>
      <c r="AM6" s="6" t="str">
        <f>RIGHT("0"&amp;MOD(F16+E17/2,12),2)</f>
        <v>01</v>
      </c>
      <c r="AN6" s="6" t="str">
        <f>G16</f>
        <v>01</v>
      </c>
    </row>
    <row r="7" spans="1:40" x14ac:dyDescent="0.25">
      <c r="C7" s="6" t="s">
        <v>7</v>
      </c>
      <c r="D7" s="5" t="s">
        <v>130</v>
      </c>
      <c r="E7" s="5"/>
      <c r="F7" s="5"/>
      <c r="G7" s="5"/>
      <c r="H7" s="5"/>
      <c r="I7" s="5"/>
      <c r="J7" s="5"/>
      <c r="K7" s="5"/>
      <c r="L7" s="5"/>
      <c r="M7" s="7"/>
      <c r="N7" s="4" t="s">
        <v>1</v>
      </c>
      <c r="P7" s="31">
        <f>P6+1</f>
        <v>2021</v>
      </c>
      <c r="Q7" s="149">
        <f>F22</f>
        <v>138072</v>
      </c>
      <c r="R7" s="151">
        <f>Q7/Q6-1</f>
        <v>4.6000000000000041E-2</v>
      </c>
      <c r="AA7" s="5"/>
      <c r="AB7" s="4" t="s">
        <v>1</v>
      </c>
      <c r="AC7" s="5"/>
      <c r="AD7" s="5"/>
      <c r="AE7" s="5"/>
      <c r="AF7" s="5"/>
      <c r="AG7" s="5"/>
      <c r="AH7" s="6"/>
      <c r="AI7" s="5"/>
      <c r="AJ7" s="5"/>
      <c r="AK7" s="5"/>
      <c r="AL7" s="5"/>
      <c r="AM7" s="5"/>
      <c r="AN7" s="5"/>
    </row>
    <row r="8" spans="1:40" x14ac:dyDescent="0.25">
      <c r="A8" s="8"/>
      <c r="B8" s="7"/>
      <c r="C8" s="6" t="s">
        <v>10</v>
      </c>
      <c r="D8" s="5" t="s">
        <v>131</v>
      </c>
      <c r="E8" s="5"/>
      <c r="F8" s="5"/>
      <c r="G8" s="5"/>
      <c r="H8" s="5"/>
      <c r="I8" s="5"/>
      <c r="J8" s="5"/>
      <c r="K8" s="7"/>
      <c r="L8" s="7"/>
      <c r="M8" s="7"/>
      <c r="N8" s="4" t="s">
        <v>1</v>
      </c>
      <c r="P8" s="31">
        <f>P7+1</f>
        <v>2022</v>
      </c>
      <c r="Q8" s="149">
        <f>F23</f>
        <v>144278.88868800001</v>
      </c>
      <c r="R8" s="151">
        <f>Q8/Q7-1</f>
        <v>4.4953999999999938E-2</v>
      </c>
      <c r="AA8" s="5"/>
      <c r="AB8" s="4" t="s">
        <v>1</v>
      </c>
      <c r="AD8" s="152" t="s">
        <v>221</v>
      </c>
      <c r="AE8" s="6" t="s">
        <v>37</v>
      </c>
      <c r="AF8" s="6" t="s">
        <v>219</v>
      </c>
      <c r="AG8" s="10" t="s">
        <v>132</v>
      </c>
      <c r="AH8" s="6" t="s">
        <v>217</v>
      </c>
    </row>
    <row r="9" spans="1:40" x14ac:dyDescent="0.25">
      <c r="A9" s="7"/>
      <c r="B9" s="7"/>
      <c r="C9" s="6" t="s">
        <v>133</v>
      </c>
      <c r="D9" s="5" t="s">
        <v>134</v>
      </c>
      <c r="E9" s="5"/>
      <c r="F9" s="5"/>
      <c r="G9" s="5"/>
      <c r="H9" s="5"/>
      <c r="I9" s="5"/>
      <c r="J9" s="5"/>
      <c r="K9" s="7"/>
      <c r="L9" s="7"/>
      <c r="M9" s="7"/>
      <c r="N9" s="4" t="s">
        <v>1</v>
      </c>
      <c r="P9" s="37">
        <f>P8+1</f>
        <v>2023</v>
      </c>
      <c r="Q9" s="153">
        <f>F24</f>
        <v>151066.63328521565</v>
      </c>
      <c r="R9" s="154">
        <f>Q9/Q8-1</f>
        <v>4.7045999999999921E-2</v>
      </c>
      <c r="AA9" s="5"/>
      <c r="AB9" s="4" t="s">
        <v>1</v>
      </c>
      <c r="AE9" s="6" t="s">
        <v>37</v>
      </c>
      <c r="AF9" s="155" t="str">
        <f>ROUND(((AL6*12)+AM6-(AL5*12+AM5))/12+IF(AN5=AN6,0,1/24),3) &amp; " years"</f>
        <v>3.75 years</v>
      </c>
    </row>
    <row r="10" spans="1:40" x14ac:dyDescent="0.25">
      <c r="A10" s="7"/>
      <c r="B10" s="7"/>
      <c r="C10" s="6" t="s">
        <v>135</v>
      </c>
      <c r="D10" s="5" t="s">
        <v>136</v>
      </c>
      <c r="E10" s="5"/>
      <c r="F10" s="5"/>
      <c r="G10" s="5"/>
      <c r="H10" s="5"/>
      <c r="I10" s="5"/>
      <c r="J10" s="5"/>
      <c r="K10" s="7"/>
      <c r="L10" s="7"/>
      <c r="M10" s="7"/>
      <c r="N10" s="4" t="s">
        <v>1</v>
      </c>
      <c r="O10" s="5"/>
      <c r="P10" s="147" t="s">
        <v>137</v>
      </c>
      <c r="Q10" s="53"/>
      <c r="R10" s="156">
        <f>ROUND(AVERAGE(R7:R9),3)</f>
        <v>4.5999999999999999E-2</v>
      </c>
      <c r="S10" s="157" t="s">
        <v>138</v>
      </c>
      <c r="T10" s="56" t="s">
        <v>139</v>
      </c>
      <c r="U10" s="5"/>
      <c r="V10" s="5"/>
      <c r="W10" s="5"/>
      <c r="X10" s="5"/>
      <c r="Y10" s="5"/>
      <c r="Z10" s="5"/>
      <c r="AA10" s="5"/>
      <c r="AB10" s="4" t="s">
        <v>1</v>
      </c>
      <c r="AC10" s="7"/>
    </row>
    <row r="11" spans="1:40" x14ac:dyDescent="0.25">
      <c r="A11" s="7"/>
      <c r="B11" s="7"/>
      <c r="C11" s="6" t="s">
        <v>140</v>
      </c>
      <c r="D11" s="5" t="s">
        <v>141</v>
      </c>
      <c r="E11" s="5"/>
      <c r="F11" s="5"/>
      <c r="G11" s="5"/>
      <c r="H11" s="5"/>
      <c r="I11" s="5"/>
      <c r="J11" s="5"/>
      <c r="K11" s="7"/>
      <c r="L11" s="7"/>
      <c r="M11" s="7"/>
      <c r="N11" s="4" t="s">
        <v>1</v>
      </c>
      <c r="O11" s="5"/>
      <c r="P11" s="15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4" t="s">
        <v>1</v>
      </c>
      <c r="AC11" s="7"/>
    </row>
    <row r="12" spans="1:40" x14ac:dyDescent="0.25">
      <c r="C12" s="6"/>
      <c r="D12" s="5"/>
      <c r="K12" s="7"/>
      <c r="L12" s="7"/>
      <c r="M12" s="7"/>
      <c r="N12" s="4" t="s">
        <v>1</v>
      </c>
      <c r="AA12" s="5"/>
      <c r="AB12" s="4" t="s">
        <v>1</v>
      </c>
      <c r="AC12" s="8"/>
    </row>
    <row r="13" spans="1:40" x14ac:dyDescent="0.25">
      <c r="C13" s="6"/>
      <c r="D13" s="5"/>
      <c r="J13" s="5"/>
      <c r="K13" s="7"/>
      <c r="L13" s="7"/>
      <c r="M13" s="7"/>
      <c r="N13" s="4" t="s">
        <v>1</v>
      </c>
      <c r="O13" s="159" t="s">
        <v>142</v>
      </c>
      <c r="P13" s="2" t="s">
        <v>143</v>
      </c>
      <c r="AA13" s="5"/>
      <c r="AB13" s="4" t="s">
        <v>1</v>
      </c>
      <c r="AC13" s="7"/>
    </row>
    <row r="14" spans="1:40" x14ac:dyDescent="0.25">
      <c r="J14" s="5"/>
      <c r="K14" s="7"/>
      <c r="L14" s="7"/>
      <c r="M14" s="7"/>
      <c r="N14" s="4" t="s">
        <v>1</v>
      </c>
      <c r="O14" s="5"/>
      <c r="AA14" s="5"/>
      <c r="AB14" s="4" t="s">
        <v>1</v>
      </c>
      <c r="AC14" s="215"/>
      <c r="AD14" s="216"/>
    </row>
    <row r="15" spans="1:40" x14ac:dyDescent="0.25">
      <c r="A15" s="8" t="s">
        <v>19</v>
      </c>
      <c r="B15" s="7"/>
      <c r="C15" s="5" t="s">
        <v>144</v>
      </c>
      <c r="D15" s="5"/>
      <c r="E15" s="160">
        <v>2020</v>
      </c>
      <c r="F15" s="9"/>
      <c r="G15" s="9"/>
      <c r="H15" s="161"/>
      <c r="I15" s="5"/>
      <c r="J15" s="5"/>
      <c r="K15" s="5"/>
      <c r="L15" s="5"/>
      <c r="M15" s="7"/>
      <c r="N15" s="4" t="s">
        <v>1</v>
      </c>
      <c r="O15" s="5"/>
      <c r="P15" s="5" t="s">
        <v>145</v>
      </c>
      <c r="Q15" s="6" t="s">
        <v>37</v>
      </c>
      <c r="R15" s="5" t="s">
        <v>146</v>
      </c>
      <c r="S15" s="5"/>
      <c r="T15" s="5"/>
      <c r="U15" s="5"/>
      <c r="V15" s="5"/>
      <c r="W15" s="6" t="s">
        <v>37</v>
      </c>
      <c r="X15" s="36">
        <f>E15</f>
        <v>2020</v>
      </c>
      <c r="Y15" s="10" t="s">
        <v>147</v>
      </c>
      <c r="Z15" s="10" t="s">
        <v>148</v>
      </c>
      <c r="AA15" s="5"/>
      <c r="AB15" s="4" t="s">
        <v>1</v>
      </c>
      <c r="AC15" s="7"/>
    </row>
    <row r="16" spans="1:40" x14ac:dyDescent="0.25">
      <c r="A16" s="7"/>
      <c r="B16" s="7"/>
      <c r="C16" s="5" t="s">
        <v>149</v>
      </c>
      <c r="D16" s="5"/>
      <c r="E16" s="160">
        <v>2023</v>
      </c>
      <c r="F16" s="162" t="s">
        <v>222</v>
      </c>
      <c r="G16" s="162" t="s">
        <v>148</v>
      </c>
      <c r="H16" s="163" t="s">
        <v>150</v>
      </c>
      <c r="I16" s="5"/>
      <c r="J16" s="5"/>
      <c r="K16" s="5"/>
      <c r="L16" s="5"/>
      <c r="M16" s="7"/>
      <c r="N16" s="4" t="s">
        <v>1</v>
      </c>
      <c r="O16" s="5"/>
      <c r="P16" s="5" t="s">
        <v>151</v>
      </c>
      <c r="Q16" s="6" t="s">
        <v>37</v>
      </c>
      <c r="R16" s="5" t="s">
        <v>152</v>
      </c>
      <c r="S16" s="5"/>
      <c r="T16" s="5"/>
      <c r="U16" s="5"/>
      <c r="V16" s="5"/>
      <c r="W16" s="6" t="s">
        <v>37</v>
      </c>
      <c r="X16" s="36">
        <f>AL6+INT((AM6+0.5*E18)/12)</f>
        <v>2024</v>
      </c>
      <c r="Y16" s="10" t="str">
        <f>RIGHT("0"&amp;MOD(AM6+0.5*E18,12),2)</f>
        <v>04</v>
      </c>
      <c r="Z16" s="10" t="str">
        <f>AN6</f>
        <v>01</v>
      </c>
      <c r="AA16" s="5"/>
      <c r="AB16" s="4" t="s">
        <v>1</v>
      </c>
      <c r="AC16" s="7"/>
    </row>
    <row r="17" spans="1:29" x14ac:dyDescent="0.25">
      <c r="A17" s="7"/>
      <c r="B17" s="7"/>
      <c r="C17" s="5" t="s">
        <v>153</v>
      </c>
      <c r="D17" s="5"/>
      <c r="E17" s="9">
        <v>6</v>
      </c>
      <c r="F17" s="57" t="s">
        <v>154</v>
      </c>
      <c r="G17" s="164"/>
      <c r="H17" s="161"/>
      <c r="I17" s="5"/>
      <c r="J17" s="5"/>
      <c r="K17" s="5"/>
      <c r="L17" s="5"/>
      <c r="M17" s="7"/>
      <c r="N17" s="4" t="s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" t="s">
        <v>1</v>
      </c>
      <c r="AC17" s="7"/>
    </row>
    <row r="18" spans="1:29" x14ac:dyDescent="0.25">
      <c r="C18" s="5" t="s">
        <v>155</v>
      </c>
      <c r="D18" s="5"/>
      <c r="E18" s="9">
        <v>6</v>
      </c>
      <c r="F18" s="57" t="s">
        <v>154</v>
      </c>
      <c r="G18" s="164"/>
      <c r="H18" s="161"/>
      <c r="I18" s="5"/>
      <c r="J18" s="5"/>
      <c r="K18" s="5"/>
      <c r="L18" s="5"/>
      <c r="M18" s="7"/>
      <c r="N18" s="4" t="s">
        <v>1</v>
      </c>
      <c r="O18" s="5"/>
      <c r="P18" s="152" t="s">
        <v>156</v>
      </c>
      <c r="Q18" s="6" t="s">
        <v>37</v>
      </c>
      <c r="R18" s="6" t="s">
        <v>151</v>
      </c>
      <c r="S18" s="10" t="s">
        <v>132</v>
      </c>
      <c r="T18" s="6" t="s">
        <v>145</v>
      </c>
      <c r="U18" s="5"/>
      <c r="V18" s="44"/>
      <c r="W18" s="5"/>
      <c r="X18" s="5"/>
      <c r="Y18" s="5"/>
      <c r="Z18" s="5"/>
      <c r="AA18" s="5"/>
      <c r="AB18" s="4" t="s">
        <v>1</v>
      </c>
      <c r="AC18" s="7"/>
    </row>
    <row r="19" spans="1:29" x14ac:dyDescent="0.25">
      <c r="C19" s="5"/>
      <c r="D19" s="5"/>
      <c r="E19" s="36"/>
      <c r="F19" s="165"/>
      <c r="G19" s="165"/>
      <c r="H19" s="5"/>
      <c r="I19" s="5"/>
      <c r="J19" s="5"/>
      <c r="K19" s="5"/>
      <c r="L19" s="5"/>
      <c r="M19" s="7"/>
      <c r="N19" s="4" t="s">
        <v>1</v>
      </c>
      <c r="O19" s="5"/>
      <c r="Q19" s="6" t="s">
        <v>37</v>
      </c>
      <c r="R19" s="155" t="str">
        <f>ROUND(((X16*12)+Y16-(X15*12+Y15))/12+IF(Z15=Z16,0,1/24),3) &amp; " year(s)"</f>
        <v>3.75 year(s)</v>
      </c>
      <c r="U19" s="5"/>
      <c r="V19" s="5"/>
      <c r="W19" s="5"/>
      <c r="X19" s="5"/>
      <c r="Y19" s="5"/>
      <c r="Z19" s="5"/>
      <c r="AA19" s="5"/>
      <c r="AB19" s="4" t="s">
        <v>1</v>
      </c>
      <c r="AC19" s="7"/>
    </row>
    <row r="20" spans="1:29" x14ac:dyDescent="0.25">
      <c r="C20" s="5" t="s">
        <v>157</v>
      </c>
      <c r="D20" s="5"/>
      <c r="E20" s="147" t="s">
        <v>93</v>
      </c>
      <c r="F20" s="60" t="s">
        <v>22</v>
      </c>
      <c r="G20" s="166"/>
      <c r="H20" s="5"/>
      <c r="I20" s="5"/>
      <c r="J20" s="5"/>
      <c r="K20" s="5"/>
      <c r="L20" s="5"/>
      <c r="M20" s="7"/>
      <c r="N20" s="4" t="s">
        <v>1</v>
      </c>
      <c r="O20" s="5"/>
      <c r="AA20" s="5"/>
      <c r="AB20" s="4" t="s">
        <v>1</v>
      </c>
      <c r="AC20" s="7"/>
    </row>
    <row r="21" spans="1:29" x14ac:dyDescent="0.25">
      <c r="C21" s="5" t="s">
        <v>158</v>
      </c>
      <c r="D21" s="5"/>
      <c r="E21" s="31">
        <v>2020</v>
      </c>
      <c r="F21" s="167">
        <v>132000</v>
      </c>
      <c r="G21" s="168" t="s">
        <v>159</v>
      </c>
      <c r="H21" s="42" t="s">
        <v>160</v>
      </c>
      <c r="I21" s="42"/>
      <c r="J21" s="5"/>
      <c r="K21" s="5"/>
      <c r="L21" s="5"/>
      <c r="M21" s="7"/>
      <c r="N21" s="4" t="s">
        <v>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 t="s">
        <v>1</v>
      </c>
      <c r="AC21" s="7"/>
    </row>
    <row r="22" spans="1:29" x14ac:dyDescent="0.25">
      <c r="C22" s="5"/>
      <c r="D22" s="5"/>
      <c r="E22" s="31">
        <v>2021</v>
      </c>
      <c r="F22" s="167">
        <v>138072</v>
      </c>
      <c r="G22" s="5"/>
      <c r="H22" s="42" t="s">
        <v>161</v>
      </c>
      <c r="I22" s="42"/>
      <c r="J22" s="5"/>
      <c r="K22" s="5"/>
      <c r="L22" s="5"/>
      <c r="M22" s="7"/>
      <c r="N22" s="4" t="s">
        <v>1</v>
      </c>
      <c r="O22" s="169" t="s">
        <v>162</v>
      </c>
      <c r="P22" s="2" t="s">
        <v>163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4" t="s">
        <v>1</v>
      </c>
      <c r="AC22" s="7"/>
    </row>
    <row r="23" spans="1:29" x14ac:dyDescent="0.25">
      <c r="C23" s="5"/>
      <c r="D23" s="5"/>
      <c r="E23" s="31">
        <v>2022</v>
      </c>
      <c r="F23" s="167">
        <v>144278.88868800001</v>
      </c>
      <c r="G23" s="5"/>
      <c r="H23" s="42" t="s">
        <v>164</v>
      </c>
      <c r="I23" s="42"/>
      <c r="J23" s="5"/>
      <c r="K23" s="5"/>
      <c r="L23" s="5"/>
      <c r="M23" s="7"/>
      <c r="N23" s="4" t="s">
        <v>1</v>
      </c>
      <c r="O23" s="5"/>
      <c r="P23" s="158" t="s">
        <v>165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4" t="s">
        <v>1</v>
      </c>
      <c r="AC23" s="7"/>
    </row>
    <row r="24" spans="1:29" x14ac:dyDescent="0.25">
      <c r="C24" s="5"/>
      <c r="D24" s="5"/>
      <c r="E24" s="37">
        <v>2023</v>
      </c>
      <c r="F24" s="170">
        <v>151066.63328521565</v>
      </c>
      <c r="G24" s="5"/>
      <c r="H24" s="5"/>
      <c r="I24" s="5"/>
      <c r="J24" s="5"/>
      <c r="K24" s="5"/>
      <c r="L24" s="5"/>
      <c r="M24" s="7"/>
      <c r="N24" s="4" t="s">
        <v>1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4" t="s">
        <v>1</v>
      </c>
      <c r="AC24" s="7"/>
    </row>
    <row r="25" spans="1:29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  <c r="N25" s="4" t="s">
        <v>1</v>
      </c>
      <c r="O25" s="5"/>
      <c r="P25" s="152" t="s">
        <v>166</v>
      </c>
      <c r="Q25" s="6" t="s">
        <v>37</v>
      </c>
      <c r="R25" s="171">
        <f>ROUND(((X16*12)+Y16-(X15*12+Y15))/12+IF(Z15=Z16,0,1/24),3)</f>
        <v>3.75</v>
      </c>
      <c r="S25" s="6" t="s">
        <v>132</v>
      </c>
      <c r="T25" s="171">
        <v>0.5</v>
      </c>
      <c r="U25" s="6" t="s">
        <v>39</v>
      </c>
      <c r="V25" s="171">
        <f>E18/12</f>
        <v>0.5</v>
      </c>
      <c r="W25" s="5"/>
      <c r="X25" s="5"/>
      <c r="Y25" s="5"/>
      <c r="Z25" s="5"/>
      <c r="AA25" s="5"/>
      <c r="AB25" s="4" t="s">
        <v>1</v>
      </c>
      <c r="AC25" s="7"/>
    </row>
    <row r="26" spans="1:29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4" t="s">
        <v>1</v>
      </c>
      <c r="O26" s="5"/>
      <c r="P26" s="5"/>
      <c r="Q26" s="6" t="s">
        <v>37</v>
      </c>
      <c r="R26" s="172" t="str">
        <f>R25-T25*V25 &amp; " year(s)"</f>
        <v>3.5 year(s)</v>
      </c>
      <c r="S26" s="5"/>
      <c r="T26" s="5"/>
      <c r="U26" s="5"/>
      <c r="V26" s="5"/>
      <c r="W26" s="5"/>
      <c r="X26" s="5"/>
      <c r="Y26" s="5"/>
      <c r="Z26" s="5"/>
      <c r="AA26" s="5"/>
      <c r="AB26" s="4" t="s">
        <v>1</v>
      </c>
      <c r="AC26" s="5"/>
    </row>
    <row r="27" spans="1:29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4" t="s">
        <v>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4" t="s">
        <v>1</v>
      </c>
      <c r="AC27" s="5"/>
    </row>
    <row r="28" spans="1:29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4" t="s">
        <v>1</v>
      </c>
      <c r="W28" s="5"/>
      <c r="X28" s="5"/>
      <c r="Y28" s="5"/>
      <c r="Z28" s="5"/>
      <c r="AA28" s="5"/>
      <c r="AB28" s="4" t="s">
        <v>1</v>
      </c>
      <c r="AC28" s="5"/>
    </row>
    <row r="29" spans="1:29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 s="4" t="s">
        <v>1</v>
      </c>
      <c r="O29" s="11" t="s">
        <v>167</v>
      </c>
      <c r="P29" s="5" t="s">
        <v>168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4" t="s">
        <v>1</v>
      </c>
      <c r="AC29" s="5"/>
    </row>
    <row r="30" spans="1:29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4" t="s">
        <v>1</v>
      </c>
      <c r="AC30" s="5"/>
    </row>
    <row r="31" spans="1:29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 s="4" t="s">
        <v>1</v>
      </c>
      <c r="O31" s="5"/>
      <c r="P31" s="5" t="s">
        <v>169</v>
      </c>
      <c r="Q31" s="5"/>
      <c r="R31" s="5"/>
      <c r="S31" s="5"/>
      <c r="T31" s="5"/>
      <c r="U31" s="5"/>
      <c r="V31" s="5"/>
      <c r="W31" s="6"/>
      <c r="X31" s="5"/>
      <c r="Y31" s="5"/>
      <c r="Z31" s="5"/>
      <c r="AA31" s="5"/>
      <c r="AB31" s="4" t="s">
        <v>1</v>
      </c>
      <c r="AC31" s="5"/>
    </row>
    <row r="32" spans="1:29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 s="4" t="s">
        <v>1</v>
      </c>
      <c r="O32" s="5"/>
      <c r="P32" s="5"/>
      <c r="Q32" s="6" t="s">
        <v>37</v>
      </c>
      <c r="R32" s="6">
        <f>F21</f>
        <v>132000</v>
      </c>
      <c r="S32" s="6" t="s">
        <v>170</v>
      </c>
      <c r="T32" s="173">
        <f>1+R10</f>
        <v>1.046</v>
      </c>
      <c r="U32" s="6" t="s">
        <v>171</v>
      </c>
      <c r="V32" s="171">
        <f>ROUND(((X16*12)+Y16-(X15*12+Y15))/12+IF(Z15=Z16,0,1/24),3)</f>
        <v>3.75</v>
      </c>
      <c r="W32" s="5"/>
      <c r="X32" s="5"/>
      <c r="Y32" s="5"/>
      <c r="Z32" s="5"/>
      <c r="AA32" s="5"/>
      <c r="AB32" s="4" t="s">
        <v>1</v>
      </c>
      <c r="AC32" s="5"/>
    </row>
    <row r="33" spans="1:29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4" t="s">
        <v>1</v>
      </c>
      <c r="O33" s="5"/>
      <c r="P33" s="5"/>
      <c r="Q33" s="6" t="s">
        <v>37</v>
      </c>
      <c r="R33" s="11">
        <f>R32*T32^V32</f>
        <v>156249.18049122754</v>
      </c>
      <c r="S33" s="5"/>
      <c r="T33" s="5"/>
      <c r="U33" s="5"/>
      <c r="V33" s="5"/>
      <c r="W33" s="5"/>
      <c r="X33" s="5"/>
      <c r="Y33" s="5"/>
      <c r="Z33" s="5"/>
      <c r="AA33" s="5"/>
      <c r="AB33" s="4" t="s">
        <v>1</v>
      </c>
      <c r="AC33" s="5"/>
    </row>
    <row r="34" spans="1:29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4" t="s">
        <v>1</v>
      </c>
      <c r="O34" s="5"/>
      <c r="P34" s="5"/>
      <c r="Q34" s="5"/>
      <c r="R34" s="42" t="s">
        <v>172</v>
      </c>
      <c r="S34" s="5"/>
      <c r="T34" s="5"/>
      <c r="U34" s="5"/>
      <c r="V34" s="5"/>
      <c r="W34" s="5"/>
      <c r="X34" s="5"/>
      <c r="Y34" s="5"/>
      <c r="Z34" s="5"/>
      <c r="AA34" s="5"/>
      <c r="AB34" s="4" t="s">
        <v>1</v>
      </c>
      <c r="AC34" s="5"/>
    </row>
    <row r="35" spans="1:29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4" t="s">
        <v>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 t="s">
        <v>1</v>
      </c>
      <c r="AC35" s="5"/>
    </row>
    <row r="36" spans="1:29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4" t="s">
        <v>1</v>
      </c>
      <c r="O36" s="11" t="s">
        <v>167</v>
      </c>
      <c r="P36" s="5" t="s">
        <v>173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 t="s">
        <v>1</v>
      </c>
      <c r="AC36" s="5"/>
    </row>
    <row r="37" spans="1:29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 t="s">
        <v>1</v>
      </c>
      <c r="AC37" s="5"/>
    </row>
    <row r="38" spans="1:29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4" t="s">
        <v>1</v>
      </c>
      <c r="O38" s="5"/>
      <c r="P38" s="5" t="s">
        <v>174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 t="s">
        <v>1</v>
      </c>
      <c r="AC38" s="5"/>
    </row>
    <row r="39" spans="1:29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 t="s">
        <v>1</v>
      </c>
      <c r="O39" s="5"/>
      <c r="P39" s="5"/>
      <c r="Q39" s="6" t="s">
        <v>37</v>
      </c>
      <c r="R39" s="6">
        <f>F21</f>
        <v>132000</v>
      </c>
      <c r="S39" s="6" t="s">
        <v>170</v>
      </c>
      <c r="T39" s="173">
        <f>1+R10</f>
        <v>1.046</v>
      </c>
      <c r="U39" s="6" t="s">
        <v>171</v>
      </c>
      <c r="V39" s="171">
        <f>R25-T25*V25</f>
        <v>3.5</v>
      </c>
      <c r="W39" s="5"/>
      <c r="X39" s="5"/>
      <c r="Y39" s="5"/>
      <c r="Z39" s="5"/>
      <c r="AA39" s="5"/>
      <c r="AB39" s="4" t="s">
        <v>1</v>
      </c>
      <c r="AC39" s="5"/>
    </row>
    <row r="40" spans="1:29" x14ac:dyDescent="0.25">
      <c r="N40" s="4" t="s">
        <v>1</v>
      </c>
      <c r="O40" s="5"/>
      <c r="P40" s="5"/>
      <c r="Q40" s="6" t="s">
        <v>37</v>
      </c>
      <c r="R40" s="11">
        <f>R39*T39^V39</f>
        <v>154502.2566431913</v>
      </c>
      <c r="S40" s="5"/>
      <c r="T40" s="5"/>
      <c r="U40" s="5"/>
      <c r="V40" s="5"/>
      <c r="W40" s="5"/>
      <c r="X40" s="5"/>
      <c r="Y40" s="5"/>
      <c r="Z40" s="5"/>
      <c r="AA40" s="5"/>
      <c r="AB40" s="4" t="s">
        <v>1</v>
      </c>
      <c r="AC40" s="5"/>
    </row>
    <row r="41" spans="1:29" x14ac:dyDescent="0.25">
      <c r="N41" s="4" t="s">
        <v>1</v>
      </c>
      <c r="O41" s="5"/>
      <c r="P41" s="5"/>
      <c r="Q41" s="5"/>
      <c r="R41" s="42" t="s">
        <v>175</v>
      </c>
      <c r="S41" s="5"/>
      <c r="T41" s="5"/>
      <c r="U41" s="5"/>
      <c r="V41" s="5"/>
      <c r="W41" s="5"/>
      <c r="X41" s="5"/>
      <c r="Y41" s="5"/>
      <c r="Z41" s="5"/>
      <c r="AA41" s="5"/>
      <c r="AB41" s="4" t="s">
        <v>1</v>
      </c>
      <c r="AC41" s="5"/>
    </row>
    <row r="42" spans="1:29" x14ac:dyDescent="0.25">
      <c r="N42" s="4" t="s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9" x14ac:dyDescent="0.25">
      <c r="N43" s="4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9" x14ac:dyDescent="0.25">
      <c r="N44" s="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9" x14ac:dyDescent="0.25">
      <c r="N45" s="4" t="s">
        <v>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9" x14ac:dyDescent="0.25">
      <c r="N46" s="4" t="s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9" x14ac:dyDescent="0.25">
      <c r="N47" s="4" t="s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9" x14ac:dyDescent="0.25">
      <c r="N48" s="4" t="s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4" t="s">
        <v>1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4" t="s">
        <v>1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4" t="s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4:27" x14ac:dyDescent="0.25">
      <c r="N52" s="4" t="s">
        <v>1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4:27" x14ac:dyDescent="0.25">
      <c r="N53" s="4" t="s">
        <v>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4" t="s">
        <v>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4" t="s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4" t="s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4" t="s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4" t="s">
        <v>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4" t="s">
        <v>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41</v>
      </c>
      <c r="D1" s="3"/>
      <c r="E1" s="3"/>
      <c r="L1" s="213" t="s">
        <v>211</v>
      </c>
      <c r="M1" s="213"/>
      <c r="N1" s="4" t="s">
        <v>1</v>
      </c>
    </row>
    <row r="2" spans="1:27" x14ac:dyDescent="0.25">
      <c r="A2" s="1" t="s">
        <v>2</v>
      </c>
      <c r="C2" s="2" t="s">
        <v>176</v>
      </c>
      <c r="N2" s="4" t="s">
        <v>1</v>
      </c>
    </row>
    <row r="3" spans="1:27" x14ac:dyDescent="0.25">
      <c r="A3" s="1" t="s">
        <v>4</v>
      </c>
      <c r="C3" s="2" t="s">
        <v>177</v>
      </c>
      <c r="N3" s="4" t="s">
        <v>1</v>
      </c>
      <c r="O3" s="174" t="s">
        <v>7</v>
      </c>
      <c r="P3" s="2" t="s">
        <v>178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x14ac:dyDescent="0.25">
      <c r="A5" s="8" t="s">
        <v>6</v>
      </c>
      <c r="B5" s="4" t="s">
        <v>7</v>
      </c>
      <c r="C5" s="5" t="s">
        <v>179</v>
      </c>
      <c r="D5" s="5"/>
      <c r="E5" s="5"/>
      <c r="F5" s="5"/>
      <c r="G5" s="5"/>
      <c r="H5" s="5"/>
      <c r="I5" s="5"/>
      <c r="J5" s="5"/>
      <c r="K5" s="5"/>
      <c r="L5" s="5"/>
      <c r="M5" s="7"/>
      <c r="N5" s="4" t="s">
        <v>1</v>
      </c>
      <c r="O5" s="5"/>
      <c r="P5" s="175"/>
      <c r="Q5" s="176" t="s">
        <v>180</v>
      </c>
      <c r="R5" s="177"/>
      <c r="S5" s="178" t="s">
        <v>181</v>
      </c>
      <c r="T5" s="179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4" t="s">
        <v>1</v>
      </c>
      <c r="O6" s="5"/>
      <c r="P6" s="27" t="s">
        <v>182</v>
      </c>
      <c r="Q6" s="180" t="s">
        <v>183</v>
      </c>
      <c r="R6" s="180"/>
      <c r="S6" s="180" t="s">
        <v>183</v>
      </c>
      <c r="T6" s="181"/>
      <c r="U6" s="5"/>
      <c r="V6" s="5"/>
      <c r="W6" s="5"/>
      <c r="X6" s="5"/>
      <c r="Y6" s="5"/>
      <c r="Z6" s="5"/>
      <c r="AA6" s="5"/>
    </row>
    <row r="7" spans="1:27" x14ac:dyDescent="0.25">
      <c r="B7" s="4" t="s">
        <v>10</v>
      </c>
      <c r="C7" s="5" t="s">
        <v>184</v>
      </c>
      <c r="D7" s="5"/>
      <c r="E7" s="5"/>
      <c r="F7" s="5"/>
      <c r="G7" s="5"/>
      <c r="H7" s="5"/>
      <c r="I7" s="5"/>
      <c r="J7" s="5"/>
      <c r="K7" s="5"/>
      <c r="L7" s="5"/>
      <c r="M7" s="7"/>
      <c r="N7" s="4" t="s">
        <v>1</v>
      </c>
      <c r="O7" s="5"/>
      <c r="P7" s="20">
        <v>1</v>
      </c>
      <c r="Q7" s="182">
        <f>MIN(D11,J11)</f>
        <v>45500</v>
      </c>
      <c r="R7" s="182"/>
      <c r="S7" s="182">
        <f>MIN(D11*(1+J10),J11)</f>
        <v>42770</v>
      </c>
      <c r="T7" s="183"/>
      <c r="U7" s="5"/>
      <c r="V7" s="5"/>
      <c r="W7" s="5"/>
      <c r="X7" s="5"/>
      <c r="Y7" s="5"/>
      <c r="Z7" s="5"/>
      <c r="AA7" s="5"/>
    </row>
    <row r="8" spans="1:27" x14ac:dyDescent="0.25">
      <c r="A8" s="8"/>
      <c r="B8" s="7"/>
      <c r="C8" s="5"/>
      <c r="D8" s="5"/>
      <c r="E8" s="5"/>
      <c r="F8" s="5"/>
      <c r="G8" s="5"/>
      <c r="H8" s="5"/>
      <c r="I8" s="5"/>
      <c r="J8" s="5"/>
      <c r="K8" s="7"/>
      <c r="L8" s="7"/>
      <c r="M8" s="7"/>
      <c r="N8" s="4" t="s">
        <v>1</v>
      </c>
      <c r="O8" s="5"/>
      <c r="P8" s="20">
        <v>2</v>
      </c>
      <c r="Q8" s="182">
        <f>MIN(D12,J11)</f>
        <v>65000</v>
      </c>
      <c r="R8" s="182"/>
      <c r="S8" s="182">
        <f>MIN(D12*(1+J10),J11)</f>
        <v>62980</v>
      </c>
      <c r="T8" s="183"/>
      <c r="U8" s="5"/>
      <c r="V8" s="5"/>
      <c r="W8" s="5"/>
      <c r="X8" s="5"/>
      <c r="Y8" s="5"/>
      <c r="Z8" s="5"/>
      <c r="AA8" s="5"/>
    </row>
    <row r="9" spans="1:27" x14ac:dyDescent="0.25">
      <c r="A9" s="7"/>
      <c r="B9" s="7"/>
      <c r="C9" s="5"/>
      <c r="D9" s="5"/>
      <c r="E9" s="5"/>
      <c r="F9" s="5"/>
      <c r="G9" s="5"/>
      <c r="H9" s="5"/>
      <c r="I9" s="5"/>
      <c r="J9" s="5"/>
      <c r="K9" s="7"/>
      <c r="L9" s="7"/>
      <c r="M9" s="7"/>
      <c r="N9" s="4" t="s">
        <v>1</v>
      </c>
      <c r="O9" s="5"/>
      <c r="P9" s="20">
        <v>3</v>
      </c>
      <c r="Q9" s="182">
        <f>MIN(D13,J11)</f>
        <v>56550</v>
      </c>
      <c r="R9" s="182"/>
      <c r="S9" s="182">
        <f>MIN(D13*(1+J10),J11)</f>
        <v>53157</v>
      </c>
      <c r="T9" s="183"/>
      <c r="U9" s="5"/>
      <c r="V9" s="5"/>
      <c r="W9" s="5"/>
      <c r="X9" s="5"/>
      <c r="Y9" s="5"/>
      <c r="Z9" s="5"/>
      <c r="AA9" s="5"/>
    </row>
    <row r="10" spans="1:27" x14ac:dyDescent="0.25">
      <c r="A10" s="8" t="s">
        <v>19</v>
      </c>
      <c r="B10" s="7"/>
      <c r="C10" s="147" t="s">
        <v>182</v>
      </c>
      <c r="D10" s="184" t="s">
        <v>185</v>
      </c>
      <c r="E10" s="185"/>
      <c r="G10" s="186" t="s">
        <v>186</v>
      </c>
      <c r="H10" s="187"/>
      <c r="I10" s="188"/>
      <c r="J10" s="189">
        <v>-0.06</v>
      </c>
      <c r="K10" s="7"/>
      <c r="L10" s="7"/>
      <c r="M10" s="7"/>
      <c r="N10" s="4" t="s">
        <v>1</v>
      </c>
      <c r="O10" s="5"/>
      <c r="P10" s="27">
        <v>4</v>
      </c>
      <c r="Q10" s="180">
        <f>MIN(D14,J11)</f>
        <v>65000</v>
      </c>
      <c r="R10" s="180"/>
      <c r="S10" s="180">
        <f>MIN(D14*(1+J10),J11)</f>
        <v>65000</v>
      </c>
      <c r="T10" s="181"/>
      <c r="U10" s="5"/>
      <c r="V10" s="5"/>
      <c r="W10" s="5"/>
      <c r="X10" s="5"/>
      <c r="Y10" s="5"/>
      <c r="Z10" s="5"/>
      <c r="AA10" s="5"/>
    </row>
    <row r="11" spans="1:27" x14ac:dyDescent="0.25">
      <c r="A11" s="7"/>
      <c r="B11" s="7"/>
      <c r="C11" s="20">
        <v>1</v>
      </c>
      <c r="D11" s="190">
        <v>45500</v>
      </c>
      <c r="E11" s="191"/>
      <c r="G11" s="72" t="s">
        <v>187</v>
      </c>
      <c r="H11" s="73"/>
      <c r="I11" s="74"/>
      <c r="J11" s="170">
        <v>65000</v>
      </c>
      <c r="K11" s="7"/>
      <c r="L11" s="7"/>
      <c r="M11" s="7"/>
      <c r="N11" s="4" t="s">
        <v>1</v>
      </c>
      <c r="O11" s="5"/>
      <c r="P11" s="27" t="s">
        <v>30</v>
      </c>
      <c r="Q11" s="192">
        <f>SUM(Q7:Q10)</f>
        <v>232050</v>
      </c>
      <c r="R11" s="180"/>
      <c r="S11" s="193">
        <f>SUM(S7:S10)</f>
        <v>223907</v>
      </c>
      <c r="T11" s="181"/>
      <c r="U11" s="5"/>
      <c r="V11" s="5"/>
      <c r="W11" s="5"/>
      <c r="X11" s="5"/>
      <c r="Y11" s="5"/>
      <c r="Z11" s="5"/>
      <c r="AA11" s="5"/>
    </row>
    <row r="12" spans="1:27" x14ac:dyDescent="0.25">
      <c r="A12" s="8"/>
      <c r="B12" s="7"/>
      <c r="C12" s="20">
        <v>2</v>
      </c>
      <c r="D12" s="190">
        <v>67000</v>
      </c>
      <c r="E12" s="191"/>
      <c r="F12" s="5"/>
      <c r="G12" s="5"/>
      <c r="H12" s="5"/>
      <c r="I12" s="5"/>
      <c r="J12" s="5"/>
      <c r="K12" s="7"/>
      <c r="L12" s="7"/>
      <c r="M12" s="7"/>
      <c r="N12" s="4" t="s">
        <v>1</v>
      </c>
      <c r="O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C13" s="20">
        <v>3</v>
      </c>
      <c r="D13" s="190">
        <v>56550</v>
      </c>
      <c r="E13" s="191"/>
      <c r="F13" s="5"/>
      <c r="G13" s="5"/>
      <c r="H13" s="5"/>
      <c r="I13" s="5"/>
      <c r="J13" s="5"/>
      <c r="K13" s="7"/>
      <c r="L13" s="7"/>
      <c r="M13" s="7"/>
      <c r="N13" s="4" t="s">
        <v>1</v>
      </c>
      <c r="O13" s="5"/>
      <c r="P13" s="5" t="s">
        <v>188</v>
      </c>
      <c r="Q13" s="5"/>
      <c r="R13" s="5"/>
      <c r="S13" s="6" t="s">
        <v>37</v>
      </c>
      <c r="T13" s="194">
        <f>S11</f>
        <v>223907</v>
      </c>
      <c r="U13" s="10" t="s">
        <v>80</v>
      </c>
      <c r="V13" s="195">
        <f>Q11</f>
        <v>232050</v>
      </c>
      <c r="W13" s="6" t="s">
        <v>132</v>
      </c>
      <c r="X13" s="6">
        <v>1</v>
      </c>
      <c r="Y13" s="5"/>
      <c r="Z13" s="5"/>
      <c r="AA13" s="5"/>
    </row>
    <row r="14" spans="1:27" x14ac:dyDescent="0.25">
      <c r="A14" s="7"/>
      <c r="B14" s="7"/>
      <c r="C14" s="27">
        <v>4</v>
      </c>
      <c r="D14" s="196">
        <v>103350</v>
      </c>
      <c r="E14" s="197"/>
      <c r="F14" s="5"/>
      <c r="G14" s="5"/>
      <c r="H14" s="5"/>
      <c r="I14" s="5"/>
      <c r="J14" s="5"/>
      <c r="K14" s="7"/>
      <c r="L14" s="7"/>
      <c r="M14" s="7"/>
      <c r="N14" s="4" t="s">
        <v>1</v>
      </c>
      <c r="O14" s="5"/>
      <c r="P14" s="5"/>
      <c r="Q14" s="5"/>
      <c r="R14" s="5"/>
      <c r="S14" s="6" t="s">
        <v>37</v>
      </c>
      <c r="T14" s="198">
        <f>T13/V13-1</f>
        <v>-3.5091575091575122E-2</v>
      </c>
      <c r="U14" s="5"/>
      <c r="V14" s="5"/>
      <c r="W14" s="5"/>
      <c r="X14" s="5"/>
      <c r="Y14" s="5"/>
      <c r="Z14" s="5"/>
      <c r="AA14" s="5"/>
    </row>
    <row r="15" spans="1:27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  <c r="N15" s="4" t="s">
        <v>1</v>
      </c>
      <c r="O15" s="5"/>
      <c r="P15" s="5"/>
      <c r="Q15" s="5"/>
      <c r="R15" s="5"/>
      <c r="S15" s="5"/>
      <c r="T15" s="42" t="s">
        <v>32</v>
      </c>
      <c r="U15" s="5"/>
      <c r="V15" s="5"/>
      <c r="W15" s="5"/>
      <c r="X15" s="5"/>
      <c r="Y15" s="5"/>
      <c r="Z15" s="5"/>
      <c r="AA15" s="5"/>
    </row>
    <row r="16" spans="1:27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  <c r="N16" s="4" t="s">
        <v>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3:27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  <c r="N17" s="4" t="s">
        <v>1</v>
      </c>
      <c r="O17" s="174" t="s">
        <v>10</v>
      </c>
      <c r="P17" s="2" t="s">
        <v>189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3:27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  <c r="N18" s="4" t="s">
        <v>1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3:27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4" t="s">
        <v>1</v>
      </c>
      <c r="O19" s="5"/>
      <c r="P19" s="175"/>
      <c r="Q19" s="176" t="s">
        <v>180</v>
      </c>
      <c r="R19" s="177"/>
      <c r="S19" s="178" t="s">
        <v>181</v>
      </c>
      <c r="T19" s="177"/>
      <c r="U19" s="178" t="s">
        <v>181</v>
      </c>
      <c r="V19" s="179"/>
      <c r="W19" s="5"/>
      <c r="X19" s="5"/>
      <c r="Y19" s="5"/>
      <c r="Z19" s="5"/>
      <c r="AA19" s="5"/>
    </row>
    <row r="20" spans="3:27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  <c r="N20" s="4" t="s">
        <v>1</v>
      </c>
      <c r="O20" s="5"/>
      <c r="P20" s="27" t="s">
        <v>182</v>
      </c>
      <c r="Q20" s="180" t="s">
        <v>190</v>
      </c>
      <c r="R20" s="180"/>
      <c r="S20" s="180" t="s">
        <v>191</v>
      </c>
      <c r="T20" s="180"/>
      <c r="U20" s="180" t="s">
        <v>190</v>
      </c>
      <c r="V20" s="181"/>
      <c r="W20" s="5"/>
      <c r="X20" s="5"/>
      <c r="Y20" s="5"/>
      <c r="Z20" s="5"/>
      <c r="AA20" s="5"/>
    </row>
    <row r="21" spans="3:27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4" t="s">
        <v>1</v>
      </c>
      <c r="O21" s="5"/>
      <c r="P21" s="20">
        <v>1</v>
      </c>
      <c r="Q21" s="182">
        <f>MAX(0,D11-J11)</f>
        <v>0</v>
      </c>
      <c r="R21" s="182"/>
      <c r="S21" s="182">
        <f>D11*(1+J10)</f>
        <v>42770</v>
      </c>
      <c r="T21" s="177"/>
      <c r="U21" s="182">
        <f>MAX(0,S21-J11)</f>
        <v>0</v>
      </c>
      <c r="V21" s="183"/>
      <c r="W21" s="5"/>
      <c r="X21" s="5"/>
      <c r="Y21" s="5"/>
      <c r="Z21" s="5"/>
      <c r="AA21" s="5"/>
    </row>
    <row r="22" spans="3:27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  <c r="N22" s="4" t="s">
        <v>1</v>
      </c>
      <c r="O22" s="5"/>
      <c r="P22" s="20">
        <v>2</v>
      </c>
      <c r="Q22" s="182">
        <f>MAX(0,D12-J11)</f>
        <v>2000</v>
      </c>
      <c r="R22" s="182"/>
      <c r="S22" s="182">
        <f>D12*(1+J10)</f>
        <v>62980</v>
      </c>
      <c r="T22" s="182"/>
      <c r="U22" s="182">
        <f>MAX(0,S22-J11)</f>
        <v>0</v>
      </c>
      <c r="V22" s="183"/>
      <c r="W22" s="5"/>
      <c r="X22" s="5"/>
      <c r="Y22" s="5"/>
      <c r="Z22" s="5"/>
      <c r="AA22" s="5"/>
    </row>
    <row r="23" spans="3:27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 s="4" t="s">
        <v>1</v>
      </c>
      <c r="O23" s="5"/>
      <c r="P23" s="20">
        <v>3</v>
      </c>
      <c r="Q23" s="182">
        <f>MAX(0,D13-J11)</f>
        <v>0</v>
      </c>
      <c r="R23" s="182"/>
      <c r="S23" s="182">
        <f>D13*(1+J10)</f>
        <v>53157</v>
      </c>
      <c r="T23" s="182"/>
      <c r="U23" s="182">
        <f>MAX(0,S23-J11)</f>
        <v>0</v>
      </c>
      <c r="V23" s="183"/>
      <c r="W23" s="5"/>
      <c r="X23" s="5"/>
      <c r="Y23" s="5"/>
      <c r="Z23" s="5"/>
      <c r="AA23" s="5"/>
    </row>
    <row r="24" spans="3:27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  <c r="N24" s="4" t="s">
        <v>1</v>
      </c>
      <c r="O24" s="5"/>
      <c r="P24" s="27">
        <v>4</v>
      </c>
      <c r="Q24" s="180">
        <f>MAX(0,D14-J11)</f>
        <v>38350</v>
      </c>
      <c r="R24" s="180"/>
      <c r="S24" s="180">
        <f>D14*(1+J10)</f>
        <v>97149</v>
      </c>
      <c r="T24" s="180"/>
      <c r="U24" s="180">
        <f>MAX(0,S24-J11)</f>
        <v>32149</v>
      </c>
      <c r="V24" s="181"/>
      <c r="W24" s="5"/>
      <c r="X24" s="5"/>
      <c r="Y24" s="5"/>
      <c r="Z24" s="5"/>
      <c r="AA24" s="5"/>
    </row>
    <row r="25" spans="3:2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  <c r="N25" s="4" t="s">
        <v>1</v>
      </c>
      <c r="O25" s="5"/>
      <c r="P25" s="27" t="s">
        <v>30</v>
      </c>
      <c r="Q25" s="192">
        <f>SUM(Q21:Q24)</f>
        <v>40350</v>
      </c>
      <c r="R25" s="180"/>
      <c r="S25" s="199">
        <f>SUM(S21:S24)</f>
        <v>256056</v>
      </c>
      <c r="T25" s="200"/>
      <c r="U25" s="193">
        <f>SUM(U21:U24)</f>
        <v>32149</v>
      </c>
      <c r="V25" s="181"/>
      <c r="W25" s="5"/>
      <c r="X25" s="5"/>
      <c r="Y25" s="5"/>
      <c r="Z25" s="5"/>
      <c r="AA25" s="5"/>
    </row>
    <row r="26" spans="3:2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4" t="s">
        <v>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3:2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4" t="s">
        <v>1</v>
      </c>
      <c r="O27" s="5"/>
      <c r="P27" s="5" t="s">
        <v>192</v>
      </c>
      <c r="Q27" s="5"/>
      <c r="R27" s="5"/>
      <c r="S27" s="6" t="s">
        <v>37</v>
      </c>
      <c r="T27" s="194">
        <f>U25</f>
        <v>32149</v>
      </c>
      <c r="U27" s="10" t="s">
        <v>80</v>
      </c>
      <c r="V27" s="195">
        <f>Q25</f>
        <v>40350</v>
      </c>
      <c r="W27" s="6" t="s">
        <v>132</v>
      </c>
      <c r="X27" s="6">
        <v>1</v>
      </c>
      <c r="Y27" s="5"/>
      <c r="Z27" s="5"/>
      <c r="AA27" s="5"/>
    </row>
    <row r="28" spans="3:2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4" t="s">
        <v>1</v>
      </c>
      <c r="O28" s="5"/>
      <c r="P28" s="5"/>
      <c r="Q28" s="5"/>
      <c r="R28" s="5"/>
      <c r="S28" s="6" t="s">
        <v>37</v>
      </c>
      <c r="T28" s="198">
        <f>T27/V27-1</f>
        <v>-0.20324659231722431</v>
      </c>
      <c r="U28" s="5"/>
      <c r="V28" s="5"/>
      <c r="W28" s="5"/>
      <c r="X28" s="5"/>
      <c r="Y28" s="5"/>
      <c r="Z28" s="5"/>
      <c r="AA28" s="5"/>
    </row>
    <row r="29" spans="3:2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 s="4" t="s">
        <v>1</v>
      </c>
      <c r="O29" s="5"/>
      <c r="P29" s="5"/>
      <c r="Q29" s="5"/>
      <c r="R29" s="5"/>
      <c r="S29" s="5"/>
      <c r="T29" s="42" t="s">
        <v>32</v>
      </c>
      <c r="U29" s="5"/>
      <c r="V29" s="5"/>
      <c r="W29" s="5"/>
      <c r="X29" s="5"/>
      <c r="Y29" s="5"/>
      <c r="Z29" s="5"/>
      <c r="AA29" s="5"/>
    </row>
    <row r="30" spans="3:2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 s="4" t="s">
        <v>1</v>
      </c>
      <c r="O31" s="201" t="s">
        <v>193</v>
      </c>
      <c r="P31" s="201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 s="4" t="s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4" t="s">
        <v>1</v>
      </c>
      <c r="O33" s="5"/>
      <c r="P33" s="5" t="s">
        <v>194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4" t="s">
        <v>1</v>
      </c>
      <c r="O34" s="5"/>
      <c r="P34" s="5" t="s">
        <v>195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4" t="s">
        <v>1</v>
      </c>
      <c r="O35" s="5"/>
      <c r="P35" s="6" t="s">
        <v>196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4" t="s">
        <v>1</v>
      </c>
      <c r="O36" s="5"/>
      <c r="P36" s="5" t="s">
        <v>197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4" t="s">
        <v>1</v>
      </c>
      <c r="O38" s="5"/>
      <c r="P38" s="5" t="s">
        <v>198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 t="s">
        <v>1</v>
      </c>
      <c r="O39" s="5"/>
      <c r="P39" s="202" t="s">
        <v>199</v>
      </c>
      <c r="Q39" s="5" t="s">
        <v>200</v>
      </c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202" t="s">
        <v>199</v>
      </c>
      <c r="Q40" s="5" t="s">
        <v>201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4" t="s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4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4" t="s">
        <v>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4" t="s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4" t="s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4" t="s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W-06-xs</vt:lpstr>
      <vt:lpstr>W-06-Ben</vt:lpstr>
      <vt:lpstr>W-06-Trd1</vt:lpstr>
      <vt:lpstr>W-06-Trd2</vt:lpstr>
      <vt:lpstr>W-06-Levg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2021-01-28T17:27:01Z</dcterms:created>
  <dcterms:modified xsi:type="dcterms:W3CDTF">2021-04-27T14:31:51Z</dcterms:modified>
</cp:coreProperties>
</file>