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 Set 2\"/>
    </mc:Choice>
  </mc:AlternateContent>
  <bookViews>
    <workbookView xWindow="0" yWindow="0" windowWidth="28800" windowHeight="12300"/>
  </bookViews>
  <sheets>
    <sheet name="TOC" sheetId="1" r:id="rId1"/>
    <sheet name="W-11-UnCen" sheetId="2" r:id="rId2"/>
    <sheet name="W-11-Cen" sheetId="3" r:id="rId3"/>
    <sheet name="W-11-Grd" sheetId="4" r:id="rId4"/>
    <sheet name="W-11-Net" sheetId="5" r:id="rId5"/>
    <sheet name="W-11-WC1" sheetId="6" r:id="rId6"/>
    <sheet name="W-11-WC2" sheetId="7" r:id="rId7"/>
    <sheet name="W-11-ITV1" sheetId="8" r:id="rId8"/>
    <sheet name="W-11-ITV2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5" l="1"/>
  <c r="R13" i="5"/>
  <c r="Q13" i="5"/>
  <c r="X23" i="8" l="1"/>
  <c r="Q7" i="7"/>
  <c r="S8" i="7"/>
  <c r="Q9" i="6"/>
  <c r="V11" i="6"/>
  <c r="P11" i="6"/>
  <c r="Q9" i="5"/>
  <c r="T26" i="4"/>
  <c r="S10" i="4"/>
  <c r="S11" i="4"/>
  <c r="S12" i="4"/>
  <c r="Q7" i="2"/>
  <c r="P18" i="2"/>
  <c r="U29" i="2"/>
  <c r="S6" i="9"/>
  <c r="U6" i="9"/>
  <c r="S14" i="9"/>
  <c r="S20" i="9"/>
  <c r="U20" i="9"/>
  <c r="R26" i="9"/>
  <c r="P7" i="8"/>
  <c r="Q8" i="8"/>
  <c r="V19" i="8"/>
  <c r="P7" i="7"/>
  <c r="R7" i="7"/>
  <c r="S7" i="7"/>
  <c r="V7" i="7"/>
  <c r="Q8" i="7"/>
  <c r="R8" i="7"/>
  <c r="P16" i="7"/>
  <c r="Q17" i="7"/>
  <c r="P8" i="6"/>
  <c r="Q8" i="6"/>
  <c r="S8" i="6"/>
  <c r="V8" i="6"/>
  <c r="P9" i="6"/>
  <c r="Q11" i="6"/>
  <c r="Q7" i="5"/>
  <c r="Q8" i="5"/>
  <c r="P18" i="5"/>
  <c r="T24" i="5" s="1"/>
  <c r="V18" i="5"/>
  <c r="P8" i="4"/>
  <c r="Q8" i="4"/>
  <c r="R8" i="4"/>
  <c r="S8" i="4"/>
  <c r="P9" i="4"/>
  <c r="Q9" i="4"/>
  <c r="P10" i="4"/>
  <c r="Q10" i="4"/>
  <c r="P11" i="4"/>
  <c r="Q11" i="4"/>
  <c r="R11" i="4"/>
  <c r="P12" i="4"/>
  <c r="R9" i="3"/>
  <c r="P21" i="3" s="1"/>
  <c r="V9" i="3"/>
  <c r="R10" i="3"/>
  <c r="P22" i="3" s="1"/>
  <c r="Q11" i="3"/>
  <c r="T11" i="3"/>
  <c r="P27" i="3" s="1"/>
  <c r="V11" i="3"/>
  <c r="T17" i="3"/>
  <c r="T19" i="3"/>
  <c r="R22" i="3"/>
  <c r="P23" i="3"/>
  <c r="R27" i="3"/>
  <c r="V30" i="3"/>
  <c r="P40" i="3" s="1"/>
  <c r="S33" i="3"/>
  <c r="S34" i="3"/>
  <c r="P41" i="3"/>
  <c r="P47" i="3"/>
  <c r="P50" i="3"/>
  <c r="R50" i="3"/>
  <c r="V50" i="3"/>
  <c r="R54" i="3"/>
  <c r="P56" i="3" s="1"/>
  <c r="T54" i="3"/>
  <c r="P57" i="3" s="1"/>
  <c r="R56" i="3"/>
  <c r="R57" i="3"/>
  <c r="R7" i="8" l="1"/>
  <c r="R8" i="8" s="1"/>
  <c r="P8" i="8"/>
  <c r="S8" i="8" s="1"/>
  <c r="T8" i="8" s="1"/>
  <c r="T19" i="8"/>
  <c r="Q7" i="8"/>
  <c r="S7" i="8" s="1"/>
  <c r="T7" i="8" s="1"/>
  <c r="T9" i="8" s="1"/>
  <c r="T15" i="8" s="1"/>
  <c r="R16" i="8" s="1"/>
  <c r="R19" i="8" s="1"/>
  <c r="R20" i="8" s="1"/>
  <c r="R15" i="8"/>
  <c r="R17" i="7"/>
  <c r="V8" i="7"/>
  <c r="R16" i="7"/>
  <c r="U7" i="7"/>
  <c r="Q16" i="7"/>
  <c r="Q10" i="5"/>
  <c r="P20" i="4"/>
  <c r="R10" i="4"/>
  <c r="R12" i="4"/>
  <c r="Q9" i="3"/>
  <c r="Q10" i="3"/>
  <c r="T57" i="3"/>
  <c r="P46" i="3"/>
  <c r="V10" i="3"/>
  <c r="T18" i="3"/>
  <c r="V47" i="3"/>
  <c r="T56" i="3"/>
  <c r="R47" i="3"/>
  <c r="T30" i="3"/>
  <c r="P37" i="3" s="1"/>
  <c r="P9" i="3"/>
  <c r="R29" i="2"/>
  <c r="P22" i="2"/>
  <c r="Q9" i="2"/>
  <c r="Q12" i="2"/>
  <c r="Q10" i="2"/>
  <c r="P29" i="2"/>
  <c r="R22" i="2"/>
  <c r="Q8" i="2"/>
  <c r="V9" i="6"/>
  <c r="Q10" i="6"/>
  <c r="V10" i="6"/>
  <c r="T9" i="6"/>
  <c r="P10" i="6"/>
  <c r="T8" i="6"/>
  <c r="P11" i="3"/>
  <c r="R19" i="3"/>
  <c r="V17" i="3"/>
  <c r="S9" i="4"/>
  <c r="S13" i="4" s="1"/>
  <c r="W21" i="4" s="1"/>
  <c r="V19" i="5"/>
  <c r="S10" i="6"/>
  <c r="S11" i="6"/>
  <c r="U9" i="6"/>
  <c r="R21" i="3"/>
  <c r="V19" i="2"/>
  <c r="R26" i="3"/>
  <c r="V18" i="3"/>
  <c r="T10" i="3"/>
  <c r="P26" i="3" s="1"/>
  <c r="W5" i="4"/>
  <c r="T10" i="4" s="1"/>
  <c r="R7" i="5"/>
  <c r="S9" i="6"/>
  <c r="U8" i="6"/>
  <c r="S7" i="9"/>
  <c r="R8" i="9" s="1"/>
  <c r="V23" i="2"/>
  <c r="R18" i="2"/>
  <c r="Q11" i="2"/>
  <c r="P7" i="2"/>
  <c r="Q33" i="3"/>
  <c r="T48" i="3" s="1"/>
  <c r="R9" i="5"/>
  <c r="S9" i="5" s="1"/>
  <c r="T9" i="3"/>
  <c r="P25" i="3" s="1"/>
  <c r="R9" i="4"/>
  <c r="R13" i="4" s="1"/>
  <c r="T26" i="9"/>
  <c r="R27" i="9" s="1"/>
  <c r="U14" i="9"/>
  <c r="R15" i="9" s="1"/>
  <c r="X20" i="9" s="1"/>
  <c r="R21" i="9" s="1"/>
  <c r="P34" i="3"/>
  <c r="T50" i="3" s="1"/>
  <c r="P38" i="3" l="1"/>
  <c r="Q13" i="2"/>
  <c r="R23" i="2" s="1"/>
  <c r="R24" i="2" s="1"/>
  <c r="R30" i="2" s="1"/>
  <c r="S9" i="3"/>
  <c r="U9" i="3" s="1"/>
  <c r="T8" i="7"/>
  <c r="W8" i="7" s="1"/>
  <c r="X8" i="7" s="1"/>
  <c r="S17" i="7" s="1"/>
  <c r="T17" i="7" s="1"/>
  <c r="U17" i="7" s="1"/>
  <c r="U8" i="7"/>
  <c r="T7" i="7"/>
  <c r="W7" i="7" s="1"/>
  <c r="X7" i="7" s="1"/>
  <c r="S16" i="7" s="1"/>
  <c r="T16" i="7" s="1"/>
  <c r="U16" i="7" s="1"/>
  <c r="R11" i="5"/>
  <c r="R8" i="5"/>
  <c r="S8" i="5" s="1"/>
  <c r="S19" i="5" s="1"/>
  <c r="S20" i="5" s="1"/>
  <c r="T25" i="5" s="1"/>
  <c r="R26" i="5" s="1"/>
  <c r="R10" i="5"/>
  <c r="S10" i="5" s="1"/>
  <c r="T11" i="4"/>
  <c r="R48" i="3"/>
  <c r="R46" i="3"/>
  <c r="R17" i="3"/>
  <c r="Q34" i="3"/>
  <c r="T51" i="3" s="1"/>
  <c r="V34" i="3"/>
  <c r="P33" i="3"/>
  <c r="T47" i="3" s="1"/>
  <c r="S25" i="6"/>
  <c r="W8" i="6"/>
  <c r="X8" i="6" s="1"/>
  <c r="Y8" i="6" s="1"/>
  <c r="T10" i="6"/>
  <c r="T11" i="6"/>
  <c r="P17" i="7"/>
  <c r="P8" i="7"/>
  <c r="P8" i="2"/>
  <c r="P9" i="2"/>
  <c r="P11" i="2"/>
  <c r="P10" i="2"/>
  <c r="P12" i="2"/>
  <c r="P17" i="3"/>
  <c r="S11" i="3"/>
  <c r="U11" i="3" s="1"/>
  <c r="V51" i="3" s="1"/>
  <c r="P19" i="3"/>
  <c r="T9" i="4"/>
  <c r="T8" i="4"/>
  <c r="T12" i="4"/>
  <c r="R18" i="3"/>
  <c r="P10" i="3"/>
  <c r="V33" i="3"/>
  <c r="R25" i="3"/>
  <c r="W9" i="6"/>
  <c r="X9" i="6" s="1"/>
  <c r="Y9" i="6" s="1"/>
  <c r="U11" i="6"/>
  <c r="U10" i="6"/>
  <c r="T13" i="4" l="1"/>
  <c r="R21" i="4" s="1"/>
  <c r="R22" i="4" s="1"/>
  <c r="T27" i="4" s="1"/>
  <c r="R28" i="4" s="1"/>
  <c r="W11" i="6"/>
  <c r="X11" i="6" s="1"/>
  <c r="Y11" i="6" s="1"/>
  <c r="Q30" i="6"/>
  <c r="R8" i="6"/>
  <c r="R9" i="6" s="1"/>
  <c r="R10" i="6" s="1"/>
  <c r="W10" i="6"/>
  <c r="X10" i="6" s="1"/>
  <c r="Y10" i="6" s="1"/>
  <c r="P13" i="2"/>
  <c r="R19" i="2" s="1"/>
  <c r="R20" i="2" s="1"/>
  <c r="U30" i="2" s="1"/>
  <c r="R31" i="2" s="1"/>
  <c r="P18" i="3"/>
  <c r="S10" i="3"/>
  <c r="U10" i="3" s="1"/>
  <c r="V48" i="3" s="1"/>
  <c r="R49" i="3" s="1"/>
  <c r="Z10" i="6" l="1"/>
  <c r="Z8" i="6"/>
  <c r="R11" i="6"/>
  <c r="Z11" i="6" s="1"/>
  <c r="Z9" i="6"/>
  <c r="R51" i="3"/>
  <c r="R52" i="3" s="1"/>
  <c r="V57" i="3" s="1"/>
  <c r="V56" i="3"/>
  <c r="W21" i="6" l="1"/>
  <c r="T30" i="6" s="1"/>
  <c r="Q31" i="6" s="1"/>
  <c r="Q25" i="6" l="1"/>
  <c r="Q26" i="6" s="1"/>
</calcChain>
</file>

<file path=xl/sharedStrings.xml><?xml version="1.0" encoding="utf-8"?>
<sst xmlns="http://schemas.openxmlformats.org/spreadsheetml/2006/main" count="1052" uniqueCount="229">
  <si>
    <t>Sheet</t>
  </si>
  <si>
    <t>Type</t>
  </si>
  <si>
    <t>W-11-UnCen</t>
  </si>
  <si>
    <t>Increase Limits Factor - Uncensored Data</t>
  </si>
  <si>
    <t>W-11-Cen</t>
  </si>
  <si>
    <t>Increase Limits Factor - Censored Data</t>
  </si>
  <si>
    <t>W-11-Grd</t>
  </si>
  <si>
    <t>Deductible Relativities - Ground-up Losses</t>
  </si>
  <si>
    <t>W-11-Net</t>
  </si>
  <si>
    <t>Deductible Relativities - Net Losses</t>
  </si>
  <si>
    <t>W-11-WC1</t>
  </si>
  <si>
    <t>WC - Premium Discount</t>
  </si>
  <si>
    <t>W-11-WC2</t>
  </si>
  <si>
    <t>WC - Loss Constant</t>
  </si>
  <si>
    <t>W-11-ITV1</t>
  </si>
  <si>
    <t>ITV - Premium Rate per $1,000 of Coverage</t>
  </si>
  <si>
    <t>W-11-ITV2</t>
  </si>
  <si>
    <t>ITV - Coinsurance</t>
  </si>
  <si>
    <t>Reading:</t>
  </si>
  <si>
    <t>Werner 11:  Special Classification</t>
  </si>
  <si>
    <t>Return to TOC</t>
  </si>
  <si>
    <t>|</t>
  </si>
  <si>
    <t>Model:</t>
  </si>
  <si>
    <t>Text Example</t>
  </si>
  <si>
    <t>Problem Type:</t>
  </si>
  <si>
    <t>Step 1</t>
  </si>
  <si>
    <t xml:space="preserve"> cap the reported losses at the basic limit and at the increased limit</t>
  </si>
  <si>
    <t>Find</t>
  </si>
  <si>
    <t xml:space="preserve">Calculate the increased limits factors for </t>
  </si>
  <si>
    <t>capped</t>
  </si>
  <si>
    <t>at</t>
  </si>
  <si>
    <t>Given</t>
  </si>
  <si>
    <t>Basic policy limit:</t>
  </si>
  <si>
    <t>loss range</t>
  </si>
  <si>
    <t>lower</t>
  </si>
  <si>
    <t>upper</t>
  </si>
  <si>
    <t>reported</t>
  </si>
  <si>
    <t>limit</t>
  </si>
  <si>
    <t>counts</t>
  </si>
  <si>
    <t>loss</t>
  </si>
  <si>
    <r>
      <t xml:space="preserve"> </t>
    </r>
    <r>
      <rPr>
        <b/>
        <sz val="11"/>
        <color theme="1"/>
        <rFont val="Calibri"/>
        <family val="2"/>
        <scheme val="minor"/>
      </rPr>
      <t>&lt;==</t>
    </r>
    <r>
      <rPr>
        <sz val="11"/>
        <color theme="1"/>
        <rFont val="Calibri"/>
        <family val="2"/>
        <scheme val="minor"/>
      </rPr>
      <t xml:space="preserve"> total</t>
    </r>
  </si>
  <si>
    <t>Step 2</t>
  </si>
  <si>
    <t xml:space="preserve"> calculate the Limited Average Severity for both limits</t>
  </si>
  <si>
    <t>=</t>
  </si>
  <si>
    <t>/</t>
  </si>
  <si>
    <t>(total counts)</t>
  </si>
  <si>
    <t>Step 3</t>
  </si>
  <si>
    <t xml:space="preserve"> calculate the Increased Limits Factor for the higher limit</t>
  </si>
  <si>
    <t xml:space="preserve"> calculate the conditional Limited Average Severity for each layer</t>
  </si>
  <si>
    <t>and</t>
  </si>
  <si>
    <t>(1)</t>
  </si>
  <si>
    <t>(2)</t>
  </si>
  <si>
    <t>(3)</t>
  </si>
  <si>
    <t>(4)</t>
  </si>
  <si>
    <t>(5)</t>
  </si>
  <si>
    <t>(6)</t>
  </si>
  <si>
    <t>losses</t>
  </si>
  <si>
    <t>size</t>
  </si>
  <si>
    <t>total</t>
  </si>
  <si>
    <t>relevant</t>
  </si>
  <si>
    <t>in layer</t>
  </si>
  <si>
    <t>of</t>
  </si>
  <si>
    <t>excess</t>
  </si>
  <si>
    <t>LAS</t>
  </si>
  <si>
    <t>(capped)</t>
  </si>
  <si>
    <t>layer</t>
  </si>
  <si>
    <t>for layer</t>
  </si>
  <si>
    <t>policy limit:</t>
  </si>
  <si>
    <t># clms</t>
  </si>
  <si>
    <t xml:space="preserve">      (1), (3), (5) = see below</t>
  </si>
  <si>
    <t>= (upper limit of layer) - (lower limit of layer)</t>
  </si>
  <si>
    <t xml:space="preserve">      (use raw data table)</t>
  </si>
  <si>
    <t>= (1) + (2)*(3)</t>
  </si>
  <si>
    <t>= (4) / (5)</t>
  </si>
  <si>
    <t>Total</t>
  </si>
  <si>
    <t>+</t>
  </si>
  <si>
    <t>-</t>
  </si>
  <si>
    <t>there are no excess counts to consider for the highest layer</t>
  </si>
  <si>
    <t>Step2</t>
  </si>
  <si>
    <t xml:space="preserve"> calculate probabilities of a claim X exceeding:</t>
  </si>
  <si>
    <t>amount A</t>
  </si>
  <si>
    <t>P(X &gt; A)</t>
  </si>
  <si>
    <t>Note:</t>
  </si>
  <si>
    <t>Step 3a</t>
  </si>
  <si>
    <t xml:space="preserve"> calculate the Limited Average Severity for each limit using the above information for layers</t>
  </si>
  <si>
    <t xml:space="preserve"> (directly from Step 1)</t>
  </si>
  <si>
    <t>x</t>
  </si>
  <si>
    <t>Step 3b</t>
  </si>
  <si>
    <t xml:space="preserve"> calculate the ILFs for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</si>
  <si>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final answer</t>
    </r>
  </si>
  <si>
    <t>Increase Limits Fact - Hard Version</t>
  </si>
  <si>
    <t xml:space="preserve"> add a column to the data table showing losses eliminated by the deductible</t>
  </si>
  <si>
    <t>Calculate the loss elimination ratio and deductible relativity for the indicated deductible.</t>
  </si>
  <si>
    <t>size of loss</t>
  </si>
  <si>
    <t>ground-up</t>
  </si>
  <si>
    <t>deductible:</t>
  </si>
  <si>
    <t>elimin.</t>
  </si>
  <si>
    <t>deductible</t>
  </si>
  <si>
    <t>by deduc.</t>
  </si>
  <si>
    <t>if (upper limit) &lt;= deductible then loss eliminated is:</t>
  </si>
  <si>
    <t>full ground-up reported losses</t>
  </si>
  <si>
    <t>if (upper limit) &gt;   deductible then loss eliminated is:</t>
  </si>
  <si>
    <t>deductible x (reported counts)</t>
  </si>
  <si>
    <t>Step 2a</t>
  </si>
  <si>
    <t xml:space="preserve"> calculate the Loss Elimination Ratio</t>
  </si>
  <si>
    <t>(total loss eliminated by deductible)</t>
  </si>
  <si>
    <t>(total ground-up reported losses)</t>
  </si>
  <si>
    <t>Step 2b</t>
  </si>
  <si>
    <t xml:space="preserve"> calculate the deductible relativity</t>
  </si>
  <si>
    <t>relativity</t>
  </si>
  <si>
    <t>Deductible Relativities</t>
  </si>
  <si>
    <t xml:space="preserve"> calculate the loss eliminated in moving from D1 to D2</t>
  </si>
  <si>
    <t>net loss</t>
  </si>
  <si>
    <t>for</t>
  </si>
  <si>
    <t>D</t>
  </si>
  <si>
    <t>elim.</t>
  </si>
  <si>
    <t>deductible D1</t>
  </si>
  <si>
    <t>deductible D2</t>
  </si>
  <si>
    <t>--</t>
  </si>
  <si>
    <t xml:space="preserve"> calculate LER (Loss Elimination Ratio)</t>
  </si>
  <si>
    <t>(loss eliminated)</t>
  </si>
  <si>
    <t>Calculate the loss elimination ratio and deductible relativity moving from deductible D1 to D2.</t>
  </si>
  <si>
    <t xml:space="preserve"> add columns to the given data table as follows:</t>
  </si>
  <si>
    <t>(8)</t>
  </si>
  <si>
    <t>(9)</t>
  </si>
  <si>
    <t>(10)</t>
  </si>
  <si>
    <t>(11)</t>
  </si>
  <si>
    <t>(a)</t>
  </si>
  <si>
    <t>dollar amount of premium discount</t>
  </si>
  <si>
    <t>premium</t>
  </si>
  <si>
    <t>(7)</t>
  </si>
  <si>
    <t>expense</t>
  </si>
  <si>
    <t>(b)</t>
  </si>
  <si>
    <t>percentage discount</t>
  </si>
  <si>
    <t>premium range</t>
  </si>
  <si>
    <t>in range</t>
  </si>
  <si>
    <t>production</t>
  </si>
  <si>
    <t>general</t>
  </si>
  <si>
    <t>taxes</t>
  </si>
  <si>
    <t>profit</t>
  </si>
  <si>
    <t>expenses</t>
  </si>
  <si>
    <t>reduction</t>
  </si>
  <si>
    <t>% discnt</t>
  </si>
  <si>
    <t xml:space="preserve"> $ discnt</t>
  </si>
  <si>
    <t>(c)</t>
  </si>
  <si>
    <t>final discounted premium</t>
  </si>
  <si>
    <t>standard premium</t>
  </si>
  <si>
    <t xml:space="preserve"> = min[ (2)-(1), standard premium - sumPrior(3) ]</t>
  </si>
  <si>
    <t xml:space="preserve"> = (4) + (5) + (6) + (7)</t>
  </si>
  <si>
    <t xml:space="preserve"> = [ (8 row1) - (8) ]</t>
  </si>
  <si>
    <t xml:space="preserve"> = (9) / [ 1.0 - (6)-(7) ]</t>
  </si>
  <si>
    <t xml:space="preserve"> = (3) x (10)</t>
  </si>
  <si>
    <t xml:space="preserve"> calculate the required amounts</t>
  </si>
  <si>
    <t>dolar amount of premium discount</t>
  </si>
  <si>
    <t>(Tot 11)</t>
  </si>
  <si>
    <t>(standard premium)</t>
  </si>
  <si>
    <t>Calculate the following quantities:</t>
  </si>
  <si>
    <t xml:space="preserve"> calculate the premium shortfall and the corresponding loss constant</t>
  </si>
  <si>
    <t>to meet the target loss ratios</t>
  </si>
  <si>
    <t># risks</t>
  </si>
  <si>
    <t>rptd loss</t>
  </si>
  <si>
    <t>initial LR</t>
  </si>
  <si>
    <t>target LR</t>
  </si>
  <si>
    <t>shortfall</t>
  </si>
  <si>
    <t>constant</t>
  </si>
  <si>
    <t>---</t>
  </si>
  <si>
    <t xml:space="preserve"> = [ (5) / (7) ] - (4)</t>
  </si>
  <si>
    <t xml:space="preserve"> = (8) / (3)</t>
  </si>
  <si>
    <t>Check the result:</t>
  </si>
  <si>
    <t>(12)</t>
  </si>
  <si>
    <t>new</t>
  </si>
  <si>
    <t>LR</t>
  </si>
  <si>
    <t>difference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</si>
  <si>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difference should be 0.0%</t>
    </r>
  </si>
  <si>
    <t xml:space="preserve"> = [ (3)x (9) ] + (4)</t>
  </si>
  <si>
    <t xml:space="preserve"> = (5) / (10)</t>
  </si>
  <si>
    <t xml:space="preserve"> = (11) - (7)</t>
  </si>
  <si>
    <t xml:space="preserve">Calculate the loss constant to be added to the premium for each range </t>
  </si>
  <si>
    <t>Text Example (Simplified)</t>
  </si>
  <si>
    <t xml:space="preserve"> calculate the average expected payment subject to the maximum payment of AOI</t>
  </si>
  <si>
    <t>Calculate the rate per $1,000 of coverage.</t>
  </si>
  <si>
    <t>average</t>
  </si>
  <si>
    <t>dist.</t>
  </si>
  <si>
    <t>payment</t>
  </si>
  <si>
    <t>value of home</t>
  </si>
  <si>
    <t>AOI</t>
  </si>
  <si>
    <t>frequency of loss</t>
  </si>
  <si>
    <r>
      <t xml:space="preserve"> </t>
    </r>
    <r>
      <rPr>
        <b/>
        <i/>
        <sz val="11"/>
        <color theme="1"/>
        <rFont val="Calibri"/>
        <family val="2"/>
        <scheme val="minor"/>
      </rPr>
      <t>&lt;==</t>
    </r>
    <r>
      <rPr>
        <i/>
        <sz val="11"/>
        <color theme="1"/>
        <rFont val="Calibri"/>
        <family val="2"/>
        <scheme val="minor"/>
      </rPr>
      <t xml:space="preserve"> weighted by loss distribution</t>
    </r>
  </si>
  <si>
    <t>The severity of loss is uniformly distributed between 0 and the value of the home.</t>
  </si>
  <si>
    <t xml:space="preserve"> calculate the pure premium and the premium rate per $1,000</t>
  </si>
  <si>
    <t>pure premium</t>
  </si>
  <si>
    <t>frequency</t>
  </si>
  <si>
    <t>severity</t>
  </si>
  <si>
    <t>rate per $1,000</t>
  </si>
  <si>
    <t>pure prem</t>
  </si>
  <si>
    <t>/      (</t>
  </si>
  <si>
    <t>)</t>
  </si>
  <si>
    <t>Note</t>
  </si>
  <si>
    <r>
      <t xml:space="preserve"> If the home is insured to </t>
    </r>
    <r>
      <rPr>
        <u/>
        <sz val="11"/>
        <color theme="1"/>
        <rFont val="Calibri"/>
        <family val="2"/>
        <scheme val="minor"/>
      </rPr>
      <t>full value</t>
    </r>
    <r>
      <rPr>
        <sz val="11"/>
        <color theme="1"/>
        <rFont val="Calibri"/>
        <family val="2"/>
        <scheme val="minor"/>
      </rPr>
      <t>, the rate per $1,000 of coverage would be:</t>
    </r>
  </si>
  <si>
    <t xml:space="preserve"> calculate the apportionment ratio "a"</t>
  </si>
  <si>
    <t>Calculate the following:</t>
  </si>
  <si>
    <t>a</t>
  </si>
  <si>
    <t>min(</t>
  </si>
  <si>
    <t>F</t>
  </si>
  <si>
    <t>cV</t>
  </si>
  <si>
    <t>,</t>
  </si>
  <si>
    <t>1.0 )</t>
  </si>
  <si>
    <t>indemnity payment</t>
  </si>
  <si>
    <t>coinsurance penalty</t>
  </si>
  <si>
    <t>maximum coinsurance penalty</t>
  </si>
  <si>
    <t>V:  Value of property</t>
  </si>
  <si>
    <t xml:space="preserve"> calculate the indemnity payment "I"</t>
  </si>
  <si>
    <t>F:  Face value of property (AOI)</t>
  </si>
  <si>
    <t>c:  conisurance percentage</t>
  </si>
  <si>
    <t>I</t>
  </si>
  <si>
    <t>L x a</t>
  </si>
  <si>
    <t>L:  Loss (after deductible)</t>
  </si>
  <si>
    <t xml:space="preserve"> calculate the coininsurance penalty "e"</t>
  </si>
  <si>
    <t>e</t>
  </si>
  <si>
    <t>L</t>
  </si>
  <si>
    <t>Step 2c</t>
  </si>
  <si>
    <t xml:space="preserve"> calculate the MAXIMUM coininsurance penalty e(MAX)</t>
  </si>
  <si>
    <t>e(MAX)</t>
  </si>
  <si>
    <t>(1 - a)</t>
  </si>
  <si>
    <t>Exam 5: Pricing - Chapter 11</t>
  </si>
  <si>
    <t>Question</t>
  </si>
  <si>
    <t>D = 250</t>
  </si>
  <si>
    <t>D = 500</t>
  </si>
  <si>
    <t xml:space="preserve"> &lt;== use only data rows where D &lt;= 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</si>
</sst>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%"/>
    <numFmt numFmtId="166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196">
    <xf numFmtId="0" fontId="0" fillId="0" borderId="0" xfId="0"/>
    <xf numFmtId="0" fontId="0" fillId="6" borderId="0" xfId="0" applyFont="1" applyFill="1"/>
    <xf numFmtId="0" fontId="0" fillId="6" borderId="0" xfId="0" applyFont="1" applyFill="1" applyBorder="1"/>
    <xf numFmtId="0" fontId="6" fillId="6" borderId="1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6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ont="1" applyAlignment="1">
      <alignment horizontal="center"/>
    </xf>
    <xf numFmtId="0" fontId="4" fillId="4" borderId="0" xfId="4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3" fontId="0" fillId="7" borderId="0" xfId="0" applyNumberFormat="1" applyFont="1" applyFill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0" borderId="8" xfId="0" applyNumberFormat="1" applyFont="1" applyBorder="1" applyAlignment="1">
      <alignment horizontal="centerContinuous"/>
    </xf>
    <xf numFmtId="3" fontId="0" fillId="0" borderId="3" xfId="0" applyNumberFormat="1" applyFont="1" applyBorder="1" applyAlignment="1">
      <alignment horizontal="centerContinuous"/>
    </xf>
    <xf numFmtId="3" fontId="0" fillId="0" borderId="9" xfId="0" applyNumberFormat="1" applyFont="1" applyBorder="1"/>
    <xf numFmtId="3" fontId="0" fillId="0" borderId="3" xfId="0" applyNumberFormat="1" applyFont="1" applyBorder="1"/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6" xfId="0" applyNumberFormat="1" applyFont="1" applyBorder="1"/>
    <xf numFmtId="3" fontId="0" fillId="0" borderId="7" xfId="0" applyNumberFormat="1" applyFont="1" applyBorder="1"/>
    <xf numFmtId="3" fontId="0" fillId="7" borderId="0" xfId="0" applyNumberFormat="1" applyFont="1" applyFill="1" applyBorder="1" applyAlignment="1">
      <alignment horizontal="center"/>
    </xf>
    <xf numFmtId="3" fontId="0" fillId="7" borderId="5" xfId="0" applyNumberFormat="1" applyFont="1" applyFill="1" applyBorder="1" applyAlignment="1">
      <alignment horizontal="center"/>
    </xf>
    <xf numFmtId="3" fontId="5" fillId="0" borderId="6" xfId="0" applyNumberFormat="1" applyFont="1" applyBorder="1"/>
    <xf numFmtId="3" fontId="10" fillId="0" borderId="7" xfId="0" applyNumberFormat="1" applyFont="1" applyBorder="1"/>
    <xf numFmtId="3" fontId="1" fillId="5" borderId="0" xfId="5" applyNumberFormat="1" applyAlignment="1">
      <alignment horizontal="center"/>
    </xf>
    <xf numFmtId="3" fontId="0" fillId="7" borderId="1" xfId="0" applyNumberFormat="1" applyFont="1" applyFill="1" applyBorder="1" applyAlignment="1">
      <alignment horizontal="center"/>
    </xf>
    <xf numFmtId="3" fontId="0" fillId="7" borderId="7" xfId="0" applyNumberFormat="1" applyFont="1" applyFill="1" applyBorder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3" fontId="0" fillId="0" borderId="0" xfId="0" applyNumberFormat="1" applyFont="1" applyAlignment="1">
      <alignment horizontal="left"/>
    </xf>
    <xf numFmtId="4" fontId="0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3" fontId="2" fillId="2" borderId="0" xfId="2" applyNumberFormat="1" applyAlignment="1">
      <alignment horizontal="center"/>
    </xf>
    <xf numFmtId="164" fontId="2" fillId="2" borderId="0" xfId="2" applyNumberFormat="1" applyAlignment="1">
      <alignment horizontal="left"/>
    </xf>
    <xf numFmtId="0" fontId="0" fillId="0" borderId="0" xfId="0" quotePrefix="1" applyFont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Continuous"/>
    </xf>
    <xf numFmtId="3" fontId="5" fillId="0" borderId="0" xfId="0" applyNumberFormat="1" applyFont="1" applyBorder="1" applyAlignment="1">
      <alignment horizontal="centerContinuous"/>
    </xf>
    <xf numFmtId="3" fontId="0" fillId="0" borderId="5" xfId="0" applyNumberFormat="1" applyFont="1" applyBorder="1" applyAlignment="1">
      <alignment horizontal="centerContinuous"/>
    </xf>
    <xf numFmtId="3" fontId="5" fillId="0" borderId="11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3" fontId="8" fillId="0" borderId="0" xfId="0" applyNumberFormat="1" applyFont="1"/>
    <xf numFmtId="3" fontId="0" fillId="0" borderId="10" xfId="0" applyNumberFormat="1" applyFont="1" applyBorder="1"/>
    <xf numFmtId="3" fontId="0" fillId="7" borderId="0" xfId="0" applyNumberFormat="1" applyFont="1" applyFill="1" applyBorder="1"/>
    <xf numFmtId="3" fontId="0" fillId="7" borderId="5" xfId="0" applyNumberFormat="1" applyFont="1" applyFill="1" applyBorder="1"/>
    <xf numFmtId="3" fontId="0" fillId="0" borderId="0" xfId="0" quotePrefix="1" applyNumberFormat="1" applyFont="1" applyAlignment="1">
      <alignment horizontal="left"/>
    </xf>
    <xf numFmtId="3" fontId="0" fillId="0" borderId="0" xfId="0" quotePrefix="1" applyNumberFormat="1" applyFont="1"/>
    <xf numFmtId="3" fontId="0" fillId="0" borderId="0" xfId="0" applyNumberFormat="1" applyFont="1" applyBorder="1"/>
    <xf numFmtId="3" fontId="12" fillId="0" borderId="0" xfId="0" quotePrefix="1" applyNumberFormat="1" applyFont="1" applyAlignment="1">
      <alignment horizontal="left"/>
    </xf>
    <xf numFmtId="3" fontId="0" fillId="0" borderId="11" xfId="0" applyNumberFormat="1" applyFont="1" applyBorder="1"/>
    <xf numFmtId="3" fontId="0" fillId="0" borderId="1" xfId="0" applyNumberFormat="1" applyFont="1" applyBorder="1"/>
    <xf numFmtId="3" fontId="0" fillId="7" borderId="1" xfId="0" applyNumberFormat="1" applyFont="1" applyFill="1" applyBorder="1"/>
    <xf numFmtId="3" fontId="0" fillId="7" borderId="7" xfId="0" applyNumberFormat="1" applyFont="1" applyFill="1" applyBorder="1"/>
    <xf numFmtId="3" fontId="0" fillId="0" borderId="12" xfId="0" applyNumberFormat="1" applyFont="1" applyBorder="1" applyAlignment="1">
      <alignment horizontal="centerContinuous"/>
    </xf>
    <xf numFmtId="3" fontId="0" fillId="0" borderId="13" xfId="0" applyNumberFormat="1" applyFont="1" applyBorder="1" applyAlignment="1">
      <alignment horizontal="centerContinuous"/>
    </xf>
    <xf numFmtId="3" fontId="0" fillId="0" borderId="14" xfId="0" applyNumberFormat="1" applyFont="1" applyBorder="1"/>
    <xf numFmtId="3" fontId="0" fillId="0" borderId="13" xfId="0" applyNumberFormat="1" applyFont="1" applyBorder="1"/>
    <xf numFmtId="3" fontId="5" fillId="0" borderId="0" xfId="0" applyNumberFormat="1" applyFont="1"/>
    <xf numFmtId="3" fontId="0" fillId="0" borderId="0" xfId="0" applyNumberFormat="1" applyFont="1" applyAlignment="1">
      <alignment horizontal="right"/>
    </xf>
    <xf numFmtId="3" fontId="3" fillId="3" borderId="0" xfId="3" applyNumberFormat="1" applyAlignment="1">
      <alignment horizontal="center"/>
    </xf>
    <xf numFmtId="3" fontId="10" fillId="0" borderId="0" xfId="0" applyNumberFormat="1" applyFont="1"/>
    <xf numFmtId="3" fontId="12" fillId="0" borderId="0" xfId="0" applyNumberFormat="1" applyFont="1"/>
    <xf numFmtId="3" fontId="11" fillId="0" borderId="0" xfId="0" applyNumberFormat="1" applyFont="1"/>
    <xf numFmtId="164" fontId="1" fillId="5" borderId="0" xfId="5" applyNumberFormat="1" applyAlignment="1">
      <alignment horizontal="center"/>
    </xf>
    <xf numFmtId="3" fontId="0" fillId="0" borderId="1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164" fontId="1" fillId="5" borderId="0" xfId="5" applyNumberFormat="1" applyAlignment="1">
      <alignment horizontal="left"/>
    </xf>
    <xf numFmtId="3" fontId="4" fillId="4" borderId="0" xfId="4" applyNumberFormat="1" applyAlignment="1">
      <alignment horizontal="left"/>
    </xf>
    <xf numFmtId="3" fontId="2" fillId="2" borderId="0" xfId="2" applyNumberFormat="1" applyAlignment="1">
      <alignment horizontal="left"/>
    </xf>
    <xf numFmtId="164" fontId="2" fillId="2" borderId="0" xfId="2" applyNumberFormat="1" applyAlignment="1">
      <alignment horizontal="center"/>
    </xf>
    <xf numFmtId="164" fontId="4" fillId="4" borderId="5" xfId="4" applyNumberFormat="1" applyBorder="1" applyAlignment="1">
      <alignment horizontal="right"/>
    </xf>
    <xf numFmtId="164" fontId="4" fillId="4" borderId="7" xfId="4" applyNumberForma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164" fontId="2" fillId="2" borderId="1" xfId="2" applyNumberFormat="1" applyBorder="1" applyAlignment="1">
      <alignment horizontal="left"/>
    </xf>
    <xf numFmtId="164" fontId="0" fillId="0" borderId="0" xfId="0" applyNumberFormat="1" applyFont="1" applyAlignment="1">
      <alignment horizontal="left"/>
    </xf>
    <xf numFmtId="164" fontId="4" fillId="4" borderId="0" xfId="4" applyNumberFormat="1" applyAlignment="1">
      <alignment horizontal="left"/>
    </xf>
    <xf numFmtId="3" fontId="14" fillId="0" borderId="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7" xfId="0" applyNumberFormat="1" applyFont="1" applyFill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3" fontId="16" fillId="0" borderId="7" xfId="0" applyNumberFormat="1" applyFont="1" applyBorder="1" applyAlignment="1">
      <alignment horizontal="center"/>
    </xf>
    <xf numFmtId="3" fontId="0" fillId="7" borderId="0" xfId="0" applyNumberFormat="1" applyFont="1" applyFill="1"/>
    <xf numFmtId="3" fontId="17" fillId="0" borderId="0" xfId="0" quotePrefix="1" applyNumberFormat="1" applyFont="1" applyBorder="1" applyAlignment="1">
      <alignment horizontal="center"/>
    </xf>
    <xf numFmtId="3" fontId="17" fillId="0" borderId="5" xfId="0" quotePrefix="1" applyNumberFormat="1" applyFont="1" applyBorder="1" applyAlignment="1">
      <alignment horizontal="center"/>
    </xf>
    <xf numFmtId="3" fontId="17" fillId="0" borderId="1" xfId="0" quotePrefix="1" applyNumberFormat="1" applyFont="1" applyBorder="1" applyAlignment="1">
      <alignment horizontal="center"/>
    </xf>
    <xf numFmtId="3" fontId="17" fillId="0" borderId="7" xfId="0" quotePrefix="1" applyNumberFormat="1" applyFont="1" applyBorder="1" applyAlignment="1">
      <alignment horizontal="center"/>
    </xf>
    <xf numFmtId="3" fontId="5" fillId="0" borderId="1" xfId="0" applyNumberFormat="1" applyFont="1" applyBorder="1"/>
    <xf numFmtId="3" fontId="4" fillId="4" borderId="7" xfId="4" applyNumberFormat="1" applyBorder="1"/>
    <xf numFmtId="3" fontId="17" fillId="7" borderId="0" xfId="0" quotePrefix="1" applyNumberFormat="1" applyFont="1" applyFill="1" applyBorder="1" applyAlignment="1">
      <alignment horizontal="center"/>
    </xf>
    <xf numFmtId="3" fontId="17" fillId="7" borderId="5" xfId="0" applyNumberFormat="1" applyFont="1" applyFill="1" applyBorder="1" applyAlignment="1">
      <alignment horizontal="center"/>
    </xf>
    <xf numFmtId="3" fontId="17" fillId="7" borderId="1" xfId="0" applyNumberFormat="1" applyFont="1" applyFill="1" applyBorder="1" applyAlignment="1">
      <alignment horizontal="center"/>
    </xf>
    <xf numFmtId="3" fontId="17" fillId="7" borderId="7" xfId="0" applyNumberFormat="1" applyFont="1" applyFill="1" applyBorder="1" applyAlignment="1">
      <alignment horizontal="center"/>
    </xf>
    <xf numFmtId="9" fontId="0" fillId="0" borderId="0" xfId="1" applyFont="1"/>
    <xf numFmtId="164" fontId="0" fillId="0" borderId="0" xfId="0" applyNumberFormat="1" applyFont="1"/>
    <xf numFmtId="164" fontId="15" fillId="0" borderId="0" xfId="5" applyNumberFormat="1" applyFont="1" applyFill="1" applyAlignment="1">
      <alignment horizontal="left"/>
    </xf>
    <xf numFmtId="3" fontId="0" fillId="0" borderId="2" xfId="0" applyNumberFormat="1" applyFont="1" applyFill="1" applyBorder="1" applyAlignment="1">
      <alignment horizontal="center"/>
    </xf>
    <xf numFmtId="3" fontId="14" fillId="0" borderId="14" xfId="0" applyNumberFormat="1" applyFont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3" fontId="4" fillId="4" borderId="4" xfId="4" applyNumberFormat="1" applyBorder="1"/>
    <xf numFmtId="165" fontId="0" fillId="0" borderId="0" xfId="1" applyNumberFormat="1" applyFont="1" applyFill="1" applyBorder="1"/>
    <xf numFmtId="165" fontId="0" fillId="0" borderId="5" xfId="1" applyNumberFormat="1" applyFont="1" applyFill="1" applyBorder="1"/>
    <xf numFmtId="165" fontId="4" fillId="4" borderId="4" xfId="4" applyNumberFormat="1" applyBorder="1"/>
    <xf numFmtId="165" fontId="4" fillId="4" borderId="0" xfId="4" applyNumberFormat="1" applyBorder="1"/>
    <xf numFmtId="10" fontId="4" fillId="4" borderId="0" xfId="4" applyNumberFormat="1" applyBorder="1"/>
    <xf numFmtId="3" fontId="4" fillId="4" borderId="5" xfId="4" applyNumberFormat="1" applyBorder="1"/>
    <xf numFmtId="3" fontId="4" fillId="4" borderId="6" xfId="4" applyNumberFormat="1" applyBorder="1"/>
    <xf numFmtId="165" fontId="0" fillId="0" borderId="1" xfId="1" applyNumberFormat="1" applyFont="1" applyFill="1" applyBorder="1"/>
    <xf numFmtId="165" fontId="0" fillId="0" borderId="7" xfId="1" applyNumberFormat="1" applyFont="1" applyFill="1" applyBorder="1"/>
    <xf numFmtId="165" fontId="4" fillId="4" borderId="6" xfId="4" applyNumberFormat="1" applyBorder="1"/>
    <xf numFmtId="165" fontId="4" fillId="4" borderId="1" xfId="4" applyNumberFormat="1" applyBorder="1"/>
    <xf numFmtId="10" fontId="4" fillId="4" borderId="1" xfId="4" applyNumberFormat="1" applyBorder="1"/>
    <xf numFmtId="3" fontId="0" fillId="0" borderId="14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165" fontId="0" fillId="7" borderId="0" xfId="1" applyNumberFormat="1" applyFont="1" applyFill="1" applyBorder="1"/>
    <xf numFmtId="165" fontId="0" fillId="7" borderId="5" xfId="1" applyNumberFormat="1" applyFont="1" applyFill="1" applyBorder="1"/>
    <xf numFmtId="165" fontId="0" fillId="0" borderId="0" xfId="1" applyNumberFormat="1" applyFont="1"/>
    <xf numFmtId="165" fontId="0" fillId="7" borderId="1" xfId="1" applyNumberFormat="1" applyFont="1" applyFill="1" applyBorder="1"/>
    <xf numFmtId="165" fontId="0" fillId="7" borderId="7" xfId="1" applyNumberFormat="1" applyFont="1" applyFill="1" applyBorder="1"/>
    <xf numFmtId="3" fontId="2" fillId="2" borderId="0" xfId="2" applyNumberFormat="1"/>
    <xf numFmtId="10" fontId="2" fillId="2" borderId="0" xfId="2" applyNumberFormat="1" applyAlignment="1">
      <alignment horizontal="left"/>
    </xf>
    <xf numFmtId="0" fontId="2" fillId="2" borderId="0" xfId="2" applyAlignment="1">
      <alignment horizontal="center"/>
    </xf>
    <xf numFmtId="3" fontId="0" fillId="0" borderId="14" xfId="0" applyNumberFormat="1" applyFont="1" applyBorder="1" applyAlignment="1"/>
    <xf numFmtId="3" fontId="0" fillId="0" borderId="0" xfId="0" applyNumberFormat="1" applyFont="1" applyFill="1" applyBorder="1"/>
    <xf numFmtId="165" fontId="0" fillId="0" borderId="0" xfId="1" applyNumberFormat="1" applyFont="1" applyFill="1" applyBorder="1" applyAlignment="1"/>
    <xf numFmtId="166" fontId="17" fillId="0" borderId="10" xfId="4" applyNumberFormat="1" applyFont="1" applyFill="1" applyBorder="1"/>
    <xf numFmtId="4" fontId="2" fillId="2" borderId="5" xfId="2" applyNumberFormat="1" applyBorder="1"/>
    <xf numFmtId="3" fontId="0" fillId="0" borderId="13" xfId="0" applyNumberFormat="1" applyFont="1" applyBorder="1" applyAlignment="1"/>
    <xf numFmtId="3" fontId="0" fillId="0" borderId="1" xfId="0" applyNumberFormat="1" applyFont="1" applyFill="1" applyBorder="1"/>
    <xf numFmtId="165" fontId="0" fillId="0" borderId="1" xfId="1" applyNumberFormat="1" applyFont="1" applyFill="1" applyBorder="1" applyAlignment="1"/>
    <xf numFmtId="166" fontId="17" fillId="0" borderId="11" xfId="4" applyNumberFormat="1" applyFont="1" applyFill="1" applyBorder="1"/>
    <xf numFmtId="4" fontId="2" fillId="2" borderId="7" xfId="2" applyNumberFormat="1" applyBorder="1"/>
    <xf numFmtId="165" fontId="0" fillId="7" borderId="0" xfId="1" applyNumberFormat="1" applyFont="1" applyFill="1" applyBorder="1" applyAlignment="1"/>
    <xf numFmtId="165" fontId="0" fillId="7" borderId="5" xfId="1" applyNumberFormat="1" applyFont="1" applyFill="1" applyBorder="1" applyAlignment="1"/>
    <xf numFmtId="165" fontId="0" fillId="7" borderId="1" xfId="1" applyNumberFormat="1" applyFont="1" applyFill="1" applyBorder="1" applyAlignment="1"/>
    <xf numFmtId="165" fontId="0" fillId="7" borderId="7" xfId="1" applyNumberFormat="1" applyFont="1" applyFill="1" applyBorder="1" applyAlignment="1"/>
    <xf numFmtId="3" fontId="3" fillId="3" borderId="0" xfId="3" applyNumberFormat="1"/>
    <xf numFmtId="3" fontId="14" fillId="0" borderId="7" xfId="0" applyNumberFormat="1" applyFont="1" applyBorder="1" applyAlignment="1">
      <alignment horizontal="center"/>
    </xf>
    <xf numFmtId="165" fontId="0" fillId="0" borderId="0" xfId="1" applyNumberFormat="1" applyFont="1" applyBorder="1"/>
    <xf numFmtId="165" fontId="3" fillId="3" borderId="5" xfId="3" applyNumberFormat="1" applyBorder="1"/>
    <xf numFmtId="165" fontId="0" fillId="0" borderId="1" xfId="1" applyNumberFormat="1" applyFont="1" applyBorder="1"/>
    <xf numFmtId="165" fontId="3" fillId="3" borderId="7" xfId="3" applyNumberFormat="1" applyBorder="1"/>
    <xf numFmtId="0" fontId="0" fillId="0" borderId="8" xfId="0" applyFont="1" applyBorder="1"/>
    <xf numFmtId="0" fontId="0" fillId="0" borderId="3" xfId="0" applyFont="1" applyBorder="1"/>
    <xf numFmtId="0" fontId="0" fillId="0" borderId="9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3" fontId="0" fillId="0" borderId="11" xfId="0" applyNumberFormat="1" applyFont="1" applyBorder="1" applyAlignment="1">
      <alignment horizontal="centerContinuous"/>
    </xf>
    <xf numFmtId="3" fontId="0" fillId="0" borderId="7" xfId="0" applyNumberFormat="1" applyFont="1" applyBorder="1" applyAlignment="1">
      <alignment horizontal="centerContinuous"/>
    </xf>
    <xf numFmtId="9" fontId="0" fillId="0" borderId="0" xfId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3" fontId="4" fillId="4" borderId="15" xfId="4" applyNumberFormat="1" applyBorder="1" applyAlignment="1">
      <alignment horizontal="center"/>
    </xf>
    <xf numFmtId="9" fontId="0" fillId="0" borderId="0" xfId="1" applyFont="1" applyAlignment="1">
      <alignment horizontal="left"/>
    </xf>
    <xf numFmtId="3" fontId="14" fillId="0" borderId="0" xfId="0" applyNumberFormat="1" applyFont="1" applyAlignment="1">
      <alignment horizontal="center"/>
    </xf>
    <xf numFmtId="3" fontId="0" fillId="0" borderId="0" xfId="0" quotePrefix="1" applyNumberFormat="1" applyFont="1" applyAlignment="1">
      <alignment horizontal="right"/>
    </xf>
    <xf numFmtId="4" fontId="2" fillId="2" borderId="0" xfId="2" applyNumberFormat="1" applyAlignment="1">
      <alignment horizontal="left"/>
    </xf>
    <xf numFmtId="4" fontId="3" fillId="3" borderId="0" xfId="3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164" fontId="4" fillId="4" borderId="0" xfId="4" applyNumberFormat="1" applyAlignment="1">
      <alignment horizontal="center"/>
    </xf>
    <xf numFmtId="3" fontId="0" fillId="0" borderId="8" xfId="0" applyNumberFormat="1" applyFont="1" applyBorder="1"/>
    <xf numFmtId="3" fontId="0" fillId="7" borderId="3" xfId="0" applyNumberFormat="1" applyFont="1" applyFill="1" applyBorder="1"/>
    <xf numFmtId="9" fontId="0" fillId="7" borderId="7" xfId="1" applyFont="1" applyFill="1" applyBorder="1"/>
    <xf numFmtId="3" fontId="15" fillId="0" borderId="0" xfId="2" applyNumberFormat="1" applyFont="1" applyFill="1"/>
    <xf numFmtId="3" fontId="15" fillId="0" borderId="0" xfId="0" applyNumberFormat="1" applyFont="1"/>
    <xf numFmtId="3" fontId="13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9" fillId="6" borderId="0" xfId="6" applyFill="1" applyAlignment="1">
      <alignment horizontal="center"/>
    </xf>
    <xf numFmtId="0" fontId="0" fillId="6" borderId="0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0" fontId="9" fillId="0" borderId="0" xfId="6" applyAlignment="1">
      <alignment horizontal="right"/>
    </xf>
  </cellXfs>
  <cellStyles count="7">
    <cellStyle name="40% - Accent1" xfId="5" builtinId="31"/>
    <cellStyle name="Bad" xfId="3" builtinId="27"/>
    <cellStyle name="Good" xfId="2" builtinId="26"/>
    <cellStyle name="Hyperlink" xfId="6" builtinId="8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29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9.140625" style="1"/>
    <col min="2" max="2" width="22.7109375" style="193" customWidth="1"/>
    <col min="3" max="3" width="58.28515625" style="2" bestFit="1" customWidth="1"/>
    <col min="4" max="16384" width="9.140625" style="1"/>
  </cols>
  <sheetData>
    <row r="5" spans="1:3" x14ac:dyDescent="0.25">
      <c r="A5" s="194" t="s">
        <v>224</v>
      </c>
      <c r="B5" s="194"/>
      <c r="C5" s="194"/>
    </row>
    <row r="6" spans="1:3" ht="21" customHeight="1" x14ac:dyDescent="0.25">
      <c r="A6" s="194"/>
      <c r="B6" s="194"/>
      <c r="C6" s="194"/>
    </row>
    <row r="8" spans="1:3" x14ac:dyDescent="0.25">
      <c r="A8" s="2"/>
      <c r="B8" s="192"/>
    </row>
    <row r="9" spans="1:3" x14ac:dyDescent="0.25">
      <c r="A9" s="3" t="s">
        <v>225</v>
      </c>
      <c r="B9" s="3" t="s">
        <v>0</v>
      </c>
      <c r="C9" s="3" t="s">
        <v>1</v>
      </c>
    </row>
    <row r="10" spans="1:3" x14ac:dyDescent="0.25">
      <c r="A10" s="191">
        <v>1</v>
      </c>
      <c r="B10" s="192" t="s">
        <v>2</v>
      </c>
      <c r="C10" s="2" t="s">
        <v>3</v>
      </c>
    </row>
    <row r="11" spans="1:3" x14ac:dyDescent="0.25">
      <c r="A11" s="191">
        <v>2</v>
      </c>
      <c r="B11" s="192" t="s">
        <v>4</v>
      </c>
      <c r="C11" s="2" t="s">
        <v>5</v>
      </c>
    </row>
    <row r="12" spans="1:3" x14ac:dyDescent="0.25">
      <c r="A12" s="191">
        <v>3</v>
      </c>
      <c r="B12" s="192" t="s">
        <v>6</v>
      </c>
      <c r="C12" s="2" t="s">
        <v>7</v>
      </c>
    </row>
    <row r="13" spans="1:3" x14ac:dyDescent="0.25">
      <c r="A13" s="191">
        <v>4</v>
      </c>
      <c r="B13" s="192" t="s">
        <v>8</v>
      </c>
      <c r="C13" s="2" t="s">
        <v>9</v>
      </c>
    </row>
    <row r="14" spans="1:3" x14ac:dyDescent="0.25">
      <c r="A14" s="191">
        <v>5</v>
      </c>
      <c r="B14" s="192" t="s">
        <v>10</v>
      </c>
      <c r="C14" s="2" t="s">
        <v>11</v>
      </c>
    </row>
    <row r="15" spans="1:3" x14ac:dyDescent="0.25">
      <c r="A15" s="191">
        <v>6</v>
      </c>
      <c r="B15" s="192" t="s">
        <v>12</v>
      </c>
      <c r="C15" s="2" t="s">
        <v>13</v>
      </c>
    </row>
    <row r="16" spans="1:3" x14ac:dyDescent="0.25">
      <c r="A16" s="191">
        <v>7</v>
      </c>
      <c r="B16" s="192" t="s">
        <v>14</v>
      </c>
      <c r="C16" s="2" t="s">
        <v>15</v>
      </c>
    </row>
    <row r="17" spans="1:3" x14ac:dyDescent="0.25">
      <c r="A17" s="191">
        <v>8</v>
      </c>
      <c r="B17" s="192" t="s">
        <v>16</v>
      </c>
      <c r="C17" s="2" t="s">
        <v>17</v>
      </c>
    </row>
    <row r="18" spans="1:3" x14ac:dyDescent="0.25">
      <c r="A18" s="4"/>
      <c r="B18" s="192"/>
    </row>
    <row r="19" spans="1:3" x14ac:dyDescent="0.25">
      <c r="A19" s="4"/>
      <c r="B19" s="192"/>
    </row>
    <row r="20" spans="1:3" x14ac:dyDescent="0.25">
      <c r="A20" s="4"/>
      <c r="B20" s="192"/>
    </row>
    <row r="21" spans="1:3" x14ac:dyDescent="0.25">
      <c r="A21" s="4"/>
      <c r="B21" s="192"/>
    </row>
    <row r="22" spans="1:3" x14ac:dyDescent="0.25">
      <c r="A22" s="4"/>
      <c r="B22" s="192"/>
    </row>
    <row r="23" spans="1:3" x14ac:dyDescent="0.25">
      <c r="A23" s="4"/>
      <c r="B23" s="192"/>
    </row>
    <row r="24" spans="1:3" x14ac:dyDescent="0.25">
      <c r="A24" s="4"/>
      <c r="B24" s="192"/>
    </row>
    <row r="25" spans="1:3" x14ac:dyDescent="0.25">
      <c r="A25" s="4"/>
      <c r="B25" s="192"/>
    </row>
    <row r="26" spans="1:3" x14ac:dyDescent="0.25">
      <c r="A26" s="4"/>
      <c r="B26" s="192"/>
    </row>
    <row r="27" spans="1:3" x14ac:dyDescent="0.25">
      <c r="A27" s="4"/>
      <c r="B27" s="192"/>
    </row>
    <row r="28" spans="1:3" x14ac:dyDescent="0.25">
      <c r="A28" s="4"/>
      <c r="B28" s="192"/>
    </row>
    <row r="29" spans="1:3" x14ac:dyDescent="0.25">
      <c r="A29" s="4"/>
      <c r="B29" s="192"/>
    </row>
    <row r="30" spans="1:3" x14ac:dyDescent="0.25">
      <c r="A30" s="4"/>
      <c r="B30" s="192"/>
    </row>
    <row r="31" spans="1:3" x14ac:dyDescent="0.25">
      <c r="A31" s="4"/>
      <c r="B31" s="192"/>
    </row>
    <row r="32" spans="1:3" x14ac:dyDescent="0.25">
      <c r="A32" s="4"/>
      <c r="B32" s="192"/>
    </row>
    <row r="33" spans="1:2" x14ac:dyDescent="0.25">
      <c r="A33" s="4"/>
      <c r="B33" s="192"/>
    </row>
    <row r="34" spans="1:2" x14ac:dyDescent="0.25">
      <c r="A34" s="4"/>
      <c r="B34" s="192"/>
    </row>
    <row r="35" spans="1:2" x14ac:dyDescent="0.25">
      <c r="A35" s="4"/>
      <c r="B35" s="192"/>
    </row>
    <row r="36" spans="1:2" x14ac:dyDescent="0.25">
      <c r="A36" s="4"/>
      <c r="B36" s="192"/>
    </row>
    <row r="37" spans="1:2" x14ac:dyDescent="0.25">
      <c r="A37" s="4"/>
      <c r="B37" s="192"/>
    </row>
    <row r="38" spans="1:2" x14ac:dyDescent="0.25">
      <c r="A38" s="4"/>
      <c r="B38" s="192"/>
    </row>
    <row r="39" spans="1:2" x14ac:dyDescent="0.25">
      <c r="A39" s="4"/>
      <c r="B39" s="192"/>
    </row>
    <row r="40" spans="1:2" x14ac:dyDescent="0.25">
      <c r="A40" s="4"/>
      <c r="B40" s="192"/>
    </row>
    <row r="41" spans="1:2" x14ac:dyDescent="0.25">
      <c r="A41" s="4"/>
      <c r="B41" s="192"/>
    </row>
    <row r="42" spans="1:2" x14ac:dyDescent="0.25">
      <c r="A42" s="4"/>
      <c r="B42" s="192"/>
    </row>
    <row r="43" spans="1:2" x14ac:dyDescent="0.25">
      <c r="A43" s="4"/>
      <c r="B43" s="192"/>
    </row>
    <row r="44" spans="1:2" x14ac:dyDescent="0.25">
      <c r="A44" s="4"/>
      <c r="B44" s="192"/>
    </row>
    <row r="45" spans="1:2" x14ac:dyDescent="0.25">
      <c r="A45" s="4"/>
      <c r="B45" s="192"/>
    </row>
    <row r="46" spans="1:2" x14ac:dyDescent="0.25">
      <c r="A46" s="4"/>
      <c r="B46" s="192"/>
    </row>
    <row r="47" spans="1:2" x14ac:dyDescent="0.25">
      <c r="A47" s="4"/>
      <c r="B47" s="192"/>
    </row>
    <row r="48" spans="1:2" x14ac:dyDescent="0.25">
      <c r="A48" s="4"/>
      <c r="B48" s="192"/>
    </row>
    <row r="49" spans="1:2" x14ac:dyDescent="0.25">
      <c r="A49" s="4"/>
      <c r="B49" s="192"/>
    </row>
    <row r="50" spans="1:2" x14ac:dyDescent="0.25">
      <c r="A50" s="4"/>
      <c r="B50" s="192"/>
    </row>
    <row r="51" spans="1:2" x14ac:dyDescent="0.25">
      <c r="A51" s="4"/>
      <c r="B51" s="192"/>
    </row>
    <row r="52" spans="1:2" x14ac:dyDescent="0.25">
      <c r="A52" s="4"/>
      <c r="B52" s="192"/>
    </row>
    <row r="53" spans="1:2" x14ac:dyDescent="0.25">
      <c r="A53" s="4"/>
      <c r="B53" s="192"/>
    </row>
    <row r="54" spans="1:2" x14ac:dyDescent="0.25">
      <c r="A54" s="4"/>
      <c r="B54" s="192"/>
    </row>
    <row r="55" spans="1:2" x14ac:dyDescent="0.25">
      <c r="A55" s="4"/>
      <c r="B55" s="192"/>
    </row>
    <row r="56" spans="1:2" x14ac:dyDescent="0.25">
      <c r="A56" s="4"/>
      <c r="B56" s="192"/>
    </row>
    <row r="57" spans="1:2" x14ac:dyDescent="0.25">
      <c r="A57" s="4"/>
      <c r="B57" s="192"/>
    </row>
    <row r="58" spans="1:2" x14ac:dyDescent="0.25">
      <c r="A58" s="4"/>
      <c r="B58" s="192"/>
    </row>
    <row r="59" spans="1:2" x14ac:dyDescent="0.25">
      <c r="A59" s="4"/>
      <c r="B59" s="192"/>
    </row>
    <row r="60" spans="1:2" x14ac:dyDescent="0.25">
      <c r="A60" s="4"/>
      <c r="B60" s="192"/>
    </row>
    <row r="61" spans="1:2" x14ac:dyDescent="0.25">
      <c r="A61" s="4"/>
      <c r="B61" s="192"/>
    </row>
    <row r="62" spans="1:2" x14ac:dyDescent="0.25">
      <c r="A62" s="4"/>
      <c r="B62" s="192"/>
    </row>
    <row r="63" spans="1:2" x14ac:dyDescent="0.25">
      <c r="A63" s="4"/>
      <c r="B63" s="192"/>
    </row>
    <row r="64" spans="1:2" x14ac:dyDescent="0.25">
      <c r="A64" s="4"/>
      <c r="B64" s="192"/>
    </row>
    <row r="65" spans="1:2" x14ac:dyDescent="0.25">
      <c r="A65" s="4"/>
      <c r="B65" s="192"/>
    </row>
    <row r="66" spans="1:2" x14ac:dyDescent="0.25">
      <c r="A66" s="4"/>
      <c r="B66" s="192"/>
    </row>
    <row r="67" spans="1:2" x14ac:dyDescent="0.25">
      <c r="A67" s="4"/>
      <c r="B67" s="192"/>
    </row>
    <row r="68" spans="1:2" x14ac:dyDescent="0.25">
      <c r="A68" s="4"/>
      <c r="B68" s="192"/>
    </row>
    <row r="69" spans="1:2" x14ac:dyDescent="0.25">
      <c r="A69" s="4"/>
      <c r="B69" s="192"/>
    </row>
    <row r="70" spans="1:2" x14ac:dyDescent="0.25">
      <c r="A70" s="4"/>
      <c r="B70" s="192"/>
    </row>
    <row r="71" spans="1:2" x14ac:dyDescent="0.25">
      <c r="A71" s="4"/>
      <c r="B71" s="192"/>
    </row>
    <row r="72" spans="1:2" x14ac:dyDescent="0.25">
      <c r="A72" s="4"/>
      <c r="B72" s="192"/>
    </row>
    <row r="73" spans="1:2" x14ac:dyDescent="0.25">
      <c r="A73" s="4"/>
      <c r="B73" s="192"/>
    </row>
    <row r="74" spans="1:2" x14ac:dyDescent="0.25">
      <c r="A74" s="4"/>
      <c r="B74" s="192"/>
    </row>
    <row r="75" spans="1:2" x14ac:dyDescent="0.25">
      <c r="A75" s="4"/>
      <c r="B75" s="192"/>
    </row>
    <row r="76" spans="1:2" x14ac:dyDescent="0.25">
      <c r="A76" s="4"/>
      <c r="B76" s="192"/>
    </row>
    <row r="77" spans="1:2" x14ac:dyDescent="0.25">
      <c r="A77" s="4"/>
      <c r="B77" s="192"/>
    </row>
    <row r="78" spans="1:2" x14ac:dyDescent="0.25">
      <c r="A78" s="4"/>
      <c r="B78" s="192"/>
    </row>
    <row r="79" spans="1:2" x14ac:dyDescent="0.25">
      <c r="A79" s="4"/>
      <c r="B79" s="192"/>
    </row>
    <row r="80" spans="1:2" x14ac:dyDescent="0.25">
      <c r="A80" s="4"/>
      <c r="B80" s="192"/>
    </row>
    <row r="81" spans="1:2" x14ac:dyDescent="0.25">
      <c r="A81" s="4"/>
      <c r="B81" s="192"/>
    </row>
    <row r="82" spans="1:2" x14ac:dyDescent="0.25">
      <c r="A82" s="4"/>
      <c r="B82" s="192"/>
    </row>
    <row r="83" spans="1:2" x14ac:dyDescent="0.25">
      <c r="A83" s="4"/>
      <c r="B83" s="192"/>
    </row>
    <row r="84" spans="1:2" x14ac:dyDescent="0.25">
      <c r="A84" s="4"/>
      <c r="B84" s="192"/>
    </row>
    <row r="85" spans="1:2" x14ac:dyDescent="0.25">
      <c r="A85" s="4"/>
      <c r="B85" s="192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</sheetData>
  <mergeCells count="1">
    <mergeCell ref="A5:C6"/>
  </mergeCells>
  <hyperlinks>
    <hyperlink ref="A17" location="'W-11-ITV2'!A1" display="'W-11-ITV2'!A1"/>
    <hyperlink ref="A16" location="'W-11-ITV1'!A1" display="'W-11-ITV1'!A1"/>
    <hyperlink ref="A15" location="'W-11-WC2'!A1" display="'W-11-WC2'!A1"/>
    <hyperlink ref="A14" location="'W-11-WC1'!A1" display="'W-11-WC1'!A1"/>
    <hyperlink ref="A13" location="'W-11-Net'!A1" display="'W-11-Net'!A1"/>
    <hyperlink ref="A12" location="'W-11-Grd'!A1" display="'W-11-Grd'!A1"/>
    <hyperlink ref="A11" location="'W-11-Cen'!A1" display="'W-11-Cen'!A1"/>
    <hyperlink ref="A10" location="'W-11-UnCen'!A1" display="'W-11-UnCen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5" t="s">
        <v>20</v>
      </c>
      <c r="M1" s="195"/>
      <c r="N1" s="8" t="s">
        <v>21</v>
      </c>
    </row>
    <row r="2" spans="1:27" x14ac:dyDescent="0.25">
      <c r="A2" s="5" t="s">
        <v>22</v>
      </c>
      <c r="C2" s="6" t="s">
        <v>23</v>
      </c>
      <c r="N2" s="8" t="s">
        <v>21</v>
      </c>
    </row>
    <row r="3" spans="1:27" x14ac:dyDescent="0.25">
      <c r="A3" s="5" t="s">
        <v>24</v>
      </c>
      <c r="C3" s="6" t="s">
        <v>3</v>
      </c>
      <c r="N3" s="8" t="s">
        <v>21</v>
      </c>
      <c r="O3" s="9" t="s">
        <v>25</v>
      </c>
      <c r="P3" s="6" t="s">
        <v>26</v>
      </c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</row>
    <row r="5" spans="1:27" x14ac:dyDescent="0.25">
      <c r="A5" s="13" t="s">
        <v>27</v>
      </c>
      <c r="C5" s="10" t="s">
        <v>28</v>
      </c>
      <c r="D5" s="10"/>
      <c r="E5" s="10"/>
      <c r="F5" s="10"/>
      <c r="G5" s="14">
        <v>50</v>
      </c>
      <c r="H5" s="10"/>
      <c r="I5" s="10"/>
      <c r="J5" s="10"/>
      <c r="K5" s="10"/>
      <c r="L5" s="10"/>
      <c r="M5" s="12"/>
      <c r="N5" s="8" t="s">
        <v>21</v>
      </c>
      <c r="O5" s="10"/>
      <c r="P5" s="15" t="s">
        <v>29</v>
      </c>
      <c r="Q5" s="16" t="s">
        <v>29</v>
      </c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17" t="s">
        <v>30</v>
      </c>
      <c r="Q6" s="18" t="s">
        <v>30</v>
      </c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19">
        <f>E8</f>
        <v>25</v>
      </c>
      <c r="Q7" s="20">
        <f>G5</f>
        <v>50</v>
      </c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x14ac:dyDescent="0.25">
      <c r="A8" s="13" t="s">
        <v>31</v>
      </c>
      <c r="B8" s="12"/>
      <c r="C8" s="10" t="s">
        <v>32</v>
      </c>
      <c r="D8" s="10"/>
      <c r="E8" s="14">
        <v>25</v>
      </c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21">
        <f>IF(D13&lt;=P7,F13,E13*P7)</f>
        <v>1120</v>
      </c>
      <c r="Q8" s="22">
        <f>IF(D13&lt;=Q7,F13,E13*Q7)</f>
        <v>1120</v>
      </c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12"/>
      <c r="B9" s="12"/>
      <c r="G9" s="10"/>
      <c r="H9" s="10"/>
      <c r="I9" s="10"/>
      <c r="J9" s="10"/>
      <c r="K9" s="12"/>
      <c r="L9" s="12"/>
      <c r="M9" s="12"/>
      <c r="N9" s="8" t="s">
        <v>21</v>
      </c>
      <c r="O9" s="10"/>
      <c r="P9" s="21">
        <f>IF(D14&lt;=P7,F14,E14*P7)</f>
        <v>880</v>
      </c>
      <c r="Q9" s="22">
        <f>IF(D14&lt;=Q7,F14,E14*Q7)</f>
        <v>880</v>
      </c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23" t="s">
        <v>33</v>
      </c>
      <c r="D10" s="24"/>
      <c r="E10" s="25"/>
      <c r="F10" s="26"/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21">
        <f>IF(D15&lt;=P7,F15,E15*P7)</f>
        <v>1500</v>
      </c>
      <c r="Q10" s="22">
        <f>IF(D15&lt;=Q7,F15,E15*Q7)</f>
        <v>1750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2"/>
      <c r="B11" s="12"/>
      <c r="C11" s="27" t="s">
        <v>34</v>
      </c>
      <c r="D11" s="18" t="s">
        <v>35</v>
      </c>
      <c r="E11" s="28" t="s">
        <v>36</v>
      </c>
      <c r="F11" s="18" t="s">
        <v>36</v>
      </c>
      <c r="G11" s="10"/>
      <c r="H11" s="10"/>
      <c r="I11" s="10"/>
      <c r="J11" s="10"/>
      <c r="K11" s="12"/>
      <c r="L11" s="12"/>
      <c r="M11" s="12"/>
      <c r="N11" s="8" t="s">
        <v>21</v>
      </c>
      <c r="O11" s="10"/>
      <c r="P11" s="21">
        <f>IF(D16&lt;=P7,F16,E16*P7)</f>
        <v>500</v>
      </c>
      <c r="Q11" s="22">
        <f>IF(D16&lt;=Q7,F16,E16*Q7)</f>
        <v>1000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29" t="s">
        <v>37</v>
      </c>
      <c r="D12" s="20" t="s">
        <v>37</v>
      </c>
      <c r="E12" s="30" t="s">
        <v>38</v>
      </c>
      <c r="F12" s="20" t="s">
        <v>39</v>
      </c>
      <c r="G12" s="10"/>
      <c r="H12" s="10"/>
      <c r="I12" s="10"/>
      <c r="J12" s="10"/>
      <c r="K12" s="12"/>
      <c r="L12" s="12"/>
      <c r="M12" s="12"/>
      <c r="N12" s="8" t="s">
        <v>21</v>
      </c>
      <c r="O12" s="10"/>
      <c r="P12" s="31">
        <f>IF(D17&lt;=P7,F17,E17*P7)</f>
        <v>300</v>
      </c>
      <c r="Q12" s="32">
        <f>IF(D17&lt;=Q7,F17,E17*Q7)</f>
        <v>600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27">
        <v>0</v>
      </c>
      <c r="D13" s="18">
        <v>10</v>
      </c>
      <c r="E13" s="33">
        <v>190</v>
      </c>
      <c r="F13" s="34">
        <v>1120</v>
      </c>
      <c r="G13" s="10"/>
      <c r="H13" s="10"/>
      <c r="I13" s="10"/>
      <c r="J13" s="10"/>
      <c r="K13" s="12"/>
      <c r="L13" s="12"/>
      <c r="M13" s="12"/>
      <c r="N13" s="8" t="s">
        <v>21</v>
      </c>
      <c r="O13" s="10"/>
      <c r="P13" s="35">
        <f>SUM(P8:P12)</f>
        <v>4300</v>
      </c>
      <c r="Q13" s="36">
        <f>SUM(Q8:Q12)</f>
        <v>5350</v>
      </c>
      <c r="R13" s="10" t="s">
        <v>40</v>
      </c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27">
        <v>10</v>
      </c>
      <c r="D14" s="18">
        <v>25</v>
      </c>
      <c r="E14" s="33">
        <v>50</v>
      </c>
      <c r="F14" s="34">
        <v>880</v>
      </c>
      <c r="G14" s="10"/>
      <c r="H14" s="10"/>
      <c r="I14" s="10"/>
      <c r="J14" s="10"/>
      <c r="K14" s="12"/>
      <c r="L14" s="12"/>
      <c r="M14" s="12"/>
      <c r="N14" s="8" t="s">
        <v>21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27">
        <v>25</v>
      </c>
      <c r="D15" s="18">
        <v>50</v>
      </c>
      <c r="E15" s="33">
        <v>60</v>
      </c>
      <c r="F15" s="34">
        <v>1750</v>
      </c>
      <c r="G15" s="10"/>
      <c r="H15" s="10"/>
      <c r="I15" s="10"/>
      <c r="J15" s="10"/>
      <c r="K15" s="10"/>
      <c r="L15" s="10"/>
      <c r="M15" s="12"/>
      <c r="N15" s="8" t="s">
        <v>21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25">
      <c r="C16" s="27">
        <v>50</v>
      </c>
      <c r="D16" s="18">
        <v>100</v>
      </c>
      <c r="E16" s="33">
        <v>20</v>
      </c>
      <c r="F16" s="34">
        <v>1870</v>
      </c>
      <c r="G16" s="10"/>
      <c r="H16" s="10"/>
      <c r="I16" s="10"/>
      <c r="J16" s="10"/>
      <c r="K16" s="10"/>
      <c r="L16" s="10"/>
      <c r="M16" s="12"/>
      <c r="N16" s="8" t="s">
        <v>21</v>
      </c>
      <c r="O16" s="37" t="s">
        <v>41</v>
      </c>
      <c r="P16" s="10" t="s">
        <v>42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3:27" x14ac:dyDescent="0.25">
      <c r="C17" s="29">
        <v>100</v>
      </c>
      <c r="D17" s="20">
        <v>300</v>
      </c>
      <c r="E17" s="38">
        <v>12</v>
      </c>
      <c r="F17" s="39">
        <v>2550</v>
      </c>
      <c r="G17" s="10"/>
      <c r="H17" s="10"/>
      <c r="I17" s="10"/>
      <c r="J17" s="10"/>
      <c r="K17" s="10"/>
      <c r="L17" s="10"/>
      <c r="M17" s="12"/>
      <c r="N17" s="8" t="s">
        <v>21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3:27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10"/>
      <c r="P18" s="10" t="str">
        <f>"LAS("&amp;E8&amp;")"</f>
        <v>LAS(25)</v>
      </c>
      <c r="Q18" s="11" t="s">
        <v>43</v>
      </c>
      <c r="R18" s="10" t="str">
        <f>"(losses capped at "&amp;E8&amp;")"</f>
        <v>(losses capped at 25)</v>
      </c>
      <c r="S18" s="10"/>
      <c r="T18" s="10"/>
      <c r="U18" s="40" t="s">
        <v>44</v>
      </c>
      <c r="V18" s="10" t="s">
        <v>45</v>
      </c>
      <c r="W18" s="10"/>
      <c r="X18" s="10"/>
      <c r="Y18" s="10"/>
      <c r="Z18" s="10"/>
      <c r="AA18" s="10"/>
    </row>
    <row r="19" spans="3:27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Q19" s="11" t="s">
        <v>43</v>
      </c>
      <c r="R19" s="41">
        <f>P13</f>
        <v>4300</v>
      </c>
      <c r="U19" s="40" t="s">
        <v>44</v>
      </c>
      <c r="V19" s="42">
        <f>SUM(E13:E17)</f>
        <v>332</v>
      </c>
      <c r="X19" s="10"/>
      <c r="Y19" s="10"/>
      <c r="Z19" s="10"/>
      <c r="AA19" s="10"/>
    </row>
    <row r="20" spans="3:27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1" t="s">
        <v>43</v>
      </c>
      <c r="R20" s="43">
        <f>R19/V19</f>
        <v>12.951807228915662</v>
      </c>
      <c r="S20" s="10"/>
      <c r="T20" s="10"/>
      <c r="U20" s="10"/>
      <c r="V20" s="10"/>
      <c r="W20" s="10"/>
      <c r="X20" s="10"/>
      <c r="Y20" s="10"/>
      <c r="Z20" s="10"/>
      <c r="AA20" s="10"/>
    </row>
    <row r="21" spans="3:27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3:27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10"/>
      <c r="P22" s="10" t="str">
        <f>"LAS("&amp;G5&amp;")"</f>
        <v>LAS(50)</v>
      </c>
      <c r="Q22" s="11" t="s">
        <v>43</v>
      </c>
      <c r="R22" s="10" t="str">
        <f>"(losses capped at "&amp;G5&amp;")"</f>
        <v>(losses capped at 50)</v>
      </c>
      <c r="S22" s="10"/>
      <c r="T22" s="10"/>
      <c r="U22" s="40" t="s">
        <v>44</v>
      </c>
      <c r="V22" s="10" t="s">
        <v>45</v>
      </c>
      <c r="W22" s="10"/>
      <c r="X22" s="10"/>
      <c r="Y22" s="10"/>
      <c r="Z22" s="10"/>
      <c r="AA22" s="10"/>
    </row>
    <row r="23" spans="3:27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10"/>
      <c r="P23" s="10"/>
      <c r="Q23" s="11" t="s">
        <v>43</v>
      </c>
      <c r="R23" s="44">
        <f>Q13</f>
        <v>5350</v>
      </c>
      <c r="S23" s="10"/>
      <c r="T23" s="10"/>
      <c r="U23" s="40" t="s">
        <v>44</v>
      </c>
      <c r="V23" s="10">
        <f>SUM(E13:E17)</f>
        <v>332</v>
      </c>
      <c r="W23" s="10"/>
      <c r="X23" s="10"/>
      <c r="Y23" s="10"/>
      <c r="Z23" s="10"/>
      <c r="AA23" s="10"/>
    </row>
    <row r="24" spans="3:27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21</v>
      </c>
      <c r="O24" s="10"/>
      <c r="P24" s="10"/>
      <c r="Q24" s="11" t="s">
        <v>43</v>
      </c>
      <c r="R24" s="43">
        <f>R23/V23</f>
        <v>16.1144578313253</v>
      </c>
      <c r="S24" s="10"/>
      <c r="T24" s="10"/>
      <c r="U24" s="10"/>
      <c r="V24" s="10"/>
      <c r="W24" s="10"/>
      <c r="X24" s="10"/>
      <c r="Y24" s="10"/>
      <c r="Z24" s="10"/>
      <c r="AA24" s="10"/>
    </row>
    <row r="25" spans="3:27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21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3:27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21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3:27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21</v>
      </c>
      <c r="O27" s="45" t="s">
        <v>46</v>
      </c>
      <c r="P27" s="10" t="s">
        <v>47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3:27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21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3:27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21</v>
      </c>
      <c r="O29" s="10"/>
      <c r="P29" s="10" t="str">
        <f>"ILF("&amp;G5&amp;")"</f>
        <v>ILF(50)</v>
      </c>
      <c r="Q29" s="11" t="s">
        <v>43</v>
      </c>
      <c r="R29" s="10" t="str">
        <f>"LAS("&amp;G5&amp;")"</f>
        <v>LAS(50)</v>
      </c>
      <c r="S29" s="10"/>
      <c r="T29" s="40" t="s">
        <v>44</v>
      </c>
      <c r="U29" s="10" t="str">
        <f>"LAS("&amp;E8&amp;")"</f>
        <v>LAS(25)</v>
      </c>
      <c r="V29" s="10"/>
      <c r="W29" s="10"/>
      <c r="X29" s="10"/>
      <c r="Y29" s="10"/>
      <c r="Z29" s="10"/>
      <c r="AA29" s="10"/>
    </row>
    <row r="30" spans="3:27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21</v>
      </c>
      <c r="O30" s="10"/>
      <c r="P30" s="10"/>
      <c r="Q30" s="11" t="s">
        <v>43</v>
      </c>
      <c r="R30" s="43">
        <f>R24</f>
        <v>16.1144578313253</v>
      </c>
      <c r="S30" s="10"/>
      <c r="T30" s="40" t="s">
        <v>44</v>
      </c>
      <c r="U30" s="43">
        <f>R20</f>
        <v>12.951807228915662</v>
      </c>
      <c r="V30" s="10"/>
      <c r="W30" s="10"/>
      <c r="X30" s="10"/>
      <c r="Y30" s="10"/>
      <c r="Z30" s="10"/>
      <c r="AA30" s="10"/>
    </row>
    <row r="31" spans="3:27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21</v>
      </c>
      <c r="O31" s="10"/>
      <c r="P31" s="10"/>
      <c r="Q31" s="11" t="s">
        <v>43</v>
      </c>
      <c r="R31" s="46">
        <f>R30/U30</f>
        <v>1.2441860465116279</v>
      </c>
      <c r="S31" s="10"/>
      <c r="T31" s="10"/>
      <c r="U31" s="10"/>
      <c r="V31" s="10"/>
      <c r="W31" s="10"/>
      <c r="X31" s="10"/>
      <c r="Y31" s="10"/>
      <c r="Z31" s="10"/>
      <c r="AA31" s="10"/>
    </row>
    <row r="32" spans="3:27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21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21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21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21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21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21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21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21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x14ac:dyDescent="0.25">
      <c r="N40" s="8" t="s">
        <v>21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x14ac:dyDescent="0.25">
      <c r="N41" s="8" t="s">
        <v>21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x14ac:dyDescent="0.25">
      <c r="N42" s="8" t="s">
        <v>21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x14ac:dyDescent="0.25">
      <c r="N43" s="8" t="s">
        <v>21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x14ac:dyDescent="0.25">
      <c r="N44" s="8" t="s">
        <v>21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x14ac:dyDescent="0.25">
      <c r="N45" s="8" t="s">
        <v>21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x14ac:dyDescent="0.25">
      <c r="N46" s="8" t="s">
        <v>21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x14ac:dyDescent="0.25">
      <c r="N47" s="8" t="s">
        <v>21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x14ac:dyDescent="0.25">
      <c r="N48" s="8" t="s">
        <v>21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4:27" x14ac:dyDescent="0.25">
      <c r="N49" s="8" t="s">
        <v>21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4:27" x14ac:dyDescent="0.25">
      <c r="N50" s="8" t="s">
        <v>21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4:27" x14ac:dyDescent="0.25">
      <c r="N51" s="8" t="s">
        <v>21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4:27" x14ac:dyDescent="0.25">
      <c r="N52" s="8" t="s">
        <v>21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4:27" x14ac:dyDescent="0.25">
      <c r="N53" s="8" t="s">
        <v>21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4:27" x14ac:dyDescent="0.25">
      <c r="N54" s="8" t="s">
        <v>21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4:27" x14ac:dyDescent="0.25">
      <c r="N55" s="8" t="s">
        <v>21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4:27" x14ac:dyDescent="0.25">
      <c r="N56" s="8" t="s">
        <v>21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4:27" x14ac:dyDescent="0.25">
      <c r="N57" s="8" t="s">
        <v>21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4:27" x14ac:dyDescent="0.25">
      <c r="N58" s="8" t="s">
        <v>21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4:27" x14ac:dyDescent="0.25">
      <c r="N59" s="8" t="s">
        <v>21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5" width="9.140625" style="6" customWidth="1"/>
    <col min="6" max="6" width="12.7109375" style="6" customWidth="1"/>
    <col min="7" max="7" width="9.140625" style="6" customWidth="1"/>
    <col min="8" max="8" width="12.7109375" style="6" customWidth="1"/>
    <col min="9" max="9" width="9.140625" style="6"/>
    <col min="10" max="10" width="12.7109375" style="6" customWidth="1"/>
    <col min="11" max="11" width="9.140625" style="6" customWidth="1"/>
    <col min="12" max="13" width="4" style="6" customWidth="1"/>
    <col min="14" max="15" width="9.140625" style="6" customWidth="1"/>
    <col min="16" max="16" width="12.7109375" style="6" customWidth="1"/>
    <col min="17" max="17" width="9.140625" style="6" customWidth="1"/>
    <col min="18" max="20" width="12.7109375" style="6" customWidth="1"/>
    <col min="21" max="21" width="9.140625" style="6" customWidth="1"/>
    <col min="22" max="22" width="12.7109375" style="6" customWidth="1"/>
    <col min="23" max="23" width="9.140625" style="6" customWidth="1"/>
    <col min="24" max="27" width="4" style="6" customWidth="1"/>
    <col min="28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5" t="s">
        <v>20</v>
      </c>
      <c r="M1" s="195"/>
      <c r="N1" s="8" t="s">
        <v>21</v>
      </c>
      <c r="Z1" s="10"/>
      <c r="AA1" s="10"/>
    </row>
    <row r="2" spans="1:27" x14ac:dyDescent="0.25">
      <c r="A2" s="5" t="s">
        <v>22</v>
      </c>
      <c r="C2" s="6" t="s">
        <v>23</v>
      </c>
      <c r="N2" s="8" t="s">
        <v>21</v>
      </c>
      <c r="Z2" s="10"/>
      <c r="AA2" s="10"/>
    </row>
    <row r="3" spans="1:27" x14ac:dyDescent="0.25">
      <c r="A3" s="5" t="s">
        <v>24</v>
      </c>
      <c r="C3" s="6" t="s">
        <v>90</v>
      </c>
      <c r="N3" s="8" t="s">
        <v>21</v>
      </c>
      <c r="O3" s="9" t="s">
        <v>25</v>
      </c>
      <c r="P3" s="6" t="s">
        <v>48</v>
      </c>
      <c r="Z3" s="10"/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Z4" s="10"/>
      <c r="AA4" s="10"/>
    </row>
    <row r="5" spans="1:27" x14ac:dyDescent="0.25">
      <c r="A5" s="13" t="s">
        <v>27</v>
      </c>
      <c r="C5" s="10" t="s">
        <v>28</v>
      </c>
      <c r="D5" s="10"/>
      <c r="E5" s="10"/>
      <c r="F5" s="10"/>
      <c r="G5" s="14">
        <v>350</v>
      </c>
      <c r="H5" s="11" t="s">
        <v>49</v>
      </c>
      <c r="I5" s="14">
        <v>850</v>
      </c>
      <c r="J5" s="10"/>
      <c r="K5" s="10"/>
      <c r="L5" s="10"/>
      <c r="M5" s="12"/>
      <c r="N5" s="8" t="s">
        <v>21</v>
      </c>
      <c r="O5" s="10"/>
      <c r="P5" s="47" t="s">
        <v>50</v>
      </c>
      <c r="Q5" s="47" t="s">
        <v>51</v>
      </c>
      <c r="R5" s="47" t="s">
        <v>52</v>
      </c>
      <c r="S5" s="47" t="s">
        <v>53</v>
      </c>
      <c r="T5" s="47" t="s">
        <v>54</v>
      </c>
      <c r="U5" s="47" t="s">
        <v>55</v>
      </c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48" t="s">
        <v>56</v>
      </c>
      <c r="Q6" s="49" t="s">
        <v>57</v>
      </c>
      <c r="R6" s="16"/>
      <c r="S6" s="15" t="s">
        <v>58</v>
      </c>
      <c r="T6" s="15" t="s">
        <v>59</v>
      </c>
      <c r="U6" s="26"/>
      <c r="V6" s="10"/>
      <c r="W6" s="10"/>
      <c r="X6" s="10"/>
      <c r="Y6" s="10"/>
      <c r="Z6" s="10"/>
      <c r="AA6" s="10"/>
    </row>
    <row r="7" spans="1:27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27" t="s">
        <v>60</v>
      </c>
      <c r="Q7" s="28" t="s">
        <v>61</v>
      </c>
      <c r="R7" s="18" t="s">
        <v>62</v>
      </c>
      <c r="S7" s="17" t="s">
        <v>56</v>
      </c>
      <c r="T7" s="17" t="s">
        <v>38</v>
      </c>
      <c r="U7" s="18" t="s">
        <v>63</v>
      </c>
      <c r="V7" s="10"/>
      <c r="W7" s="10"/>
      <c r="X7" s="10"/>
      <c r="Y7" s="10"/>
      <c r="Z7" s="10"/>
      <c r="AA7" s="10"/>
    </row>
    <row r="8" spans="1:27" x14ac:dyDescent="0.25">
      <c r="A8" s="13" t="s">
        <v>31</v>
      </c>
      <c r="B8" s="12"/>
      <c r="C8" s="10" t="s">
        <v>32</v>
      </c>
      <c r="D8" s="10"/>
      <c r="E8" s="14">
        <v>100</v>
      </c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29" t="s">
        <v>64</v>
      </c>
      <c r="Q8" s="30" t="s">
        <v>65</v>
      </c>
      <c r="R8" s="20" t="s">
        <v>38</v>
      </c>
      <c r="S8" s="19" t="s">
        <v>60</v>
      </c>
      <c r="T8" s="19" t="s">
        <v>66</v>
      </c>
      <c r="U8" s="20" t="s">
        <v>66</v>
      </c>
      <c r="V8" s="10"/>
      <c r="W8" s="10"/>
      <c r="X8" s="10"/>
      <c r="Y8" s="10"/>
      <c r="Z8" s="10"/>
      <c r="AA8" s="10"/>
    </row>
    <row r="9" spans="1:27" x14ac:dyDescent="0.25">
      <c r="A9" s="12"/>
      <c r="B9" s="12"/>
      <c r="C9" s="10"/>
      <c r="D9" s="10"/>
      <c r="E9" s="10"/>
      <c r="F9" s="10"/>
      <c r="G9" s="10"/>
      <c r="H9" s="10"/>
      <c r="I9" s="10"/>
      <c r="J9" s="10"/>
      <c r="K9" s="12"/>
      <c r="L9" s="12"/>
      <c r="M9" s="12"/>
      <c r="N9" s="8" t="s">
        <v>21</v>
      </c>
      <c r="O9" s="10"/>
      <c r="P9" s="50">
        <f>F13+H13+J13</f>
        <v>55750</v>
      </c>
      <c r="Q9" s="28">
        <f>E11</f>
        <v>100</v>
      </c>
      <c r="R9" s="51">
        <f>G14+I14+I15</f>
        <v>147</v>
      </c>
      <c r="S9" s="17">
        <f>P9+Q9*R9</f>
        <v>70450</v>
      </c>
      <c r="T9" s="52">
        <f>E13+SUM(G13:G14)+SUM(I13:I15)</f>
        <v>409</v>
      </c>
      <c r="U9" s="88">
        <f>S9/T9</f>
        <v>172.24938875305622</v>
      </c>
      <c r="V9" s="10" t="str">
        <f>" &lt;==  LAS("&amp;E8&amp;")"</f>
        <v xml:space="preserve"> &lt;==  LAS(100)</v>
      </c>
      <c r="W9" s="10"/>
      <c r="X9" s="10"/>
      <c r="Y9" s="10"/>
      <c r="Z9" s="10"/>
      <c r="AA9" s="10"/>
    </row>
    <row r="10" spans="1:27" x14ac:dyDescent="0.25">
      <c r="A10" s="12"/>
      <c r="B10" s="12"/>
      <c r="C10" s="23" t="s">
        <v>33</v>
      </c>
      <c r="D10" s="24"/>
      <c r="E10" s="53" t="s">
        <v>67</v>
      </c>
      <c r="F10" s="24"/>
      <c r="G10" s="53" t="s">
        <v>67</v>
      </c>
      <c r="H10" s="24"/>
      <c r="I10" s="53" t="s">
        <v>67</v>
      </c>
      <c r="J10" s="24"/>
      <c r="K10" s="12"/>
      <c r="L10" s="12"/>
      <c r="M10" s="12"/>
      <c r="N10" s="8" t="s">
        <v>21</v>
      </c>
      <c r="O10" s="10"/>
      <c r="P10" s="50">
        <f>(H14+J14)-(G14+I14)*E11</f>
        <v>31950</v>
      </c>
      <c r="Q10" s="28">
        <f>G11-E11</f>
        <v>250</v>
      </c>
      <c r="R10" s="51">
        <f>I15</f>
        <v>46</v>
      </c>
      <c r="S10" s="17">
        <f>P10+Q10*R10</f>
        <v>43450</v>
      </c>
      <c r="T10" s="52">
        <f>G14+I14+I15</f>
        <v>147</v>
      </c>
      <c r="U10" s="88">
        <f>S10/T10</f>
        <v>295.57823129251699</v>
      </c>
      <c r="V10" s="10" t="str">
        <f>" &lt;==  LAS("&amp;E8&amp;", "&amp;G5&amp;")"</f>
        <v xml:space="preserve"> &lt;==  LAS(100, 350)</v>
      </c>
      <c r="W10" s="10"/>
      <c r="X10" s="10"/>
      <c r="Y10" s="10"/>
      <c r="Z10" s="10"/>
      <c r="AA10" s="10"/>
    </row>
    <row r="11" spans="1:27" x14ac:dyDescent="0.25">
      <c r="A11" s="12"/>
      <c r="B11" s="12"/>
      <c r="C11" s="27" t="s">
        <v>34</v>
      </c>
      <c r="D11" s="18" t="s">
        <v>35</v>
      </c>
      <c r="E11" s="54">
        <v>100</v>
      </c>
      <c r="F11" s="55"/>
      <c r="G11" s="54">
        <v>350</v>
      </c>
      <c r="H11" s="55"/>
      <c r="I11" s="54">
        <v>850</v>
      </c>
      <c r="J11" s="55"/>
      <c r="K11" s="12"/>
      <c r="L11" s="12"/>
      <c r="M11" s="12"/>
      <c r="N11" s="8" t="s">
        <v>21</v>
      </c>
      <c r="O11" s="10"/>
      <c r="P11" s="56">
        <f>J15-I15*G11</f>
        <v>6560</v>
      </c>
      <c r="Q11" s="30">
        <f>I11-G11</f>
        <v>500</v>
      </c>
      <c r="R11" s="57">
        <v>0</v>
      </c>
      <c r="S11" s="19">
        <f>P11+Q11*R11</f>
        <v>6560</v>
      </c>
      <c r="T11" s="58">
        <f>I15</f>
        <v>46</v>
      </c>
      <c r="U11" s="89">
        <f>S11/T11</f>
        <v>142.60869565217391</v>
      </c>
      <c r="V11" s="10" t="str">
        <f>" &lt;==  LAS("&amp;G5&amp;", "&amp;I5&amp;")"</f>
        <v xml:space="preserve"> &lt;==  LAS(350, 850)</v>
      </c>
      <c r="W11" s="10"/>
      <c r="X11" s="10"/>
      <c r="Y11" s="10"/>
      <c r="Z11" s="10"/>
      <c r="AA11" s="10"/>
    </row>
    <row r="12" spans="1:27" x14ac:dyDescent="0.25">
      <c r="A12" s="13"/>
      <c r="B12" s="12"/>
      <c r="C12" s="29" t="s">
        <v>37</v>
      </c>
      <c r="D12" s="20" t="s">
        <v>37</v>
      </c>
      <c r="E12" s="90" t="s">
        <v>68</v>
      </c>
      <c r="F12" s="91" t="s">
        <v>56</v>
      </c>
      <c r="G12" s="90" t="s">
        <v>68</v>
      </c>
      <c r="H12" s="91" t="s">
        <v>56</v>
      </c>
      <c r="I12" s="90" t="s">
        <v>68</v>
      </c>
      <c r="J12" s="91" t="s">
        <v>56</v>
      </c>
      <c r="K12" s="12"/>
      <c r="L12" s="12"/>
      <c r="M12" s="12"/>
      <c r="N12" s="8" t="s">
        <v>21</v>
      </c>
      <c r="O12" s="10"/>
      <c r="P12" s="10"/>
      <c r="Q12" s="10"/>
      <c r="R12" s="10"/>
      <c r="S12" s="10"/>
      <c r="T12" s="10"/>
      <c r="U12" s="59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60">
        <v>0</v>
      </c>
      <c r="D13" s="22">
        <v>100</v>
      </c>
      <c r="E13" s="61">
        <v>130</v>
      </c>
      <c r="F13" s="62">
        <v>11820</v>
      </c>
      <c r="G13" s="61">
        <v>82</v>
      </c>
      <c r="H13" s="62">
        <v>17330</v>
      </c>
      <c r="I13" s="61">
        <v>50</v>
      </c>
      <c r="J13" s="62">
        <v>26600</v>
      </c>
      <c r="K13" s="12"/>
      <c r="L13" s="12"/>
      <c r="M13" s="12"/>
      <c r="N13" s="8" t="s">
        <v>21</v>
      </c>
      <c r="O13" s="63" t="s">
        <v>69</v>
      </c>
      <c r="P13" s="63"/>
      <c r="Q13" s="10"/>
      <c r="R13" s="40" t="s">
        <v>51</v>
      </c>
      <c r="S13" s="64" t="s">
        <v>70</v>
      </c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60">
        <v>101</v>
      </c>
      <c r="D14" s="22">
        <v>350</v>
      </c>
      <c r="E14" s="65"/>
      <c r="F14" s="22"/>
      <c r="G14" s="61">
        <v>62</v>
      </c>
      <c r="H14" s="62">
        <v>10490</v>
      </c>
      <c r="I14" s="61">
        <v>39</v>
      </c>
      <c r="J14" s="62">
        <v>31560</v>
      </c>
      <c r="K14" s="12"/>
      <c r="L14" s="12"/>
      <c r="M14" s="12"/>
      <c r="N14" s="8" t="s">
        <v>21</v>
      </c>
      <c r="O14" s="66" t="s">
        <v>71</v>
      </c>
      <c r="P14" s="40"/>
      <c r="Q14" s="10"/>
      <c r="R14" s="40" t="s">
        <v>53</v>
      </c>
      <c r="S14" s="64" t="s">
        <v>72</v>
      </c>
      <c r="U14" s="10"/>
      <c r="V14" s="10"/>
      <c r="W14" s="10"/>
      <c r="X14" s="10"/>
      <c r="Y14" s="10"/>
      <c r="Z14" s="10"/>
      <c r="AA14" s="10"/>
    </row>
    <row r="15" spans="1:27" x14ac:dyDescent="0.25">
      <c r="C15" s="67">
        <v>351</v>
      </c>
      <c r="D15" s="32">
        <v>850</v>
      </c>
      <c r="E15" s="68"/>
      <c r="F15" s="32"/>
      <c r="G15" s="68"/>
      <c r="H15" s="32"/>
      <c r="I15" s="69">
        <v>46</v>
      </c>
      <c r="J15" s="70">
        <v>22660</v>
      </c>
      <c r="K15" s="10"/>
      <c r="L15" s="10"/>
      <c r="M15" s="12"/>
      <c r="N15" s="8" t="s">
        <v>21</v>
      </c>
      <c r="O15" s="10"/>
      <c r="P15" s="40"/>
      <c r="Q15" s="10"/>
      <c r="R15" s="40" t="s">
        <v>55</v>
      </c>
      <c r="S15" s="64" t="s">
        <v>73</v>
      </c>
      <c r="U15" s="10"/>
      <c r="V15" s="10"/>
      <c r="W15" s="10"/>
      <c r="X15" s="10"/>
      <c r="Y15" s="10"/>
    </row>
    <row r="16" spans="1:27" x14ac:dyDescent="0.25">
      <c r="C16" s="71" t="s">
        <v>74</v>
      </c>
      <c r="D16" s="72"/>
      <c r="E16" s="73">
        <v>130</v>
      </c>
      <c r="F16" s="74">
        <v>11820</v>
      </c>
      <c r="G16" s="73">
        <v>144</v>
      </c>
      <c r="H16" s="74">
        <v>27820</v>
      </c>
      <c r="I16" s="73">
        <v>135</v>
      </c>
      <c r="J16" s="74">
        <v>80820</v>
      </c>
      <c r="K16" s="10"/>
      <c r="L16" s="10"/>
      <c r="M16" s="12"/>
      <c r="N16" s="8" t="s">
        <v>21</v>
      </c>
      <c r="O16" s="10"/>
      <c r="P16" s="40"/>
      <c r="Q16" s="10"/>
      <c r="R16" s="10"/>
      <c r="S16" s="10"/>
      <c r="T16" s="10"/>
      <c r="U16" s="10"/>
      <c r="V16" s="10"/>
      <c r="W16" s="10"/>
      <c r="X16" s="10"/>
      <c r="Y16" s="10"/>
    </row>
    <row r="17" spans="3:25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8" t="s">
        <v>21</v>
      </c>
      <c r="O17" s="40" t="s">
        <v>50</v>
      </c>
      <c r="P17" s="75">
        <f>R17+T17+V17</f>
        <v>55750</v>
      </c>
      <c r="Q17" s="11" t="s">
        <v>43</v>
      </c>
      <c r="R17" s="76">
        <f>F13</f>
        <v>11820</v>
      </c>
      <c r="S17" s="11" t="s">
        <v>75</v>
      </c>
      <c r="T17" s="76">
        <f>H13</f>
        <v>17330</v>
      </c>
      <c r="U17" s="11" t="s">
        <v>75</v>
      </c>
      <c r="V17" s="42">
        <f>J13</f>
        <v>26600</v>
      </c>
      <c r="W17" s="10"/>
      <c r="X17" s="10"/>
      <c r="Y17" s="10"/>
    </row>
    <row r="18" spans="3:25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40" t="s">
        <v>50</v>
      </c>
      <c r="P18" s="75">
        <f>P10</f>
        <v>31950</v>
      </c>
      <c r="Q18" s="11" t="s">
        <v>43</v>
      </c>
      <c r="R18" s="10">
        <f>H14</f>
        <v>10490</v>
      </c>
      <c r="S18" s="11" t="s">
        <v>75</v>
      </c>
      <c r="T18" s="10">
        <f>J14</f>
        <v>31560</v>
      </c>
      <c r="U18" s="77" t="s">
        <v>76</v>
      </c>
      <c r="V18" s="10" t="str">
        <f>"("&amp;G14&amp;" + "&amp;I14&amp;") * "&amp;E11</f>
        <v>(62 + 39) * 100</v>
      </c>
      <c r="W18" s="10"/>
      <c r="X18" s="10"/>
      <c r="Y18" s="10"/>
    </row>
    <row r="19" spans="3:25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40" t="s">
        <v>50</v>
      </c>
      <c r="P19" s="75">
        <f>P11</f>
        <v>6560</v>
      </c>
      <c r="Q19" s="11" t="s">
        <v>43</v>
      </c>
      <c r="R19" s="10">
        <f>J15</f>
        <v>22660</v>
      </c>
      <c r="S19" s="77" t="s">
        <v>76</v>
      </c>
      <c r="T19" s="76" t="str">
        <f>I15&amp;" * "&amp;G11</f>
        <v>46 * 350</v>
      </c>
      <c r="W19" s="10"/>
      <c r="X19" s="10"/>
      <c r="Y19" s="10"/>
    </row>
    <row r="20" spans="3:25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3:25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40" t="s">
        <v>52</v>
      </c>
      <c r="P21" s="78">
        <f>R9</f>
        <v>147</v>
      </c>
      <c r="Q21" s="11" t="s">
        <v>43</v>
      </c>
      <c r="R21" s="10" t="str">
        <f>G14&amp;" + "&amp;I14&amp;" + "&amp;I15</f>
        <v>62 + 39 + 46</v>
      </c>
      <c r="S21" s="11"/>
      <c r="T21" s="10"/>
      <c r="U21" s="11"/>
      <c r="V21" s="10"/>
      <c r="W21" s="10"/>
      <c r="X21" s="10"/>
      <c r="Y21" s="10"/>
    </row>
    <row r="22" spans="3:25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40" t="s">
        <v>52</v>
      </c>
      <c r="P22" s="78">
        <f>R10</f>
        <v>46</v>
      </c>
      <c r="Q22" s="11" t="s">
        <v>43</v>
      </c>
      <c r="R22" s="42">
        <f>I15</f>
        <v>46</v>
      </c>
      <c r="S22" s="10"/>
      <c r="T22" s="10"/>
      <c r="U22" s="10"/>
      <c r="V22" s="10"/>
      <c r="W22" s="10"/>
      <c r="X22" s="10"/>
      <c r="Y22" s="10"/>
    </row>
    <row r="23" spans="3:25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40" t="s">
        <v>52</v>
      </c>
      <c r="P23" s="78">
        <f>R11</f>
        <v>0</v>
      </c>
      <c r="Q23" s="11" t="s">
        <v>43</v>
      </c>
      <c r="R23" s="79" t="s">
        <v>77</v>
      </c>
      <c r="S23" s="10"/>
      <c r="T23" s="10"/>
      <c r="U23" s="10"/>
      <c r="V23" s="10"/>
      <c r="W23" s="10"/>
      <c r="X23" s="10"/>
      <c r="Y23" s="10"/>
    </row>
    <row r="24" spans="3:25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21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3:25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21</v>
      </c>
      <c r="O25" s="40" t="s">
        <v>54</v>
      </c>
      <c r="P25" s="80">
        <f>T9</f>
        <v>409</v>
      </c>
      <c r="Q25" s="11" t="s">
        <v>43</v>
      </c>
      <c r="R25" s="10" t="str">
        <f>E13&amp;" + "&amp;G16&amp;" + "&amp;I16</f>
        <v>130 + 144 + 135</v>
      </c>
      <c r="S25" s="10"/>
      <c r="T25" s="10"/>
      <c r="U25" s="10"/>
      <c r="V25" s="10"/>
      <c r="W25" s="10"/>
      <c r="X25" s="10"/>
      <c r="Y25" s="10"/>
    </row>
    <row r="26" spans="3:25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21</v>
      </c>
      <c r="O26" s="40" t="s">
        <v>54</v>
      </c>
      <c r="P26" s="80">
        <f>T10</f>
        <v>147</v>
      </c>
      <c r="Q26" s="11" t="s">
        <v>43</v>
      </c>
      <c r="R26" s="10" t="str">
        <f>G14&amp;" + "&amp;I14&amp;" + "&amp;I15</f>
        <v>62 + 39 + 46</v>
      </c>
      <c r="S26" s="10"/>
      <c r="T26" s="10"/>
      <c r="U26" s="10"/>
      <c r="V26" s="10"/>
      <c r="W26" s="10"/>
      <c r="X26" s="10"/>
      <c r="Y26" s="10"/>
    </row>
    <row r="27" spans="3:25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21</v>
      </c>
      <c r="O27" s="40" t="s">
        <v>54</v>
      </c>
      <c r="P27" s="80">
        <f>T11</f>
        <v>46</v>
      </c>
      <c r="Q27" s="11" t="s">
        <v>43</v>
      </c>
      <c r="R27" s="42">
        <f>I15</f>
        <v>46</v>
      </c>
      <c r="S27" s="10"/>
      <c r="T27" s="10"/>
      <c r="U27" s="10"/>
      <c r="V27" s="10"/>
      <c r="W27" s="10"/>
      <c r="X27" s="10"/>
      <c r="Y27" s="10"/>
    </row>
    <row r="28" spans="3:25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21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3:25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21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3:25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21</v>
      </c>
      <c r="O30" s="37" t="s">
        <v>78</v>
      </c>
      <c r="P30" s="10" t="s">
        <v>79</v>
      </c>
      <c r="Q30" s="10"/>
      <c r="R30" s="10"/>
      <c r="S30" s="10"/>
      <c r="T30" s="11">
        <f>E8</f>
        <v>100</v>
      </c>
      <c r="U30" s="11" t="s">
        <v>49</v>
      </c>
      <c r="V30" s="11">
        <f>G5</f>
        <v>350</v>
      </c>
      <c r="W30" s="10"/>
      <c r="X30" s="10"/>
      <c r="Y30" s="10"/>
    </row>
    <row r="31" spans="3:25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21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3:25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21</v>
      </c>
      <c r="O32" s="10"/>
      <c r="P32" s="11" t="s">
        <v>80</v>
      </c>
      <c r="Q32" s="11" t="s">
        <v>81</v>
      </c>
      <c r="R32" s="10"/>
      <c r="S32" s="10"/>
      <c r="T32" s="10"/>
      <c r="U32" s="10"/>
      <c r="V32" s="10"/>
      <c r="W32" s="10"/>
      <c r="X32" s="10"/>
      <c r="Y32" s="10"/>
    </row>
    <row r="33" spans="1:25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21</v>
      </c>
      <c r="O33" s="10"/>
      <c r="P33" s="11">
        <f>T30</f>
        <v>100</v>
      </c>
      <c r="Q33" s="81">
        <f>(G14+I14+I15)/(G16+I16)</f>
        <v>0.5268817204301075</v>
      </c>
      <c r="R33" s="11" t="s">
        <v>43</v>
      </c>
      <c r="S33" s="10" t="str">
        <f>"("&amp;G14&amp;" + "&amp;I14&amp;" + "&amp;I15&amp;")"</f>
        <v>(62 + 39 + 46)</v>
      </c>
      <c r="T33" s="10"/>
      <c r="U33" s="63" t="s">
        <v>44</v>
      </c>
      <c r="V33" s="10" t="str">
        <f>"("&amp;G16&amp;" + "&amp;I16&amp;")"</f>
        <v>(144 + 135)</v>
      </c>
      <c r="W33" s="10"/>
      <c r="X33" s="10"/>
      <c r="Y33" s="10"/>
    </row>
    <row r="34" spans="1:25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21</v>
      </c>
      <c r="O34" s="10"/>
      <c r="P34" s="11">
        <f>V30</f>
        <v>350</v>
      </c>
      <c r="Q34" s="81">
        <f>I15/I16</f>
        <v>0.34074074074074073</v>
      </c>
      <c r="R34" s="11" t="s">
        <v>43</v>
      </c>
      <c r="S34" s="42">
        <f>I15</f>
        <v>46</v>
      </c>
      <c r="T34" s="10"/>
      <c r="U34" s="63" t="s">
        <v>44</v>
      </c>
      <c r="V34" s="42">
        <f>I16</f>
        <v>135</v>
      </c>
      <c r="W34" s="10"/>
      <c r="X34" s="10"/>
      <c r="Y34" s="10"/>
    </row>
    <row r="35" spans="1:25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21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21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21</v>
      </c>
      <c r="O37" s="11" t="s">
        <v>82</v>
      </c>
      <c r="P37" s="10" t="str">
        <f>"To calculate Pr(X &gt; "&amp;T30&amp;"), we use only policies that could potentially have a claim of at least "&amp;T30&amp;"."</f>
        <v>To calculate Pr(X &gt; 100), we use only policies that could potentially have a claim of at least 100.</v>
      </c>
      <c r="Q37" s="10"/>
      <c r="R37" s="10"/>
      <c r="S37" s="10"/>
      <c r="T37" s="10"/>
      <c r="U37" s="10"/>
      <c r="V37" s="10"/>
      <c r="W37" s="10"/>
      <c r="X37" s="10"/>
      <c r="Y37" s="10"/>
    </row>
    <row r="38" spans="1:25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21</v>
      </c>
      <c r="O38" s="10"/>
      <c r="P38" s="10" t="str">
        <f>"We cannot use data for policies with limits less than "&amp;T30&amp;"."</f>
        <v>We cannot use data for policies with limits less than 100.</v>
      </c>
      <c r="Q38" s="10"/>
      <c r="R38" s="10"/>
      <c r="S38" s="10"/>
      <c r="T38" s="10"/>
      <c r="U38" s="10"/>
      <c r="V38" s="10"/>
      <c r="W38" s="10"/>
      <c r="X38" s="10"/>
      <c r="Y38" s="10"/>
    </row>
    <row r="39" spans="1:25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21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x14ac:dyDescent="0.25">
      <c r="N40" s="8" t="s">
        <v>21</v>
      </c>
      <c r="O40" s="11" t="s">
        <v>82</v>
      </c>
      <c r="P40" s="10" t="str">
        <f>"To calculate Pr(X &gt; "&amp;V30&amp;"), we use only policies that could potentially have a claim of at least "&amp;V30&amp;"."</f>
        <v>To calculate Pr(X &gt; 350), we use only policies that could potentially have a claim of at least 350.</v>
      </c>
      <c r="Q40" s="10"/>
      <c r="R40" s="10"/>
      <c r="S40" s="10"/>
      <c r="T40" s="10"/>
      <c r="U40" s="10"/>
      <c r="V40" s="10"/>
      <c r="W40" s="10"/>
      <c r="X40" s="10"/>
      <c r="Y40" s="10"/>
    </row>
    <row r="41" spans="1:25" x14ac:dyDescent="0.25">
      <c r="N41" s="8" t="s">
        <v>21</v>
      </c>
      <c r="O41" s="10"/>
      <c r="P41" s="10" t="str">
        <f>"We cannot use data for policies with limits less than "&amp;V30&amp;"."</f>
        <v>We cannot use data for policies with limits less than 350.</v>
      </c>
      <c r="Q41" s="10"/>
      <c r="R41" s="10"/>
      <c r="S41" s="10"/>
      <c r="T41" s="10"/>
      <c r="U41" s="10"/>
      <c r="V41" s="10"/>
      <c r="W41" s="10"/>
      <c r="X41" s="10"/>
      <c r="Y41" s="10"/>
    </row>
    <row r="42" spans="1:25" x14ac:dyDescent="0.25">
      <c r="N42" s="8" t="s">
        <v>21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x14ac:dyDescent="0.25">
      <c r="N43" s="8" t="s">
        <v>21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x14ac:dyDescent="0.25">
      <c r="N44" s="8" t="s">
        <v>21</v>
      </c>
      <c r="O44" s="45" t="s">
        <v>83</v>
      </c>
      <c r="P44" s="10" t="s">
        <v>84</v>
      </c>
      <c r="Q44" s="10"/>
      <c r="R44" s="10"/>
      <c r="S44" s="10"/>
      <c r="T44" s="10"/>
      <c r="U44" s="10"/>
      <c r="V44" s="10"/>
      <c r="W44" s="10"/>
      <c r="X44" s="10"/>
      <c r="Y44" s="10"/>
    </row>
    <row r="45" spans="1:25" x14ac:dyDescent="0.25">
      <c r="N45" s="8" t="s">
        <v>21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x14ac:dyDescent="0.25">
      <c r="N46" s="8" t="s">
        <v>21</v>
      </c>
      <c r="O46" s="10"/>
      <c r="P46" s="68" t="str">
        <f>"LAS("&amp;E8&amp;")"</f>
        <v>LAS(100)</v>
      </c>
      <c r="Q46" s="30" t="s">
        <v>43</v>
      </c>
      <c r="R46" s="92">
        <f>U9</f>
        <v>172.24938875305622</v>
      </c>
      <c r="S46" s="82" t="s">
        <v>85</v>
      </c>
      <c r="T46" s="30"/>
      <c r="U46" s="30"/>
      <c r="V46" s="30"/>
      <c r="W46" s="68"/>
      <c r="X46" s="10"/>
      <c r="Y46" s="10"/>
    </row>
    <row r="47" spans="1:25" x14ac:dyDescent="0.25">
      <c r="N47" s="8" t="s">
        <v>21</v>
      </c>
      <c r="O47" s="10"/>
      <c r="P47" s="10" t="str">
        <f>"LAS("&amp;G5&amp;")"</f>
        <v>LAS(350)</v>
      </c>
      <c r="Q47" s="11" t="s">
        <v>43</v>
      </c>
      <c r="R47" s="6" t="str">
        <f>"LAS("&amp;E8&amp;")"</f>
        <v>LAS(100)</v>
      </c>
      <c r="S47" s="11" t="s">
        <v>75</v>
      </c>
      <c r="T47" s="83" t="str">
        <f>"P(X &gt; "&amp;P33&amp;")"</f>
        <v>P(X &gt; 100)</v>
      </c>
      <c r="U47" s="11" t="s">
        <v>86</v>
      </c>
      <c r="V47" s="6" t="str">
        <f>"LAS("&amp;E8&amp;", "&amp;G5&amp;")"</f>
        <v>LAS(100, 350)</v>
      </c>
      <c r="W47" s="10"/>
      <c r="X47" s="10"/>
      <c r="Y47" s="10"/>
    </row>
    <row r="48" spans="1:25" x14ac:dyDescent="0.25">
      <c r="N48" s="8" t="s">
        <v>21</v>
      </c>
      <c r="O48" s="10"/>
      <c r="Q48" s="11" t="s">
        <v>43</v>
      </c>
      <c r="R48" s="93">
        <f>U9</f>
        <v>172.24938875305622</v>
      </c>
      <c r="S48" s="11" t="s">
        <v>75</v>
      </c>
      <c r="T48" s="84">
        <f>Q33</f>
        <v>0.5268817204301075</v>
      </c>
      <c r="U48" s="11" t="s">
        <v>86</v>
      </c>
      <c r="V48" s="94">
        <f>U10</f>
        <v>295.57823129251699</v>
      </c>
      <c r="W48" s="10"/>
      <c r="X48" s="10"/>
      <c r="Y48" s="10"/>
    </row>
    <row r="49" spans="14:25" x14ac:dyDescent="0.25">
      <c r="N49" s="8" t="s">
        <v>21</v>
      </c>
      <c r="O49" s="10"/>
      <c r="P49" s="68"/>
      <c r="Q49" s="30" t="s">
        <v>43</v>
      </c>
      <c r="R49" s="92">
        <f>R48+T48*V48</f>
        <v>327.98415577814581</v>
      </c>
      <c r="S49" s="68"/>
      <c r="T49" s="82"/>
      <c r="U49" s="68"/>
      <c r="V49" s="68"/>
      <c r="W49" s="68"/>
      <c r="X49" s="10"/>
      <c r="Y49" s="10"/>
    </row>
    <row r="50" spans="14:25" x14ac:dyDescent="0.25">
      <c r="N50" s="8" t="s">
        <v>21</v>
      </c>
      <c r="O50" s="10"/>
      <c r="P50" s="10" t="str">
        <f>"LAS("&amp;I5&amp;")"</f>
        <v>LAS(850)</v>
      </c>
      <c r="Q50" s="11" t="s">
        <v>43</v>
      </c>
      <c r="R50" s="10" t="str">
        <f>"LAS("&amp;G5&amp;")"</f>
        <v>LAS(350)</v>
      </c>
      <c r="S50" s="11" t="s">
        <v>75</v>
      </c>
      <c r="T50" s="83" t="str">
        <f>"P(X &gt; "&amp;P34&amp;")"</f>
        <v>P(X &gt; 350)</v>
      </c>
      <c r="U50" s="11" t="s">
        <v>86</v>
      </c>
      <c r="V50" s="42" t="str">
        <f>"LAS("&amp;G5&amp;", "&amp;I5&amp;")"</f>
        <v>LAS(350, 850)</v>
      </c>
      <c r="W50" s="10"/>
      <c r="X50" s="10"/>
      <c r="Y50" s="10"/>
    </row>
    <row r="51" spans="14:25" x14ac:dyDescent="0.25">
      <c r="N51" s="8" t="s">
        <v>21</v>
      </c>
      <c r="O51" s="10"/>
      <c r="Q51" s="11" t="s">
        <v>43</v>
      </c>
      <c r="R51" s="93">
        <f>R49</f>
        <v>327.98415577814581</v>
      </c>
      <c r="S51" s="11" t="s">
        <v>75</v>
      </c>
      <c r="T51" s="84">
        <f>Q34</f>
        <v>0.34074074074074073</v>
      </c>
      <c r="V51" s="94">
        <f>U11</f>
        <v>142.60869565217391</v>
      </c>
      <c r="W51" s="10"/>
      <c r="X51" s="10"/>
      <c r="Y51" s="10"/>
    </row>
    <row r="52" spans="14:25" x14ac:dyDescent="0.25">
      <c r="N52" s="8" t="s">
        <v>21</v>
      </c>
      <c r="O52" s="10"/>
      <c r="Q52" s="11" t="s">
        <v>43</v>
      </c>
      <c r="R52" s="46">
        <f>R51+T51*V51</f>
        <v>376.57674837073841</v>
      </c>
      <c r="S52" s="10"/>
      <c r="T52" s="10"/>
      <c r="U52" s="10"/>
      <c r="V52" s="10"/>
      <c r="W52" s="10"/>
      <c r="X52" s="10"/>
      <c r="Y52" s="10"/>
    </row>
    <row r="53" spans="14:25" x14ac:dyDescent="0.25">
      <c r="N53" s="8" t="s">
        <v>21</v>
      </c>
    </row>
    <row r="54" spans="14:25" x14ac:dyDescent="0.25">
      <c r="N54" s="8" t="s">
        <v>21</v>
      </c>
      <c r="O54" s="45" t="s">
        <v>87</v>
      </c>
      <c r="P54" s="6" t="s">
        <v>88</v>
      </c>
      <c r="R54" s="14">
        <f>G5</f>
        <v>350</v>
      </c>
      <c r="S54" s="8" t="s">
        <v>49</v>
      </c>
      <c r="T54" s="14">
        <f>I5</f>
        <v>850</v>
      </c>
    </row>
    <row r="55" spans="14:25" x14ac:dyDescent="0.25">
      <c r="N55" s="8" t="s">
        <v>21</v>
      </c>
    </row>
    <row r="56" spans="14:25" x14ac:dyDescent="0.25">
      <c r="N56" s="8" t="s">
        <v>21</v>
      </c>
      <c r="O56" s="10"/>
      <c r="P56" s="13" t="str">
        <f>"ILF ("&amp;R54&amp;")"</f>
        <v>ILF (350)</v>
      </c>
      <c r="Q56" s="11" t="s">
        <v>43</v>
      </c>
      <c r="R56" s="10" t="str">
        <f>"LAS("&amp;G5&amp;")"</f>
        <v>LAS(350)</v>
      </c>
      <c r="S56" s="40" t="s">
        <v>44</v>
      </c>
      <c r="T56" s="10" t="str">
        <f>"LAS("&amp;E8&amp;")"</f>
        <v>LAS(100)</v>
      </c>
      <c r="U56" s="11" t="s">
        <v>43</v>
      </c>
      <c r="V56" s="87">
        <f>R49/R46</f>
        <v>1.9041237716573689</v>
      </c>
      <c r="W56" s="75" t="s">
        <v>89</v>
      </c>
      <c r="X56" s="10"/>
      <c r="Y56" s="10"/>
    </row>
    <row r="57" spans="14:25" x14ac:dyDescent="0.25">
      <c r="N57" s="8" t="s">
        <v>21</v>
      </c>
      <c r="O57" s="10"/>
      <c r="P57" s="13" t="str">
        <f>"ILF ("&amp;T54&amp;")"</f>
        <v>ILF (850)</v>
      </c>
      <c r="Q57" s="11" t="s">
        <v>43</v>
      </c>
      <c r="R57" s="10" t="str">
        <f>"LAS("&amp;I5&amp;")"</f>
        <v>LAS(850)</v>
      </c>
      <c r="S57" s="40" t="s">
        <v>44</v>
      </c>
      <c r="T57" s="10" t="str">
        <f>"LAS("&amp;E8&amp;")"</f>
        <v>LAS(100)</v>
      </c>
      <c r="U57" s="11" t="s">
        <v>43</v>
      </c>
      <c r="V57" s="87">
        <f>R52/R46</f>
        <v>2.1862298095618455</v>
      </c>
      <c r="W57" s="75" t="s">
        <v>89</v>
      </c>
      <c r="X57" s="10"/>
      <c r="Y57" s="10"/>
    </row>
    <row r="58" spans="14:25" x14ac:dyDescent="0.25">
      <c r="N58" s="8" t="s">
        <v>21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4:25" x14ac:dyDescent="0.25">
      <c r="N59" s="8" t="s">
        <v>21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5" width="9.140625" style="6" customWidth="1"/>
    <col min="6" max="6" width="10.7109375" style="6" customWidth="1"/>
    <col min="7" max="8" width="9.140625" style="6" customWidth="1"/>
    <col min="9" max="9" width="9.140625" style="6"/>
    <col min="10" max="12" width="9.140625" style="6" customWidth="1"/>
    <col min="13" max="13" width="7.7109375" style="6" customWidth="1"/>
    <col min="14" max="17" width="9.140625" style="6" customWidth="1"/>
    <col min="18" max="20" width="10.7109375" style="6" customWidth="1"/>
    <col min="21" max="22" width="9.140625" style="6" customWidth="1"/>
    <col min="23" max="23" width="10.7109375" style="6" customWidth="1"/>
    <col min="24" max="24" width="9.140625" style="6"/>
    <col min="25" max="25" width="9.140625" style="6" customWidth="1"/>
    <col min="26" max="26" width="9.140625" style="6"/>
    <col min="27" max="27" width="3.28515625" style="6" customWidth="1"/>
    <col min="28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5" t="s">
        <v>20</v>
      </c>
      <c r="M1" s="195"/>
      <c r="N1" s="8" t="s">
        <v>21</v>
      </c>
      <c r="AA1" s="10"/>
    </row>
    <row r="2" spans="1:27" x14ac:dyDescent="0.25">
      <c r="A2" s="5" t="s">
        <v>22</v>
      </c>
      <c r="C2" s="6" t="s">
        <v>23</v>
      </c>
      <c r="N2" s="8" t="s">
        <v>21</v>
      </c>
      <c r="AA2" s="10"/>
    </row>
    <row r="3" spans="1:27" x14ac:dyDescent="0.25">
      <c r="A3" s="5" t="s">
        <v>24</v>
      </c>
      <c r="C3" s="6" t="s">
        <v>110</v>
      </c>
      <c r="N3" s="8" t="s">
        <v>21</v>
      </c>
      <c r="O3" s="9" t="s">
        <v>25</v>
      </c>
      <c r="P3" s="6" t="s">
        <v>91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AA4" s="10"/>
    </row>
    <row r="5" spans="1:27" x14ac:dyDescent="0.25">
      <c r="A5" s="13" t="s">
        <v>27</v>
      </c>
      <c r="C5" s="10" t="s">
        <v>92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P5" s="23" t="s">
        <v>93</v>
      </c>
      <c r="Q5" s="24"/>
      <c r="R5" s="25"/>
      <c r="S5" s="95" t="s">
        <v>94</v>
      </c>
      <c r="T5" s="15" t="s">
        <v>39</v>
      </c>
      <c r="U5" s="10"/>
      <c r="V5" s="76" t="s">
        <v>95</v>
      </c>
      <c r="W5" s="11">
        <f>E7</f>
        <v>500</v>
      </c>
      <c r="X5" s="10"/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27" t="s">
        <v>34</v>
      </c>
      <c r="Q6" s="18" t="s">
        <v>35</v>
      </c>
      <c r="R6" s="28" t="s">
        <v>36</v>
      </c>
      <c r="S6" s="18" t="s">
        <v>36</v>
      </c>
      <c r="T6" s="17" t="s">
        <v>96</v>
      </c>
      <c r="U6" s="10"/>
      <c r="V6" s="10"/>
      <c r="W6" s="10"/>
      <c r="X6" s="10"/>
      <c r="Y6" s="10"/>
      <c r="Z6" s="10"/>
      <c r="AA6" s="10"/>
    </row>
    <row r="7" spans="1:27" x14ac:dyDescent="0.25">
      <c r="A7" s="13" t="s">
        <v>31</v>
      </c>
      <c r="C7" s="10" t="s">
        <v>97</v>
      </c>
      <c r="D7" s="10"/>
      <c r="E7" s="14">
        <v>500</v>
      </c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29" t="s">
        <v>37</v>
      </c>
      <c r="Q7" s="20" t="s">
        <v>37</v>
      </c>
      <c r="R7" s="30" t="s">
        <v>38</v>
      </c>
      <c r="S7" s="20" t="s">
        <v>39</v>
      </c>
      <c r="T7" s="19" t="s">
        <v>98</v>
      </c>
      <c r="U7" s="10"/>
      <c r="V7" s="10"/>
      <c r="W7" s="10"/>
      <c r="X7" s="10"/>
      <c r="Y7" s="10"/>
      <c r="Z7" s="10"/>
      <c r="AA7" s="10"/>
    </row>
    <row r="8" spans="1:27" x14ac:dyDescent="0.25">
      <c r="A8" s="13"/>
      <c r="B8" s="12"/>
      <c r="C8" s="10"/>
      <c r="D8" s="10"/>
      <c r="E8" s="10"/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27">
        <f>C12</f>
        <v>0</v>
      </c>
      <c r="Q8" s="18">
        <f t="shared" ref="Q8:S12" si="0">D12</f>
        <v>100</v>
      </c>
      <c r="R8" s="96">
        <f t="shared" si="0"/>
        <v>190</v>
      </c>
      <c r="S8" s="97">
        <f t="shared" si="0"/>
        <v>14140</v>
      </c>
      <c r="T8" s="17">
        <f>IF(Q8&lt;=W5,S8,R8*W5)</f>
        <v>14140</v>
      </c>
      <c r="U8" s="10"/>
      <c r="V8" s="10"/>
      <c r="W8" s="10"/>
      <c r="X8" s="10"/>
      <c r="Y8" s="10"/>
      <c r="Z8" s="10"/>
      <c r="AA8" s="10"/>
    </row>
    <row r="9" spans="1:27" x14ac:dyDescent="0.25">
      <c r="A9" s="12"/>
      <c r="B9" s="12"/>
      <c r="C9" s="23" t="s">
        <v>93</v>
      </c>
      <c r="D9" s="24"/>
      <c r="E9" s="25"/>
      <c r="F9" s="95" t="s">
        <v>94</v>
      </c>
      <c r="G9" s="10"/>
      <c r="H9" s="10"/>
      <c r="I9" s="10"/>
      <c r="J9" s="10"/>
      <c r="K9" s="12"/>
      <c r="L9" s="12"/>
      <c r="M9" s="12"/>
      <c r="N9" s="8" t="s">
        <v>21</v>
      </c>
      <c r="O9" s="10"/>
      <c r="P9" s="27">
        <f t="shared" ref="P9:P12" si="1">C13</f>
        <v>100</v>
      </c>
      <c r="Q9" s="18">
        <f t="shared" si="0"/>
        <v>250</v>
      </c>
      <c r="R9" s="96">
        <f t="shared" si="0"/>
        <v>110</v>
      </c>
      <c r="S9" s="97">
        <f t="shared" si="0"/>
        <v>16350</v>
      </c>
      <c r="T9" s="17">
        <f>IF(Q9&lt;=W5,S9,R9*W5)</f>
        <v>16350</v>
      </c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27" t="s">
        <v>34</v>
      </c>
      <c r="D10" s="18" t="s">
        <v>35</v>
      </c>
      <c r="E10" s="28" t="s">
        <v>36</v>
      </c>
      <c r="F10" s="18" t="s">
        <v>36</v>
      </c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27">
        <f t="shared" si="1"/>
        <v>250</v>
      </c>
      <c r="Q10" s="18">
        <f t="shared" si="0"/>
        <v>500</v>
      </c>
      <c r="R10" s="96">
        <f t="shared" si="0"/>
        <v>60</v>
      </c>
      <c r="S10" s="97">
        <f t="shared" si="0"/>
        <v>25360</v>
      </c>
      <c r="T10" s="17">
        <f>IF(Q10&lt;=W5,S10,R10*W5)</f>
        <v>25360</v>
      </c>
      <c r="U10" s="10"/>
      <c r="V10" s="10"/>
      <c r="W10" s="10"/>
      <c r="X10" s="10"/>
      <c r="Y10" s="10"/>
      <c r="Z10" s="10"/>
      <c r="AA10" s="10"/>
    </row>
    <row r="11" spans="1:27" x14ac:dyDescent="0.25">
      <c r="A11" s="12"/>
      <c r="B11" s="12"/>
      <c r="C11" s="29" t="s">
        <v>37</v>
      </c>
      <c r="D11" s="20" t="s">
        <v>37</v>
      </c>
      <c r="E11" s="30" t="s">
        <v>38</v>
      </c>
      <c r="F11" s="20" t="s">
        <v>39</v>
      </c>
      <c r="G11" s="10"/>
      <c r="H11" s="10"/>
      <c r="I11" s="10"/>
      <c r="J11" s="10"/>
      <c r="K11" s="12"/>
      <c r="L11" s="12"/>
      <c r="M11" s="12"/>
      <c r="N11" s="8" t="s">
        <v>21</v>
      </c>
      <c r="O11" s="10"/>
      <c r="P11" s="27">
        <f t="shared" si="1"/>
        <v>500</v>
      </c>
      <c r="Q11" s="18">
        <f t="shared" si="0"/>
        <v>1000</v>
      </c>
      <c r="R11" s="96">
        <f t="shared" si="0"/>
        <v>30</v>
      </c>
      <c r="S11" s="97">
        <f t="shared" si="0"/>
        <v>29550</v>
      </c>
      <c r="T11" s="17">
        <f>IF(Q11&lt;=W5,S11,R11*W5)</f>
        <v>15000</v>
      </c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27">
        <v>0</v>
      </c>
      <c r="D12" s="18">
        <v>100</v>
      </c>
      <c r="E12" s="33">
        <v>190</v>
      </c>
      <c r="F12" s="34">
        <v>14140</v>
      </c>
      <c r="G12" s="10"/>
      <c r="H12" s="10"/>
      <c r="I12" s="10"/>
      <c r="J12" s="10"/>
      <c r="K12" s="12"/>
      <c r="L12" s="12"/>
      <c r="M12" s="12"/>
      <c r="N12" s="8" t="s">
        <v>21</v>
      </c>
      <c r="O12" s="10"/>
      <c r="P12" s="29">
        <f t="shared" si="1"/>
        <v>1000</v>
      </c>
      <c r="Q12" s="20">
        <v>99999</v>
      </c>
      <c r="R12" s="98">
        <f t="shared" si="0"/>
        <v>9</v>
      </c>
      <c r="S12" s="99">
        <f t="shared" si="0"/>
        <v>23500</v>
      </c>
      <c r="T12" s="19">
        <f>IF(Q12&lt;=W5,S12,R12*W5)</f>
        <v>4500</v>
      </c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27">
        <v>100</v>
      </c>
      <c r="D13" s="18">
        <v>250</v>
      </c>
      <c r="E13" s="33">
        <v>110</v>
      </c>
      <c r="F13" s="34">
        <v>16350</v>
      </c>
      <c r="G13" s="10"/>
      <c r="H13" s="10"/>
      <c r="I13" s="10"/>
      <c r="J13" s="10"/>
      <c r="K13" s="12"/>
      <c r="L13" s="12"/>
      <c r="M13" s="12"/>
      <c r="N13" s="8" t="s">
        <v>21</v>
      </c>
      <c r="O13" s="10"/>
      <c r="P13" s="71" t="s">
        <v>58</v>
      </c>
      <c r="Q13" s="72"/>
      <c r="R13" s="100">
        <f>SUM(R8:R12)</f>
        <v>399</v>
      </c>
      <c r="S13" s="104">
        <f>SUM(S8:S12)</f>
        <v>108900</v>
      </c>
      <c r="T13" s="105">
        <f>SUM(T8:T12)</f>
        <v>75350</v>
      </c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27">
        <v>250</v>
      </c>
      <c r="D14" s="18">
        <v>500</v>
      </c>
      <c r="E14" s="33">
        <v>60</v>
      </c>
      <c r="F14" s="34">
        <v>25360</v>
      </c>
      <c r="G14" s="10"/>
      <c r="H14" s="10"/>
      <c r="I14" s="10"/>
      <c r="J14" s="10"/>
      <c r="K14" s="12"/>
      <c r="L14" s="12"/>
      <c r="M14" s="12"/>
      <c r="N14" s="8" t="s">
        <v>21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27">
        <v>500</v>
      </c>
      <c r="D15" s="18">
        <v>1000</v>
      </c>
      <c r="E15" s="33">
        <v>30</v>
      </c>
      <c r="F15" s="34">
        <v>29550</v>
      </c>
      <c r="G15" s="10"/>
      <c r="H15" s="10"/>
      <c r="I15" s="10"/>
      <c r="J15" s="10"/>
      <c r="K15" s="10"/>
      <c r="L15" s="10"/>
      <c r="M15" s="12"/>
      <c r="N15" s="8" t="s">
        <v>21</v>
      </c>
      <c r="O15" s="10"/>
      <c r="P15" s="80" t="s">
        <v>99</v>
      </c>
      <c r="Q15" s="10"/>
      <c r="R15" s="10"/>
      <c r="S15" s="10"/>
      <c r="T15" s="10"/>
      <c r="U15" s="42" t="s">
        <v>100</v>
      </c>
      <c r="V15" s="10"/>
      <c r="W15" s="10"/>
      <c r="X15" s="10"/>
      <c r="Y15" s="10"/>
      <c r="Z15" s="10"/>
    </row>
    <row r="16" spans="1:27" x14ac:dyDescent="0.25">
      <c r="C16" s="29">
        <v>1000</v>
      </c>
      <c r="D16" s="20">
        <v>10000</v>
      </c>
      <c r="E16" s="38">
        <v>9</v>
      </c>
      <c r="F16" s="39">
        <v>23500</v>
      </c>
      <c r="G16" s="10"/>
      <c r="H16" s="10"/>
      <c r="I16" s="10"/>
      <c r="J16" s="10"/>
      <c r="K16" s="10"/>
      <c r="L16" s="10"/>
      <c r="M16" s="12"/>
      <c r="N16" s="8" t="s">
        <v>21</v>
      </c>
      <c r="O16" s="10"/>
      <c r="P16" s="80" t="s">
        <v>101</v>
      </c>
      <c r="Q16" s="10"/>
      <c r="R16" s="10"/>
      <c r="S16" s="10"/>
      <c r="T16" s="10"/>
      <c r="U16" s="10" t="s">
        <v>102</v>
      </c>
      <c r="V16" s="10"/>
      <c r="W16" s="10"/>
      <c r="X16" s="10"/>
      <c r="Y16" s="10"/>
      <c r="Z16" s="10"/>
    </row>
    <row r="17" spans="3:26" x14ac:dyDescent="0.25">
      <c r="C17" s="71" t="s">
        <v>58</v>
      </c>
      <c r="D17" s="72"/>
      <c r="E17" s="100">
        <v>399</v>
      </c>
      <c r="F17" s="101">
        <v>108900</v>
      </c>
      <c r="G17" s="10"/>
      <c r="H17" s="10"/>
      <c r="I17" s="10"/>
      <c r="J17" s="10"/>
      <c r="K17" s="10"/>
      <c r="L17" s="10"/>
      <c r="M17" s="12"/>
      <c r="N17" s="8" t="s">
        <v>21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3:26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45" t="s">
        <v>103</v>
      </c>
      <c r="P18" s="10" t="s">
        <v>104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3:26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3:26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 t="str">
        <f>"LER("&amp;E7&amp;")"</f>
        <v>LER(500)</v>
      </c>
      <c r="Q20" s="11" t="s">
        <v>43</v>
      </c>
      <c r="R20" s="10" t="s">
        <v>105</v>
      </c>
      <c r="S20" s="10"/>
      <c r="T20" s="10"/>
      <c r="U20" s="10"/>
      <c r="V20" s="40" t="s">
        <v>44</v>
      </c>
      <c r="W20" s="10" t="s">
        <v>106</v>
      </c>
      <c r="X20" s="10"/>
      <c r="Y20" s="10"/>
      <c r="Z20" s="10"/>
    </row>
    <row r="21" spans="3:26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10"/>
      <c r="Q21" s="11" t="s">
        <v>43</v>
      </c>
      <c r="R21" s="44">
        <f>T13</f>
        <v>75350</v>
      </c>
      <c r="S21" s="10"/>
      <c r="T21" s="10"/>
      <c r="U21" s="10"/>
      <c r="V21" s="40" t="s">
        <v>44</v>
      </c>
      <c r="W21" s="75">
        <f>S13</f>
        <v>108900</v>
      </c>
      <c r="X21" s="10"/>
      <c r="Y21" s="10"/>
      <c r="Z21" s="10"/>
    </row>
    <row r="22" spans="3:26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10"/>
      <c r="P22" s="10"/>
      <c r="Q22" s="11" t="s">
        <v>43</v>
      </c>
      <c r="R22" s="102">
        <f>R21/W21</f>
        <v>0.69191919191919193</v>
      </c>
      <c r="S22" s="10"/>
      <c r="T22" s="10"/>
      <c r="U22" s="10"/>
      <c r="V22" s="10"/>
      <c r="W22" s="10"/>
      <c r="X22" s="10"/>
      <c r="Y22" s="10"/>
      <c r="Z22" s="10"/>
    </row>
    <row r="23" spans="3:26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3:26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21</v>
      </c>
      <c r="O24" s="45" t="s">
        <v>107</v>
      </c>
      <c r="P24" s="10" t="s">
        <v>108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3:26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21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3:26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21</v>
      </c>
      <c r="O26" s="10"/>
      <c r="P26" s="10" t="s">
        <v>109</v>
      </c>
      <c r="Q26" s="11" t="s">
        <v>43</v>
      </c>
      <c r="R26" s="11">
        <v>1</v>
      </c>
      <c r="S26" s="11" t="s">
        <v>76</v>
      </c>
      <c r="T26" s="11" t="str">
        <f>"LER("&amp;E7&amp;")"</f>
        <v>LER(500)</v>
      </c>
      <c r="U26" s="10"/>
      <c r="V26" s="10"/>
      <c r="W26" s="10"/>
      <c r="X26" s="10"/>
      <c r="Y26" s="10"/>
      <c r="Z26" s="10"/>
    </row>
    <row r="27" spans="3:26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21</v>
      </c>
      <c r="O27" s="10"/>
      <c r="P27" s="10"/>
      <c r="Q27" s="11" t="s">
        <v>43</v>
      </c>
      <c r="R27" s="11">
        <v>1</v>
      </c>
      <c r="S27" s="11" t="s">
        <v>76</v>
      </c>
      <c r="T27" s="103">
        <f>R22</f>
        <v>0.69191919191919193</v>
      </c>
      <c r="U27" s="10"/>
      <c r="V27" s="10"/>
      <c r="W27" s="10"/>
      <c r="X27" s="10"/>
      <c r="Y27" s="10"/>
      <c r="Z27" s="10"/>
    </row>
    <row r="28" spans="3:26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21</v>
      </c>
      <c r="O28" s="10"/>
      <c r="P28" s="10"/>
      <c r="Q28" s="11" t="s">
        <v>43</v>
      </c>
      <c r="R28" s="87">
        <f>R27-T27</f>
        <v>0.30808080808080807</v>
      </c>
      <c r="S28" s="10"/>
      <c r="T28" s="10"/>
      <c r="U28" s="10"/>
      <c r="V28" s="10"/>
      <c r="W28" s="10"/>
      <c r="X28" s="10"/>
      <c r="Y28" s="10"/>
      <c r="Z28" s="10"/>
    </row>
    <row r="29" spans="3:26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21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3:26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21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3:26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21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3:26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21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21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21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21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21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21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21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21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x14ac:dyDescent="0.25">
      <c r="N40" s="8" t="s">
        <v>21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x14ac:dyDescent="0.25">
      <c r="N41" s="8" t="s">
        <v>21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x14ac:dyDescent="0.25">
      <c r="N42" s="8" t="s">
        <v>21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x14ac:dyDescent="0.25">
      <c r="N43" s="8" t="s">
        <v>21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x14ac:dyDescent="0.25">
      <c r="N44" s="8" t="s">
        <v>21</v>
      </c>
    </row>
    <row r="45" spans="1:26" x14ac:dyDescent="0.25">
      <c r="N45" s="8" t="s">
        <v>21</v>
      </c>
    </row>
    <row r="46" spans="1:26" x14ac:dyDescent="0.25">
      <c r="N46" s="8" t="s">
        <v>21</v>
      </c>
    </row>
    <row r="47" spans="1:26" x14ac:dyDescent="0.25">
      <c r="N47" s="8" t="s">
        <v>21</v>
      </c>
    </row>
    <row r="48" spans="1:26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6" width="9.7109375" style="6" customWidth="1"/>
    <col min="7" max="8" width="9.140625" style="6" customWidth="1"/>
    <col min="9" max="9" width="9.140625" style="6"/>
    <col min="10" max="10" width="9.140625" style="6" customWidth="1"/>
    <col min="11" max="13" width="8.7109375" style="6" customWidth="1"/>
    <col min="14" max="16" width="9.140625" style="6" customWidth="1"/>
    <col min="17" max="19" width="9.7109375" style="6" customWidth="1"/>
    <col min="20" max="21" width="9.140625" style="6" customWidth="1"/>
    <col min="22" max="22" width="9.7109375" style="6" customWidth="1"/>
    <col min="23" max="23" width="9.140625" style="6" customWidth="1"/>
    <col min="24" max="27" width="8.7109375" style="6" customWidth="1"/>
    <col min="28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5" t="s">
        <v>20</v>
      </c>
      <c r="M1" s="195"/>
      <c r="N1" s="8" t="s">
        <v>21</v>
      </c>
      <c r="AA1" s="10"/>
    </row>
    <row r="2" spans="1:27" x14ac:dyDescent="0.25">
      <c r="A2" s="5" t="s">
        <v>22</v>
      </c>
      <c r="C2" s="6" t="s">
        <v>23</v>
      </c>
      <c r="N2" s="8" t="s">
        <v>21</v>
      </c>
      <c r="AA2" s="10"/>
    </row>
    <row r="3" spans="1:27" x14ac:dyDescent="0.25">
      <c r="A3" s="5" t="s">
        <v>24</v>
      </c>
      <c r="C3" s="6" t="s">
        <v>9</v>
      </c>
      <c r="N3" s="8" t="s">
        <v>21</v>
      </c>
      <c r="O3" s="9" t="s">
        <v>25</v>
      </c>
      <c r="P3" s="6" t="s">
        <v>111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AA4" s="10"/>
    </row>
    <row r="5" spans="1:27" x14ac:dyDescent="0.25">
      <c r="A5" s="13" t="s">
        <v>27</v>
      </c>
      <c r="C5" s="10" t="s">
        <v>121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P5" s="15"/>
      <c r="Q5" s="49" t="s">
        <v>112</v>
      </c>
      <c r="R5" s="16" t="s">
        <v>112</v>
      </c>
      <c r="S5" s="16"/>
      <c r="T5" s="10"/>
      <c r="U5" s="10"/>
      <c r="V5" s="10"/>
      <c r="W5" s="10"/>
      <c r="X5" s="10"/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17"/>
      <c r="Q6" s="28" t="s">
        <v>113</v>
      </c>
      <c r="R6" s="18" t="s">
        <v>113</v>
      </c>
      <c r="S6" s="18" t="s">
        <v>39</v>
      </c>
      <c r="T6" s="10"/>
      <c r="U6" s="10"/>
      <c r="V6" s="10"/>
      <c r="W6" s="10"/>
      <c r="X6" s="10"/>
      <c r="Y6" s="10"/>
      <c r="Z6" s="10"/>
      <c r="AA6" s="10"/>
    </row>
    <row r="7" spans="1:27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19" t="s">
        <v>114</v>
      </c>
      <c r="Q7" s="106" t="str">
        <f>"D = "&amp;E8</f>
        <v>D = 250</v>
      </c>
      <c r="R7" s="107" t="str">
        <f>"D = "&amp;E9</f>
        <v>D = 500</v>
      </c>
      <c r="S7" s="20" t="s">
        <v>115</v>
      </c>
      <c r="T7" s="10"/>
      <c r="U7" s="10"/>
      <c r="V7" s="10"/>
      <c r="W7" s="10"/>
      <c r="X7" s="10"/>
      <c r="Y7" s="10"/>
      <c r="Z7" s="10"/>
      <c r="AA7" s="10"/>
    </row>
    <row r="8" spans="1:27" x14ac:dyDescent="0.25">
      <c r="A8" s="13" t="s">
        <v>31</v>
      </c>
      <c r="B8" s="12"/>
      <c r="C8" s="10" t="s">
        <v>116</v>
      </c>
      <c r="D8" s="10"/>
      <c r="E8" s="108">
        <v>250</v>
      </c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17">
        <v>0</v>
      </c>
      <c r="Q8" s="28">
        <f>D14</f>
        <v>4400</v>
      </c>
      <c r="R8" s="18">
        <f t="shared" ref="R8:R10" si="0">E14</f>
        <v>3300</v>
      </c>
      <c r="S8" s="18">
        <f>Q8-R8</f>
        <v>1100</v>
      </c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12"/>
      <c r="B9" s="12"/>
      <c r="C9" s="10" t="s">
        <v>117</v>
      </c>
      <c r="D9" s="10"/>
      <c r="E9" s="108">
        <v>500</v>
      </c>
      <c r="F9" s="10"/>
      <c r="G9" s="10"/>
      <c r="H9" s="10"/>
      <c r="I9" s="10"/>
      <c r="J9" s="10"/>
      <c r="K9" s="12"/>
      <c r="L9" s="12"/>
      <c r="M9" s="12"/>
      <c r="N9" s="8" t="s">
        <v>21</v>
      </c>
      <c r="O9" s="10"/>
      <c r="P9" s="17">
        <v>100</v>
      </c>
      <c r="Q9" s="28">
        <f t="shared" ref="Q9:Q10" si="1">D15</f>
        <v>8360</v>
      </c>
      <c r="R9" s="18">
        <f t="shared" si="0"/>
        <v>6930</v>
      </c>
      <c r="S9" s="18">
        <f>Q9-R9</f>
        <v>1430</v>
      </c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10"/>
      <c r="D10" s="10"/>
      <c r="E10" s="10"/>
      <c r="F10" s="10"/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17">
        <v>250</v>
      </c>
      <c r="Q10" s="28">
        <f t="shared" si="1"/>
        <v>22880</v>
      </c>
      <c r="R10" s="18">
        <f t="shared" si="0"/>
        <v>17820</v>
      </c>
      <c r="S10" s="18">
        <f>Q10-R10</f>
        <v>5060</v>
      </c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2"/>
      <c r="B11" s="12"/>
      <c r="C11" s="15"/>
      <c r="D11" s="49" t="s">
        <v>112</v>
      </c>
      <c r="E11" s="16" t="s">
        <v>112</v>
      </c>
      <c r="F11" s="10"/>
      <c r="H11" s="10"/>
      <c r="I11" s="10"/>
      <c r="J11" s="10"/>
      <c r="K11" s="12"/>
      <c r="L11" s="12"/>
      <c r="M11" s="12"/>
      <c r="N11" s="8" t="s">
        <v>21</v>
      </c>
      <c r="O11" s="10"/>
      <c r="P11" s="17">
        <v>500</v>
      </c>
      <c r="Q11" s="109" t="s">
        <v>118</v>
      </c>
      <c r="R11" s="18">
        <f>E17</f>
        <v>36300</v>
      </c>
      <c r="S11" s="110" t="s">
        <v>118</v>
      </c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17"/>
      <c r="D12" s="28" t="s">
        <v>113</v>
      </c>
      <c r="E12" s="18" t="s">
        <v>113</v>
      </c>
      <c r="F12" s="10"/>
      <c r="H12" s="10"/>
      <c r="I12" s="10"/>
      <c r="J12" s="10"/>
      <c r="K12" s="12"/>
      <c r="L12" s="12"/>
      <c r="M12" s="12"/>
      <c r="N12" s="8" t="s">
        <v>21</v>
      </c>
      <c r="O12" s="10"/>
      <c r="P12" s="19">
        <v>1000</v>
      </c>
      <c r="Q12" s="111" t="s">
        <v>118</v>
      </c>
      <c r="R12" s="112" t="s">
        <v>118</v>
      </c>
      <c r="S12" s="112" t="s">
        <v>118</v>
      </c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19" t="s">
        <v>114</v>
      </c>
      <c r="D13" s="106" t="s">
        <v>226</v>
      </c>
      <c r="E13" s="107" t="s">
        <v>227</v>
      </c>
      <c r="F13" s="10"/>
      <c r="H13" s="10"/>
      <c r="I13" s="10"/>
      <c r="J13" s="10"/>
      <c r="K13" s="12"/>
      <c r="L13" s="12"/>
      <c r="M13" s="12"/>
      <c r="N13" s="8" t="s">
        <v>21</v>
      </c>
      <c r="O13" s="10"/>
      <c r="P13" s="19" t="s">
        <v>58</v>
      </c>
      <c r="Q13" s="113">
        <f>SUM(Q8:Q10)</f>
        <v>35640</v>
      </c>
      <c r="R13" s="32">
        <f>SUM(R8:R10)</f>
        <v>28050</v>
      </c>
      <c r="S13" s="114">
        <f>SUM(S8:S10)</f>
        <v>7590</v>
      </c>
      <c r="T13" s="10" t="s">
        <v>228</v>
      </c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17">
        <v>0</v>
      </c>
      <c r="D14" s="33">
        <v>4400</v>
      </c>
      <c r="E14" s="34">
        <v>3300</v>
      </c>
      <c r="F14" s="10"/>
      <c r="H14" s="119"/>
      <c r="I14" s="10"/>
      <c r="J14" s="10"/>
      <c r="K14" s="12"/>
      <c r="L14" s="12"/>
      <c r="M14" s="12"/>
      <c r="N14" s="8" t="s">
        <v>21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17">
        <v>100</v>
      </c>
      <c r="D15" s="33">
        <v>8360</v>
      </c>
      <c r="E15" s="34">
        <v>6930</v>
      </c>
      <c r="F15" s="10"/>
      <c r="H15" s="119"/>
      <c r="I15" s="120"/>
      <c r="J15" s="10"/>
      <c r="K15" s="10"/>
      <c r="L15" s="10"/>
      <c r="M15" s="12"/>
      <c r="N15" s="8" t="s">
        <v>21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7" x14ac:dyDescent="0.25">
      <c r="C16" s="17">
        <v>250</v>
      </c>
      <c r="D16" s="33">
        <v>22880</v>
      </c>
      <c r="E16" s="34">
        <v>17820</v>
      </c>
      <c r="F16" s="10"/>
      <c r="H16" s="119"/>
      <c r="I16" s="120"/>
      <c r="J16" s="10"/>
      <c r="K16" s="10"/>
      <c r="L16" s="10"/>
      <c r="M16" s="12"/>
      <c r="N16" s="8" t="s">
        <v>21</v>
      </c>
      <c r="O16" s="45" t="s">
        <v>103</v>
      </c>
      <c r="P16" s="10" t="s">
        <v>119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3:26" x14ac:dyDescent="0.25">
      <c r="C17" s="17">
        <v>500</v>
      </c>
      <c r="D17" s="115" t="s">
        <v>118</v>
      </c>
      <c r="E17" s="116">
        <v>36300</v>
      </c>
      <c r="F17" s="10"/>
      <c r="H17" s="10"/>
      <c r="I17" s="10"/>
      <c r="J17" s="10"/>
      <c r="K17" s="10"/>
      <c r="L17" s="10"/>
      <c r="M17" s="12"/>
      <c r="N17" s="8" t="s">
        <v>21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3:26" x14ac:dyDescent="0.25">
      <c r="C18" s="19">
        <v>1000</v>
      </c>
      <c r="D18" s="117" t="s">
        <v>118</v>
      </c>
      <c r="E18" s="118" t="s">
        <v>118</v>
      </c>
      <c r="F18" s="10"/>
      <c r="H18" s="10"/>
      <c r="I18" s="10"/>
      <c r="J18" s="10"/>
      <c r="K18" s="10"/>
      <c r="L18" s="10"/>
      <c r="M18" s="12"/>
      <c r="N18" s="8" t="s">
        <v>21</v>
      </c>
      <c r="O18" s="10"/>
      <c r="P18" s="10" t="str">
        <f>"LER("&amp;E8&amp; " to "&amp;E9&amp;")"</f>
        <v>LER(250 to 500)</v>
      </c>
      <c r="Q18" s="10"/>
      <c r="R18" s="11" t="s">
        <v>43</v>
      </c>
      <c r="S18" s="10" t="s">
        <v>120</v>
      </c>
      <c r="T18" s="10"/>
      <c r="U18" s="40" t="s">
        <v>44</v>
      </c>
      <c r="V18" s="63" t="str">
        <f>"(total net loss for D = "&amp;E8&amp;")"</f>
        <v>(total net loss for D = 250)</v>
      </c>
      <c r="W18" s="10"/>
      <c r="X18" s="10"/>
      <c r="Y18" s="10"/>
      <c r="Z18" s="10"/>
    </row>
    <row r="19" spans="3:26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P19" s="10"/>
      <c r="Q19" s="10"/>
      <c r="R19" s="11" t="s">
        <v>43</v>
      </c>
      <c r="S19" s="85">
        <f>S13</f>
        <v>7590</v>
      </c>
      <c r="T19" s="10"/>
      <c r="U19" s="40" t="s">
        <v>44</v>
      </c>
      <c r="V19" s="75">
        <f>Q13</f>
        <v>35640</v>
      </c>
      <c r="W19" s="10"/>
      <c r="X19" s="10"/>
      <c r="Y19" s="10"/>
      <c r="Z19" s="10"/>
    </row>
    <row r="20" spans="3:26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0"/>
      <c r="R20" s="11" t="s">
        <v>43</v>
      </c>
      <c r="S20" s="121">
        <f>S19/V19</f>
        <v>0.21296296296296297</v>
      </c>
      <c r="T20" s="10"/>
      <c r="U20" s="10"/>
      <c r="V20" s="10"/>
      <c r="W20" s="10"/>
      <c r="X20" s="10"/>
      <c r="Y20" s="10"/>
      <c r="Z20" s="10"/>
    </row>
    <row r="21" spans="3:26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3:26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45" t="s">
        <v>107</v>
      </c>
      <c r="P22" s="10" t="s">
        <v>108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3:26" x14ac:dyDescent="0.25">
      <c r="N23" s="8" t="s">
        <v>21</v>
      </c>
      <c r="O23" s="10"/>
      <c r="P23" s="10"/>
      <c r="Q23" s="10"/>
      <c r="R23" s="10"/>
      <c r="S23" s="10"/>
      <c r="T23" s="10"/>
    </row>
    <row r="24" spans="3:26" x14ac:dyDescent="0.25">
      <c r="N24" s="8" t="s">
        <v>21</v>
      </c>
      <c r="O24" s="10"/>
      <c r="P24" s="10" t="s">
        <v>109</v>
      </c>
      <c r="Q24" s="11" t="s">
        <v>43</v>
      </c>
      <c r="R24" s="11">
        <v>1</v>
      </c>
      <c r="S24" s="11" t="s">
        <v>76</v>
      </c>
      <c r="T24" s="42" t="str">
        <f>P18</f>
        <v>LER(250 to 500)</v>
      </c>
    </row>
    <row r="25" spans="3:26" x14ac:dyDescent="0.25">
      <c r="N25" s="8" t="s">
        <v>21</v>
      </c>
      <c r="O25" s="10"/>
      <c r="P25" s="10"/>
      <c r="Q25" s="11" t="s">
        <v>43</v>
      </c>
      <c r="R25" s="11">
        <v>1</v>
      </c>
      <c r="S25" s="11" t="s">
        <v>76</v>
      </c>
      <c r="T25" s="102">
        <f>S20</f>
        <v>0.21296296296296297</v>
      </c>
    </row>
    <row r="26" spans="3:26" x14ac:dyDescent="0.25">
      <c r="N26" s="8" t="s">
        <v>21</v>
      </c>
      <c r="O26" s="10"/>
      <c r="P26" s="10"/>
      <c r="Q26" s="11" t="s">
        <v>43</v>
      </c>
      <c r="R26" s="87">
        <f>R25-T25</f>
        <v>0.78703703703703698</v>
      </c>
      <c r="S26" s="10"/>
      <c r="T26" s="10"/>
    </row>
    <row r="27" spans="3:26" x14ac:dyDescent="0.25">
      <c r="N27" s="8" t="s">
        <v>21</v>
      </c>
    </row>
    <row r="28" spans="3:26" x14ac:dyDescent="0.25">
      <c r="N28" s="8" t="s">
        <v>21</v>
      </c>
    </row>
    <row r="29" spans="3:26" x14ac:dyDescent="0.25">
      <c r="N29" s="8" t="s">
        <v>21</v>
      </c>
    </row>
    <row r="30" spans="3:26" x14ac:dyDescent="0.25">
      <c r="N30" s="8" t="s">
        <v>21</v>
      </c>
    </row>
    <row r="31" spans="3:26" x14ac:dyDescent="0.25">
      <c r="N31" s="8" t="s">
        <v>21</v>
      </c>
    </row>
    <row r="32" spans="3:26" x14ac:dyDescent="0.25">
      <c r="N32" s="8" t="s">
        <v>21</v>
      </c>
    </row>
    <row r="33" spans="14:14" x14ac:dyDescent="0.25">
      <c r="N33" s="8" t="s">
        <v>21</v>
      </c>
    </row>
    <row r="34" spans="14:14" x14ac:dyDescent="0.25">
      <c r="N34" s="8" t="s">
        <v>21</v>
      </c>
    </row>
    <row r="35" spans="14:14" x14ac:dyDescent="0.25">
      <c r="N35" s="8" t="s">
        <v>21</v>
      </c>
    </row>
    <row r="36" spans="14:14" x14ac:dyDescent="0.25">
      <c r="N36" s="8" t="s">
        <v>21</v>
      </c>
    </row>
    <row r="37" spans="14:14" x14ac:dyDescent="0.25">
      <c r="N37" s="8" t="s">
        <v>21</v>
      </c>
    </row>
    <row r="38" spans="14:14" x14ac:dyDescent="0.25">
      <c r="N38" s="8" t="s">
        <v>21</v>
      </c>
    </row>
    <row r="39" spans="14:14" x14ac:dyDescent="0.25">
      <c r="N39" s="8" t="s">
        <v>21</v>
      </c>
    </row>
    <row r="40" spans="14:14" x14ac:dyDescent="0.25">
      <c r="N40" s="8" t="s">
        <v>21</v>
      </c>
    </row>
    <row r="41" spans="14:14" x14ac:dyDescent="0.25">
      <c r="N41" s="8" t="s">
        <v>21</v>
      </c>
    </row>
    <row r="42" spans="14:14" x14ac:dyDescent="0.25">
      <c r="N42" s="8" t="s">
        <v>21</v>
      </c>
    </row>
    <row r="43" spans="14:14" x14ac:dyDescent="0.25">
      <c r="N43" s="8" t="s">
        <v>21</v>
      </c>
    </row>
    <row r="44" spans="14:14" x14ac:dyDescent="0.25">
      <c r="N44" s="8" t="s">
        <v>21</v>
      </c>
    </row>
    <row r="45" spans="14:14" x14ac:dyDescent="0.25">
      <c r="N45" s="8" t="s">
        <v>21</v>
      </c>
    </row>
    <row r="46" spans="14:14" x14ac:dyDescent="0.25">
      <c r="N46" s="8" t="s">
        <v>21</v>
      </c>
    </row>
    <row r="47" spans="14:14" x14ac:dyDescent="0.25">
      <c r="N47" s="8" t="s">
        <v>21</v>
      </c>
    </row>
    <row r="48" spans="14:14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5" width="9.7109375" style="6" customWidth="1"/>
    <col min="6" max="8" width="9.140625" style="6" customWidth="1"/>
    <col min="9" max="9" width="9.140625" style="6"/>
    <col min="10" max="12" width="9.140625" style="6" customWidth="1"/>
    <col min="13" max="13" width="6.7109375" style="6" customWidth="1"/>
    <col min="14" max="15" width="9.140625" style="6" customWidth="1"/>
    <col min="16" max="19" width="9.7109375" style="6" customWidth="1"/>
    <col min="20" max="21" width="9.140625" style="6" customWidth="1"/>
    <col min="22" max="22" width="9.7109375" style="6" customWidth="1"/>
    <col min="23" max="23" width="9.140625" style="6" customWidth="1"/>
    <col min="24" max="24" width="9.140625" style="6"/>
    <col min="25" max="25" width="9.140625" style="6" customWidth="1"/>
    <col min="26" max="26" width="9.140625" style="6"/>
    <col min="27" max="27" width="7.7109375" style="6" customWidth="1"/>
    <col min="28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5" t="s">
        <v>20</v>
      </c>
      <c r="M1" s="195"/>
      <c r="N1" s="8" t="s">
        <v>21</v>
      </c>
      <c r="AA1" s="10"/>
    </row>
    <row r="2" spans="1:27" x14ac:dyDescent="0.25">
      <c r="A2" s="5" t="s">
        <v>22</v>
      </c>
      <c r="C2" s="6" t="s">
        <v>23</v>
      </c>
      <c r="N2" s="8" t="s">
        <v>21</v>
      </c>
      <c r="AA2" s="10"/>
    </row>
    <row r="3" spans="1:27" x14ac:dyDescent="0.25">
      <c r="A3" s="5" t="s">
        <v>24</v>
      </c>
      <c r="C3" s="6" t="s">
        <v>11</v>
      </c>
      <c r="N3" s="8" t="s">
        <v>21</v>
      </c>
      <c r="O3" s="9" t="s">
        <v>25</v>
      </c>
      <c r="P3" s="6" t="s">
        <v>122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AA4" s="10"/>
    </row>
    <row r="5" spans="1:27" x14ac:dyDescent="0.25">
      <c r="A5" s="13" t="s">
        <v>27</v>
      </c>
      <c r="C5" s="10" t="s">
        <v>156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R5" s="40" t="s">
        <v>52</v>
      </c>
      <c r="W5" s="40" t="s">
        <v>123</v>
      </c>
      <c r="X5" s="40" t="s">
        <v>124</v>
      </c>
      <c r="Y5" s="40" t="s">
        <v>125</v>
      </c>
      <c r="Z5" s="40" t="s">
        <v>126</v>
      </c>
      <c r="AA5" s="10"/>
    </row>
    <row r="6" spans="1:27" x14ac:dyDescent="0.25">
      <c r="C6" s="11" t="s">
        <v>127</v>
      </c>
      <c r="D6" s="10" t="s">
        <v>128</v>
      </c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40" t="s">
        <v>50</v>
      </c>
      <c r="Q6" s="40" t="s">
        <v>51</v>
      </c>
      <c r="R6" s="15" t="s">
        <v>129</v>
      </c>
      <c r="S6" s="40" t="s">
        <v>53</v>
      </c>
      <c r="T6" s="40" t="s">
        <v>54</v>
      </c>
      <c r="U6" s="40" t="s">
        <v>55</v>
      </c>
      <c r="V6" s="40" t="s">
        <v>130</v>
      </c>
      <c r="W6" s="122" t="s">
        <v>58</v>
      </c>
      <c r="X6" s="49" t="s">
        <v>131</v>
      </c>
      <c r="Y6" s="49"/>
      <c r="Z6" s="16"/>
      <c r="AA6" s="10"/>
    </row>
    <row r="7" spans="1:27" x14ac:dyDescent="0.25">
      <c r="C7" s="11" t="s">
        <v>132</v>
      </c>
      <c r="D7" s="10" t="s">
        <v>133</v>
      </c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71" t="s">
        <v>134</v>
      </c>
      <c r="Q7" s="72"/>
      <c r="R7" s="19" t="s">
        <v>135</v>
      </c>
      <c r="S7" s="123" t="s">
        <v>136</v>
      </c>
      <c r="T7" s="100" t="s">
        <v>137</v>
      </c>
      <c r="U7" s="100" t="s">
        <v>138</v>
      </c>
      <c r="V7" s="100" t="s">
        <v>139</v>
      </c>
      <c r="W7" s="124" t="s">
        <v>140</v>
      </c>
      <c r="X7" s="30" t="s">
        <v>141</v>
      </c>
      <c r="Y7" s="30" t="s">
        <v>142</v>
      </c>
      <c r="Z7" s="20" t="s">
        <v>143</v>
      </c>
      <c r="AA7" s="10"/>
    </row>
    <row r="8" spans="1:27" x14ac:dyDescent="0.25">
      <c r="A8" s="13"/>
      <c r="B8" s="12"/>
      <c r="C8" s="11" t="s">
        <v>144</v>
      </c>
      <c r="D8" s="10" t="s">
        <v>145</v>
      </c>
      <c r="E8" s="10"/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60">
        <f t="shared" ref="P8:Q11" si="0">C13</f>
        <v>0</v>
      </c>
      <c r="Q8" s="22">
        <f t="shared" si="0"/>
        <v>5000</v>
      </c>
      <c r="R8" s="125">
        <f>MIN(Q8-P8,E10)</f>
        <v>5000</v>
      </c>
      <c r="S8" s="126">
        <f t="shared" ref="S8:V11" si="1">E13</f>
        <v>0.18</v>
      </c>
      <c r="T8" s="126">
        <f t="shared" si="1"/>
        <v>0.11</v>
      </c>
      <c r="U8" s="126">
        <f t="shared" si="1"/>
        <v>0.03</v>
      </c>
      <c r="V8" s="127">
        <f t="shared" si="1"/>
        <v>0.03</v>
      </c>
      <c r="W8" s="128">
        <f>SUM(S8:V8)</f>
        <v>0.35</v>
      </c>
      <c r="X8" s="129">
        <f>W8-W8</f>
        <v>0</v>
      </c>
      <c r="Y8" s="130">
        <f>X8/(1-U8-V8)</f>
        <v>0</v>
      </c>
      <c r="Z8" s="131">
        <f>R8*Y8</f>
        <v>0</v>
      </c>
      <c r="AA8" s="10"/>
    </row>
    <row r="9" spans="1:27" x14ac:dyDescent="0.25">
      <c r="A9" s="12"/>
      <c r="B9" s="12"/>
      <c r="C9" s="10"/>
      <c r="D9" s="10"/>
      <c r="E9" s="10"/>
      <c r="F9" s="10"/>
      <c r="G9" s="10"/>
      <c r="H9" s="10"/>
      <c r="I9" s="10"/>
      <c r="J9" s="10"/>
      <c r="K9" s="12"/>
      <c r="L9" s="12"/>
      <c r="M9" s="12"/>
      <c r="N9" s="8" t="s">
        <v>21</v>
      </c>
      <c r="O9" s="10"/>
      <c r="P9" s="60">
        <f t="shared" si="0"/>
        <v>5000</v>
      </c>
      <c r="Q9" s="22">
        <f t="shared" si="0"/>
        <v>250000</v>
      </c>
      <c r="R9" s="125">
        <f>MIN(Q9-P9,E10-SUM(R8:R8))</f>
        <v>245000</v>
      </c>
      <c r="S9" s="126">
        <f t="shared" si="1"/>
        <v>0.15</v>
      </c>
      <c r="T9" s="126">
        <f t="shared" si="1"/>
        <v>9.5000000000000001E-2</v>
      </c>
      <c r="U9" s="126">
        <f t="shared" si="1"/>
        <v>0.03</v>
      </c>
      <c r="V9" s="127">
        <f t="shared" si="1"/>
        <v>0.03</v>
      </c>
      <c r="W9" s="128">
        <f t="shared" ref="W9:W11" si="2">SUM(S9:V9)</f>
        <v>0.30500000000000005</v>
      </c>
      <c r="X9" s="129">
        <f>W8-W9</f>
        <v>4.4999999999999929E-2</v>
      </c>
      <c r="Y9" s="130">
        <f>X9/(1-U9-V9)</f>
        <v>4.7872340425531845E-2</v>
      </c>
      <c r="Z9" s="131">
        <f>R9*Y9</f>
        <v>11728.723404255303</v>
      </c>
      <c r="AA9" s="10"/>
    </row>
    <row r="10" spans="1:27" x14ac:dyDescent="0.25">
      <c r="A10" s="13" t="s">
        <v>31</v>
      </c>
      <c r="B10" s="12"/>
      <c r="C10" s="10" t="s">
        <v>146</v>
      </c>
      <c r="D10" s="10"/>
      <c r="E10" s="108">
        <v>430000</v>
      </c>
      <c r="F10" s="10"/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60">
        <f t="shared" si="0"/>
        <v>250000</v>
      </c>
      <c r="Q10" s="22">
        <f t="shared" si="0"/>
        <v>1000000</v>
      </c>
      <c r="R10" s="125">
        <f>MIN(Q10-P10,E10-SUM(R8:R9))</f>
        <v>180000</v>
      </c>
      <c r="S10" s="126">
        <f t="shared" si="1"/>
        <v>0.13999999999999999</v>
      </c>
      <c r="T10" s="126">
        <f t="shared" si="1"/>
        <v>8.5000000000000006E-2</v>
      </c>
      <c r="U10" s="126">
        <f t="shared" si="1"/>
        <v>0.03</v>
      </c>
      <c r="V10" s="127">
        <f t="shared" si="1"/>
        <v>0.03</v>
      </c>
      <c r="W10" s="128">
        <f t="shared" si="2"/>
        <v>0.28500000000000003</v>
      </c>
      <c r="X10" s="129">
        <f>W8-W10</f>
        <v>6.4999999999999947E-2</v>
      </c>
      <c r="Y10" s="130">
        <f>X10/(1-U10-V10)</f>
        <v>6.9148936170212713E-2</v>
      </c>
      <c r="Z10" s="131">
        <f>R10*Y10</f>
        <v>12446.808510638288</v>
      </c>
      <c r="AA10" s="10"/>
    </row>
    <row r="11" spans="1:27" x14ac:dyDescent="0.25">
      <c r="A11" s="12"/>
      <c r="B11" s="12"/>
      <c r="C11" s="10"/>
      <c r="D11" s="10"/>
      <c r="E11" s="10"/>
      <c r="F11" s="10"/>
      <c r="G11" s="10"/>
      <c r="H11" s="10"/>
      <c r="I11" s="10"/>
      <c r="J11" s="10"/>
      <c r="K11" s="12"/>
      <c r="L11" s="12"/>
      <c r="M11" s="12"/>
      <c r="N11" s="8" t="s">
        <v>21</v>
      </c>
      <c r="O11" s="10"/>
      <c r="P11" s="67">
        <f t="shared" si="0"/>
        <v>1000000</v>
      </c>
      <c r="Q11" s="32">
        <f t="shared" si="0"/>
        <v>2000000</v>
      </c>
      <c r="R11" s="132">
        <f>MIN(Q11-P11,E10-SUM(R8:R10))</f>
        <v>0</v>
      </c>
      <c r="S11" s="133">
        <f t="shared" si="1"/>
        <v>0.11999999999999998</v>
      </c>
      <c r="T11" s="133">
        <f t="shared" si="1"/>
        <v>6.0000000000000005E-2</v>
      </c>
      <c r="U11" s="133">
        <f t="shared" si="1"/>
        <v>0.03</v>
      </c>
      <c r="V11" s="134">
        <f t="shared" si="1"/>
        <v>0.03</v>
      </c>
      <c r="W11" s="135">
        <f t="shared" si="2"/>
        <v>0.24</v>
      </c>
      <c r="X11" s="136">
        <f>W8-W11</f>
        <v>0.10999999999999999</v>
      </c>
      <c r="Y11" s="137">
        <f>X11/(1-U11-V11)</f>
        <v>0.11702127659574467</v>
      </c>
      <c r="Z11" s="114">
        <f>R11*Y11</f>
        <v>0</v>
      </c>
      <c r="AA11" s="10"/>
    </row>
    <row r="12" spans="1:27" x14ac:dyDescent="0.25">
      <c r="A12" s="13"/>
      <c r="B12" s="12"/>
      <c r="C12" s="71" t="s">
        <v>134</v>
      </c>
      <c r="D12" s="72"/>
      <c r="E12" s="123" t="s">
        <v>136</v>
      </c>
      <c r="F12" s="138" t="s">
        <v>137</v>
      </c>
      <c r="G12" s="138" t="s">
        <v>138</v>
      </c>
      <c r="H12" s="139" t="s">
        <v>139</v>
      </c>
      <c r="I12" s="10"/>
      <c r="J12" s="10"/>
      <c r="K12" s="12"/>
      <c r="L12" s="12"/>
      <c r="M12" s="12"/>
      <c r="N12" s="8" t="s">
        <v>21</v>
      </c>
      <c r="O12" s="10"/>
      <c r="P12" s="10"/>
      <c r="Q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60">
        <v>0</v>
      </c>
      <c r="D13" s="22">
        <v>5000</v>
      </c>
      <c r="E13" s="140">
        <v>0.18</v>
      </c>
      <c r="F13" s="140">
        <v>0.11</v>
      </c>
      <c r="G13" s="140">
        <v>0.03</v>
      </c>
      <c r="H13" s="141">
        <v>0.03</v>
      </c>
      <c r="I13" s="10"/>
      <c r="J13" s="10"/>
      <c r="K13" s="12"/>
      <c r="L13" s="12"/>
      <c r="M13" s="12"/>
      <c r="N13" s="8" t="s">
        <v>21</v>
      </c>
      <c r="O13" s="10"/>
      <c r="P13" s="40" t="s">
        <v>52</v>
      </c>
      <c r="Q13" s="10" t="s">
        <v>147</v>
      </c>
      <c r="S13" s="10"/>
      <c r="T13" s="10"/>
      <c r="U13" s="10"/>
      <c r="V13" s="10"/>
      <c r="W13" s="10"/>
      <c r="X13" s="10"/>
      <c r="Y13" s="10"/>
      <c r="Z13" s="142"/>
      <c r="AA13" s="10"/>
    </row>
    <row r="14" spans="1:27" x14ac:dyDescent="0.25">
      <c r="A14" s="12"/>
      <c r="B14" s="12"/>
      <c r="C14" s="60">
        <v>5000</v>
      </c>
      <c r="D14" s="22">
        <v>250000</v>
      </c>
      <c r="E14" s="140">
        <v>0.15</v>
      </c>
      <c r="F14" s="140">
        <v>9.5000000000000001E-2</v>
      </c>
      <c r="G14" s="140">
        <v>0.03</v>
      </c>
      <c r="H14" s="141">
        <v>0.03</v>
      </c>
      <c r="I14" s="10"/>
      <c r="J14" s="10"/>
      <c r="K14" s="12"/>
      <c r="L14" s="12"/>
      <c r="M14" s="12"/>
      <c r="N14" s="8" t="s">
        <v>21</v>
      </c>
      <c r="O14" s="10"/>
      <c r="P14" s="40" t="s">
        <v>123</v>
      </c>
      <c r="Q14" s="10" t="s">
        <v>148</v>
      </c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60">
        <v>250000</v>
      </c>
      <c r="D15" s="22">
        <v>1000000</v>
      </c>
      <c r="E15" s="140">
        <v>0.13999999999999999</v>
      </c>
      <c r="F15" s="140">
        <v>8.5000000000000006E-2</v>
      </c>
      <c r="G15" s="140">
        <v>0.03</v>
      </c>
      <c r="H15" s="141">
        <v>0.03</v>
      </c>
      <c r="I15" s="10"/>
      <c r="J15" s="10"/>
      <c r="K15" s="10"/>
      <c r="L15" s="10"/>
      <c r="M15" s="12"/>
      <c r="N15" s="8" t="s">
        <v>21</v>
      </c>
      <c r="O15" s="10"/>
      <c r="P15" s="40" t="s">
        <v>124</v>
      </c>
      <c r="Q15" s="10" t="s">
        <v>149</v>
      </c>
      <c r="S15" s="10"/>
      <c r="T15" s="10"/>
      <c r="U15" s="10"/>
      <c r="V15" s="10"/>
      <c r="W15" s="10"/>
      <c r="X15" s="10"/>
      <c r="Y15" s="10"/>
      <c r="Z15" s="10"/>
    </row>
    <row r="16" spans="1:27" x14ac:dyDescent="0.25">
      <c r="C16" s="67">
        <v>1000000</v>
      </c>
      <c r="D16" s="32">
        <v>2000000</v>
      </c>
      <c r="E16" s="143">
        <v>0.11999999999999998</v>
      </c>
      <c r="F16" s="143">
        <v>6.0000000000000005E-2</v>
      </c>
      <c r="G16" s="143">
        <v>0.03</v>
      </c>
      <c r="H16" s="144">
        <v>0.03</v>
      </c>
      <c r="I16" s="10"/>
      <c r="J16" s="10"/>
      <c r="K16" s="10"/>
      <c r="L16" s="10"/>
      <c r="M16" s="12"/>
      <c r="N16" s="8" t="s">
        <v>21</v>
      </c>
      <c r="O16" s="10"/>
      <c r="P16" s="40" t="s">
        <v>125</v>
      </c>
      <c r="Q16" s="10" t="s">
        <v>150</v>
      </c>
      <c r="R16" s="10"/>
      <c r="S16" s="10"/>
      <c r="T16" s="10"/>
      <c r="U16" s="10"/>
      <c r="V16" s="10"/>
      <c r="W16" s="10"/>
      <c r="X16" s="10"/>
      <c r="Y16" s="10"/>
      <c r="Z16" s="10"/>
    </row>
    <row r="17" spans="3:26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8" t="s">
        <v>21</v>
      </c>
      <c r="O17" s="10"/>
      <c r="P17" s="40" t="s">
        <v>126</v>
      </c>
      <c r="Q17" s="10" t="s">
        <v>151</v>
      </c>
      <c r="R17" s="10"/>
      <c r="S17" s="10"/>
      <c r="T17" s="10"/>
      <c r="U17" s="10"/>
      <c r="V17" s="10"/>
      <c r="W17" s="10"/>
      <c r="X17" s="10"/>
      <c r="Y17" s="10"/>
      <c r="Z17" s="10"/>
    </row>
    <row r="18" spans="3:26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3:26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45" t="s">
        <v>41</v>
      </c>
      <c r="P19" s="10" t="s">
        <v>152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3:26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3:26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1" t="s">
        <v>127</v>
      </c>
      <c r="P21" s="10" t="s">
        <v>153</v>
      </c>
      <c r="Q21" s="10"/>
      <c r="R21" s="10"/>
      <c r="S21" s="10"/>
      <c r="T21" s="11" t="s">
        <v>43</v>
      </c>
      <c r="U21" s="10" t="s">
        <v>154</v>
      </c>
      <c r="V21" s="11" t="s">
        <v>43</v>
      </c>
      <c r="W21" s="145">
        <f>SUM(Z8:Z11)</f>
        <v>24175.531914893589</v>
      </c>
      <c r="X21" s="10"/>
      <c r="Y21" s="10"/>
      <c r="Z21" s="10"/>
    </row>
    <row r="22" spans="3:26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3:26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11" t="s">
        <v>132</v>
      </c>
      <c r="P23" s="10" t="s">
        <v>133</v>
      </c>
      <c r="Q23" s="10"/>
      <c r="R23" s="10"/>
      <c r="S23" s="10"/>
      <c r="T23" s="11"/>
      <c r="U23" s="10"/>
      <c r="V23" s="10"/>
      <c r="W23" s="10"/>
      <c r="X23" s="10"/>
      <c r="Y23" s="10"/>
      <c r="Z23" s="10"/>
    </row>
    <row r="24" spans="3:26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21</v>
      </c>
      <c r="O24" s="10"/>
      <c r="P24" s="11" t="s">
        <v>43</v>
      </c>
      <c r="Q24" s="10" t="s">
        <v>127</v>
      </c>
      <c r="R24" s="40" t="s">
        <v>44</v>
      </c>
      <c r="S24" s="10" t="s">
        <v>155</v>
      </c>
      <c r="T24" s="10"/>
      <c r="U24" s="10"/>
      <c r="V24" s="10"/>
      <c r="W24" s="10"/>
      <c r="X24" s="10"/>
      <c r="Y24" s="10"/>
      <c r="Z24" s="10"/>
    </row>
    <row r="25" spans="3:26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21</v>
      </c>
      <c r="O25" s="10"/>
      <c r="P25" s="11" t="s">
        <v>43</v>
      </c>
      <c r="Q25" s="42">
        <f>W21</f>
        <v>24175.531914893589</v>
      </c>
      <c r="R25" s="40" t="s">
        <v>44</v>
      </c>
      <c r="S25" s="42">
        <f>E10</f>
        <v>430000</v>
      </c>
      <c r="T25" s="10"/>
      <c r="U25" s="10"/>
      <c r="V25" s="10"/>
      <c r="W25" s="10"/>
      <c r="X25" s="10"/>
      <c r="Y25" s="10"/>
      <c r="Z25" s="10"/>
    </row>
    <row r="26" spans="3:26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21</v>
      </c>
      <c r="O26" s="10"/>
      <c r="P26" s="11" t="s">
        <v>43</v>
      </c>
      <c r="Q26" s="146">
        <f>Q25/S25</f>
        <v>5.6222167243938581E-2</v>
      </c>
      <c r="R26" s="10"/>
      <c r="S26" s="10"/>
      <c r="T26" s="10"/>
      <c r="U26" s="10"/>
      <c r="V26" s="10"/>
      <c r="W26" s="10"/>
      <c r="X26" s="10"/>
      <c r="Y26" s="10"/>
      <c r="Z26" s="10"/>
    </row>
    <row r="27" spans="3:26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21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3:26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21</v>
      </c>
      <c r="O28" s="11" t="s">
        <v>144</v>
      </c>
      <c r="P28" s="10" t="s">
        <v>145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3:26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21</v>
      </c>
      <c r="O29" s="10"/>
      <c r="P29" s="11" t="s">
        <v>43</v>
      </c>
      <c r="Q29" s="10" t="s">
        <v>155</v>
      </c>
      <c r="R29" s="10"/>
      <c r="S29" s="11" t="s">
        <v>76</v>
      </c>
      <c r="T29" s="64" t="s">
        <v>127</v>
      </c>
      <c r="U29" s="10"/>
      <c r="V29" s="10"/>
      <c r="W29" s="10"/>
      <c r="X29" s="10"/>
      <c r="Y29" s="10"/>
      <c r="Z29" s="10"/>
    </row>
    <row r="30" spans="3:26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21</v>
      </c>
      <c r="O30" s="10"/>
      <c r="P30" s="11" t="s">
        <v>43</v>
      </c>
      <c r="Q30" s="42">
        <f>E10</f>
        <v>430000</v>
      </c>
      <c r="R30" s="42"/>
      <c r="S30" s="11" t="s">
        <v>76</v>
      </c>
      <c r="T30" s="42">
        <f>W21</f>
        <v>24175.531914893589</v>
      </c>
      <c r="U30" s="10"/>
      <c r="V30" s="10"/>
      <c r="W30" s="10"/>
      <c r="X30" s="10"/>
      <c r="Y30" s="10"/>
      <c r="Z30" s="10"/>
    </row>
    <row r="31" spans="3:26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21</v>
      </c>
      <c r="O31" s="10"/>
      <c r="P31" s="11" t="s">
        <v>43</v>
      </c>
      <c r="Q31" s="86">
        <f>Q30-T30</f>
        <v>405824.4680851064</v>
      </c>
      <c r="R31" s="42"/>
      <c r="S31" s="42"/>
      <c r="T31" s="42"/>
      <c r="U31" s="10"/>
      <c r="V31" s="10"/>
      <c r="W31" s="10"/>
      <c r="X31" s="10"/>
      <c r="Y31" s="10"/>
      <c r="Z31" s="10"/>
    </row>
    <row r="32" spans="3:26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21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3:26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21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3:26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21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3:26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21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3:26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21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3:26" x14ac:dyDescent="0.25">
      <c r="N37" s="8" t="s">
        <v>21</v>
      </c>
    </row>
    <row r="38" spans="3:26" x14ac:dyDescent="0.25">
      <c r="N38" s="8" t="s">
        <v>21</v>
      </c>
    </row>
    <row r="39" spans="3:26" x14ac:dyDescent="0.25">
      <c r="N39" s="8" t="s">
        <v>21</v>
      </c>
    </row>
    <row r="40" spans="3:26" x14ac:dyDescent="0.25">
      <c r="N40" s="8" t="s">
        <v>21</v>
      </c>
    </row>
    <row r="41" spans="3:26" x14ac:dyDescent="0.25">
      <c r="N41" s="8" t="s">
        <v>21</v>
      </c>
    </row>
    <row r="42" spans="3:26" x14ac:dyDescent="0.25">
      <c r="N42" s="8" t="s">
        <v>21</v>
      </c>
    </row>
    <row r="43" spans="3:26" x14ac:dyDescent="0.25">
      <c r="N43" s="8" t="s">
        <v>21</v>
      </c>
    </row>
    <row r="44" spans="3:26" x14ac:dyDescent="0.25">
      <c r="N44" s="8" t="s">
        <v>21</v>
      </c>
    </row>
    <row r="45" spans="3:26" x14ac:dyDescent="0.25">
      <c r="N45" s="8" t="s">
        <v>21</v>
      </c>
    </row>
    <row r="46" spans="3:26" x14ac:dyDescent="0.25">
      <c r="N46" s="8" t="s">
        <v>21</v>
      </c>
    </row>
    <row r="47" spans="3:26" x14ac:dyDescent="0.25">
      <c r="N47" s="8" t="s">
        <v>21</v>
      </c>
    </row>
    <row r="48" spans="3:26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5" width="9.140625" style="6" customWidth="1"/>
    <col min="6" max="7" width="9.7109375" style="6" customWidth="1"/>
    <col min="8" max="8" width="9.140625" style="6" customWidth="1"/>
    <col min="9" max="9" width="9.140625" style="6"/>
    <col min="10" max="12" width="9.140625" style="6" customWidth="1"/>
    <col min="13" max="13" width="7.7109375" style="6" customWidth="1"/>
    <col min="14" max="18" width="9.140625" style="6" customWidth="1"/>
    <col min="19" max="20" width="9.7109375" style="6" customWidth="1"/>
    <col min="21" max="23" width="9.140625" style="6" customWidth="1"/>
    <col min="24" max="24" width="9.140625" style="6"/>
    <col min="25" max="25" width="9.140625" style="6" customWidth="1"/>
    <col min="26" max="26" width="9.140625" style="6"/>
    <col min="27" max="27" width="7.7109375" style="6" customWidth="1"/>
    <col min="28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5" t="s">
        <v>20</v>
      </c>
      <c r="M1" s="195"/>
      <c r="N1" s="8" t="s">
        <v>21</v>
      </c>
      <c r="AA1" s="10"/>
    </row>
    <row r="2" spans="1:27" x14ac:dyDescent="0.25">
      <c r="A2" s="5" t="s">
        <v>22</v>
      </c>
      <c r="C2" s="6" t="s">
        <v>23</v>
      </c>
      <c r="N2" s="8" t="s">
        <v>21</v>
      </c>
      <c r="AA2" s="10"/>
    </row>
    <row r="3" spans="1:27" x14ac:dyDescent="0.25">
      <c r="A3" s="5" t="s">
        <v>24</v>
      </c>
      <c r="C3" s="6" t="s">
        <v>13</v>
      </c>
      <c r="N3" s="8" t="s">
        <v>21</v>
      </c>
      <c r="O3" s="147" t="s">
        <v>25</v>
      </c>
      <c r="P3" s="6" t="s">
        <v>157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W4" s="40" t="s">
        <v>123</v>
      </c>
      <c r="X4" s="40" t="s">
        <v>124</v>
      </c>
      <c r="AA4" s="10"/>
    </row>
    <row r="5" spans="1:27" x14ac:dyDescent="0.25">
      <c r="A5" s="13" t="s">
        <v>27</v>
      </c>
      <c r="C5" s="10" t="s">
        <v>177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P5" s="40" t="s">
        <v>50</v>
      </c>
      <c r="Q5" s="40" t="s">
        <v>51</v>
      </c>
      <c r="R5" s="40" t="s">
        <v>52</v>
      </c>
      <c r="S5" s="40" t="s">
        <v>53</v>
      </c>
      <c r="T5" s="40" t="s">
        <v>54</v>
      </c>
      <c r="U5" s="40" t="s">
        <v>55</v>
      </c>
      <c r="V5" s="40" t="s">
        <v>130</v>
      </c>
      <c r="W5" s="48" t="s">
        <v>129</v>
      </c>
      <c r="X5" s="16" t="s">
        <v>39</v>
      </c>
      <c r="Y5" s="10"/>
      <c r="Z5" s="10"/>
      <c r="AA5" s="10"/>
    </row>
    <row r="6" spans="1:27" x14ac:dyDescent="0.25">
      <c r="C6" s="10" t="s">
        <v>158</v>
      </c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71" t="s">
        <v>134</v>
      </c>
      <c r="Q6" s="72"/>
      <c r="R6" s="100" t="s">
        <v>159</v>
      </c>
      <c r="S6" s="73" t="s">
        <v>129</v>
      </c>
      <c r="T6" s="73" t="s">
        <v>160</v>
      </c>
      <c r="U6" s="148" t="s">
        <v>161</v>
      </c>
      <c r="V6" s="148" t="s">
        <v>162</v>
      </c>
      <c r="W6" s="29" t="s">
        <v>163</v>
      </c>
      <c r="X6" s="20" t="s">
        <v>164</v>
      </c>
      <c r="Y6" s="10"/>
      <c r="Z6" s="10"/>
      <c r="AA6" s="10"/>
    </row>
    <row r="7" spans="1:27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60">
        <f>C9</f>
        <v>0</v>
      </c>
      <c r="Q7" s="22">
        <f t="shared" ref="Q7:V8" si="0">D9</f>
        <v>2000</v>
      </c>
      <c r="R7" s="96">
        <f t="shared" si="0"/>
        <v>125</v>
      </c>
      <c r="S7" s="149">
        <f t="shared" si="0"/>
        <v>75000</v>
      </c>
      <c r="T7" s="149">
        <f t="shared" si="0"/>
        <v>56250</v>
      </c>
      <c r="U7" s="150">
        <f t="shared" si="0"/>
        <v>0.75</v>
      </c>
      <c r="V7" s="150">
        <f t="shared" si="0"/>
        <v>0.65</v>
      </c>
      <c r="W7" s="151">
        <f>T7/V7-S7</f>
        <v>11538.461538461532</v>
      </c>
      <c r="X7" s="152">
        <f>W7/R7</f>
        <v>92.30769230769225</v>
      </c>
      <c r="Y7" s="75" t="s">
        <v>89</v>
      </c>
      <c r="Z7" s="10"/>
      <c r="AA7" s="10"/>
    </row>
    <row r="8" spans="1:27" x14ac:dyDescent="0.25">
      <c r="A8" s="13" t="s">
        <v>31</v>
      </c>
      <c r="B8" s="12"/>
      <c r="C8" s="71" t="s">
        <v>134</v>
      </c>
      <c r="D8" s="72"/>
      <c r="E8" s="100" t="s">
        <v>159</v>
      </c>
      <c r="F8" s="73" t="s">
        <v>129</v>
      </c>
      <c r="G8" s="73" t="s">
        <v>160</v>
      </c>
      <c r="H8" s="148" t="s">
        <v>161</v>
      </c>
      <c r="I8" s="153" t="s">
        <v>162</v>
      </c>
      <c r="J8" s="10"/>
      <c r="K8" s="12"/>
      <c r="L8" s="12"/>
      <c r="M8" s="12"/>
      <c r="N8" s="8" t="s">
        <v>21</v>
      </c>
      <c r="O8" s="10"/>
      <c r="P8" s="67">
        <f t="shared" ref="P8" si="1">C10</f>
        <v>2001</v>
      </c>
      <c r="Q8" s="20" t="str">
        <f t="shared" si="0"/>
        <v>---</v>
      </c>
      <c r="R8" s="98">
        <f t="shared" si="0"/>
        <v>50</v>
      </c>
      <c r="S8" s="154">
        <f t="shared" si="0"/>
        <v>780000</v>
      </c>
      <c r="T8" s="154">
        <f t="shared" si="0"/>
        <v>507000</v>
      </c>
      <c r="U8" s="155">
        <f t="shared" si="0"/>
        <v>0.65</v>
      </c>
      <c r="V8" s="155">
        <f t="shared" si="0"/>
        <v>0.65</v>
      </c>
      <c r="W8" s="156">
        <f>T8/V8-S8</f>
        <v>0</v>
      </c>
      <c r="X8" s="157">
        <f>W8/R8</f>
        <v>0</v>
      </c>
      <c r="Y8" s="75" t="s">
        <v>89</v>
      </c>
      <c r="Z8" s="10"/>
      <c r="AA8" s="10"/>
    </row>
    <row r="9" spans="1:27" x14ac:dyDescent="0.25">
      <c r="A9" s="12"/>
      <c r="B9" s="12"/>
      <c r="C9" s="60">
        <v>0</v>
      </c>
      <c r="D9" s="22">
        <v>2000</v>
      </c>
      <c r="E9" s="33">
        <v>125</v>
      </c>
      <c r="F9" s="61">
        <v>75000</v>
      </c>
      <c r="G9" s="61">
        <v>56250</v>
      </c>
      <c r="H9" s="158">
        <v>0.75</v>
      </c>
      <c r="I9" s="159">
        <v>0.65</v>
      </c>
      <c r="J9" s="10"/>
      <c r="K9" s="12"/>
      <c r="L9" s="12"/>
      <c r="M9" s="12"/>
      <c r="N9" s="8" t="s">
        <v>21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67">
        <v>2001</v>
      </c>
      <c r="D10" s="20" t="s">
        <v>165</v>
      </c>
      <c r="E10" s="38">
        <v>50</v>
      </c>
      <c r="F10" s="69">
        <v>780000</v>
      </c>
      <c r="G10" s="69">
        <v>507000</v>
      </c>
      <c r="H10" s="160">
        <v>0.65</v>
      </c>
      <c r="I10" s="161">
        <v>0.65</v>
      </c>
      <c r="J10" s="10"/>
      <c r="K10" s="12"/>
      <c r="L10" s="12"/>
      <c r="M10" s="12"/>
      <c r="N10" s="8" t="s">
        <v>21</v>
      </c>
      <c r="O10" s="10"/>
      <c r="P10" s="40" t="s">
        <v>123</v>
      </c>
      <c r="Q10" s="64" t="s">
        <v>166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2"/>
      <c r="B11" s="12"/>
      <c r="C11" s="10"/>
      <c r="D11" s="10"/>
      <c r="E11" s="10"/>
      <c r="F11" s="10"/>
      <c r="G11" s="10"/>
      <c r="H11" s="10"/>
      <c r="I11" s="10"/>
      <c r="J11" s="10"/>
      <c r="K11" s="12"/>
      <c r="L11" s="12"/>
      <c r="M11" s="12"/>
      <c r="N11" s="8" t="s">
        <v>21</v>
      </c>
      <c r="O11" s="10"/>
      <c r="P11" s="40" t="s">
        <v>124</v>
      </c>
      <c r="Q11" s="10" t="s">
        <v>167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10"/>
      <c r="D12" s="10"/>
      <c r="E12" s="10"/>
      <c r="F12" s="10"/>
      <c r="G12" s="10"/>
      <c r="H12" s="10"/>
      <c r="I12" s="10"/>
      <c r="J12" s="10"/>
      <c r="K12" s="12"/>
      <c r="L12" s="12"/>
      <c r="M12" s="12"/>
      <c r="N12" s="8" t="s">
        <v>21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J13" s="10"/>
      <c r="K13" s="12"/>
      <c r="L13" s="12"/>
      <c r="M13" s="12"/>
      <c r="N13" s="8" t="s">
        <v>21</v>
      </c>
      <c r="O13" s="162" t="s">
        <v>168</v>
      </c>
      <c r="P13" s="162"/>
      <c r="Q13" s="10"/>
      <c r="R13" s="10"/>
      <c r="S13" s="40" t="s">
        <v>125</v>
      </c>
      <c r="T13" s="40" t="s">
        <v>126</v>
      </c>
      <c r="U13" s="40" t="s">
        <v>169</v>
      </c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J14" s="10"/>
      <c r="K14" s="12"/>
      <c r="L14" s="12"/>
      <c r="M14" s="12"/>
      <c r="N14" s="8" t="s">
        <v>21</v>
      </c>
      <c r="O14" s="10"/>
      <c r="P14" s="10"/>
      <c r="R14" s="10"/>
      <c r="S14" s="48" t="s">
        <v>170</v>
      </c>
      <c r="T14" s="49" t="s">
        <v>170</v>
      </c>
      <c r="U14" s="26"/>
      <c r="V14" s="10"/>
      <c r="W14" s="10"/>
      <c r="X14" s="10"/>
      <c r="Y14" s="10"/>
      <c r="Z14" s="10"/>
      <c r="AA14" s="10"/>
    </row>
    <row r="15" spans="1:27" x14ac:dyDescent="0.25">
      <c r="J15" s="10"/>
      <c r="K15" s="10"/>
      <c r="L15" s="10"/>
      <c r="M15" s="12"/>
      <c r="N15" s="8" t="s">
        <v>21</v>
      </c>
      <c r="O15" s="10"/>
      <c r="P15" s="71" t="s">
        <v>134</v>
      </c>
      <c r="Q15" s="72"/>
      <c r="R15" s="148" t="s">
        <v>162</v>
      </c>
      <c r="S15" s="29" t="s">
        <v>129</v>
      </c>
      <c r="T15" s="30" t="s">
        <v>171</v>
      </c>
      <c r="U15" s="163" t="s">
        <v>172</v>
      </c>
      <c r="V15" s="10"/>
      <c r="W15" s="10"/>
      <c r="X15" s="10"/>
      <c r="Y15" s="10"/>
      <c r="Z15" s="10"/>
    </row>
    <row r="16" spans="1:27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2"/>
      <c r="N16" s="8" t="s">
        <v>21</v>
      </c>
      <c r="O16" s="10"/>
      <c r="P16" s="60">
        <f>C9</f>
        <v>0</v>
      </c>
      <c r="Q16" s="22">
        <f t="shared" ref="Q16:Q17" si="2">D9</f>
        <v>2000</v>
      </c>
      <c r="R16" s="150">
        <f>I9</f>
        <v>0.65</v>
      </c>
      <c r="S16" s="60">
        <f>(R7*X7+S7)</f>
        <v>86538.461538461532</v>
      </c>
      <c r="T16" s="164">
        <f>T7/S16</f>
        <v>0.65</v>
      </c>
      <c r="U16" s="165">
        <f>T16-R16</f>
        <v>0</v>
      </c>
      <c r="V16" s="75" t="s">
        <v>173</v>
      </c>
      <c r="W16" s="10"/>
      <c r="X16" s="10"/>
      <c r="Y16" s="10"/>
      <c r="Z16" s="10"/>
    </row>
    <row r="17" spans="3:26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8" t="s">
        <v>21</v>
      </c>
      <c r="O17" s="10"/>
      <c r="P17" s="67">
        <f t="shared" ref="P17" si="3">C10</f>
        <v>2001</v>
      </c>
      <c r="Q17" s="20" t="str">
        <f t="shared" si="2"/>
        <v>---</v>
      </c>
      <c r="R17" s="155">
        <f>I10</f>
        <v>0.65</v>
      </c>
      <c r="S17" s="67">
        <f>(R8*X8+S8)</f>
        <v>780000</v>
      </c>
      <c r="T17" s="166">
        <f>T8/S17</f>
        <v>0.65</v>
      </c>
      <c r="U17" s="167">
        <f>T17-R17</f>
        <v>0</v>
      </c>
      <c r="V17" s="75" t="s">
        <v>173</v>
      </c>
      <c r="W17" s="10"/>
      <c r="X17" s="10"/>
      <c r="Y17" s="10"/>
      <c r="Z17" s="10"/>
    </row>
    <row r="18" spans="3:26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10"/>
      <c r="P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3:26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P19" s="40" t="s">
        <v>125</v>
      </c>
      <c r="Q19" s="10" t="s">
        <v>174</v>
      </c>
      <c r="R19" s="10"/>
      <c r="S19" s="10"/>
      <c r="T19" s="10"/>
      <c r="U19" s="10"/>
      <c r="V19" s="10"/>
      <c r="W19" s="10"/>
      <c r="X19" s="10"/>
      <c r="Y19" s="10"/>
      <c r="Z19" s="10"/>
    </row>
    <row r="20" spans="3:26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40" t="s">
        <v>126</v>
      </c>
      <c r="Q20" s="6" t="s">
        <v>175</v>
      </c>
      <c r="R20" s="10"/>
      <c r="S20" s="10"/>
      <c r="T20" s="10"/>
      <c r="U20" s="10"/>
      <c r="V20" s="10"/>
      <c r="W20" s="10"/>
      <c r="X20" s="10"/>
      <c r="Y20" s="10"/>
      <c r="Z20" s="10"/>
    </row>
    <row r="21" spans="3:26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40" t="s">
        <v>169</v>
      </c>
      <c r="Q21" s="6" t="s">
        <v>176</v>
      </c>
      <c r="R21" s="10"/>
      <c r="S21" s="10"/>
      <c r="T21" s="10"/>
      <c r="U21" s="10"/>
      <c r="V21" s="10"/>
      <c r="W21" s="10"/>
      <c r="X21" s="10"/>
      <c r="Y21" s="10"/>
      <c r="Z21" s="10"/>
    </row>
    <row r="22" spans="3:26" x14ac:dyDescent="0.25">
      <c r="N22" s="8" t="s">
        <v>21</v>
      </c>
    </row>
    <row r="23" spans="3:26" x14ac:dyDescent="0.25">
      <c r="N23" s="8" t="s">
        <v>21</v>
      </c>
    </row>
    <row r="24" spans="3:26" x14ac:dyDescent="0.25">
      <c r="N24" s="8" t="s">
        <v>21</v>
      </c>
    </row>
    <row r="25" spans="3:26" x14ac:dyDescent="0.25">
      <c r="N25" s="8" t="s">
        <v>21</v>
      </c>
    </row>
    <row r="26" spans="3:26" x14ac:dyDescent="0.25">
      <c r="N26" s="8" t="s">
        <v>21</v>
      </c>
    </row>
    <row r="27" spans="3:26" x14ac:dyDescent="0.25">
      <c r="N27" s="8" t="s">
        <v>21</v>
      </c>
    </row>
    <row r="28" spans="3:26" x14ac:dyDescent="0.25">
      <c r="N28" s="8" t="s">
        <v>21</v>
      </c>
    </row>
    <row r="29" spans="3:26" x14ac:dyDescent="0.25">
      <c r="N29" s="8" t="s">
        <v>21</v>
      </c>
    </row>
    <row r="30" spans="3:26" x14ac:dyDescent="0.25">
      <c r="N30" s="8" t="s">
        <v>21</v>
      </c>
    </row>
    <row r="31" spans="3:26" x14ac:dyDescent="0.25">
      <c r="N31" s="8" t="s">
        <v>21</v>
      </c>
    </row>
    <row r="32" spans="3:26" x14ac:dyDescent="0.25">
      <c r="N32" s="8" t="s">
        <v>21</v>
      </c>
    </row>
    <row r="33" spans="14:14" x14ac:dyDescent="0.25">
      <c r="N33" s="8" t="s">
        <v>21</v>
      </c>
    </row>
    <row r="34" spans="14:14" x14ac:dyDescent="0.25">
      <c r="N34" s="8" t="s">
        <v>21</v>
      </c>
    </row>
    <row r="35" spans="14:14" x14ac:dyDescent="0.25">
      <c r="N35" s="8" t="s">
        <v>21</v>
      </c>
    </row>
    <row r="36" spans="14:14" x14ac:dyDescent="0.25">
      <c r="N36" s="8" t="s">
        <v>21</v>
      </c>
    </row>
    <row r="37" spans="14:14" x14ac:dyDescent="0.25">
      <c r="N37" s="8" t="s">
        <v>21</v>
      </c>
    </row>
    <row r="38" spans="14:14" x14ac:dyDescent="0.25">
      <c r="N38" s="8" t="s">
        <v>21</v>
      </c>
    </row>
    <row r="39" spans="14:14" x14ac:dyDescent="0.25">
      <c r="N39" s="8" t="s">
        <v>21</v>
      </c>
    </row>
    <row r="40" spans="14:14" x14ac:dyDescent="0.25">
      <c r="N40" s="8" t="s">
        <v>21</v>
      </c>
    </row>
    <row r="41" spans="14:14" x14ac:dyDescent="0.25">
      <c r="N41" s="8" t="s">
        <v>21</v>
      </c>
    </row>
    <row r="42" spans="14:14" x14ac:dyDescent="0.25">
      <c r="N42" s="8" t="s">
        <v>21</v>
      </c>
    </row>
    <row r="43" spans="14:14" x14ac:dyDescent="0.25">
      <c r="N43" s="8" t="s">
        <v>21</v>
      </c>
    </row>
    <row r="44" spans="14:14" x14ac:dyDescent="0.25">
      <c r="N44" s="8" t="s">
        <v>21</v>
      </c>
    </row>
    <row r="45" spans="14:14" x14ac:dyDescent="0.25">
      <c r="N45" s="8" t="s">
        <v>21</v>
      </c>
    </row>
    <row r="46" spans="14:14" x14ac:dyDescent="0.25">
      <c r="N46" s="8" t="s">
        <v>21</v>
      </c>
    </row>
    <row r="47" spans="14:14" x14ac:dyDescent="0.25">
      <c r="N47" s="8" t="s">
        <v>21</v>
      </c>
    </row>
    <row r="48" spans="14:14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5" width="9.140625" style="6" customWidth="1"/>
    <col min="26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5" t="s">
        <v>20</v>
      </c>
      <c r="M1" s="195"/>
      <c r="N1" s="8" t="s">
        <v>21</v>
      </c>
      <c r="Z1" s="10"/>
      <c r="AA1" s="10"/>
    </row>
    <row r="2" spans="1:27" x14ac:dyDescent="0.25">
      <c r="A2" s="5" t="s">
        <v>22</v>
      </c>
      <c r="C2" s="6" t="s">
        <v>178</v>
      </c>
      <c r="N2" s="8" t="s">
        <v>21</v>
      </c>
      <c r="Z2" s="10"/>
      <c r="AA2" s="10"/>
    </row>
    <row r="3" spans="1:27" x14ac:dyDescent="0.25">
      <c r="A3" s="5" t="s">
        <v>24</v>
      </c>
      <c r="C3" s="6" t="s">
        <v>15</v>
      </c>
      <c r="N3" s="8" t="s">
        <v>21</v>
      </c>
      <c r="O3" s="9" t="s">
        <v>25</v>
      </c>
      <c r="P3" s="6" t="s">
        <v>179</v>
      </c>
      <c r="Z3" s="10"/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Z4" s="10"/>
      <c r="AA4" s="10"/>
    </row>
    <row r="5" spans="1:27" x14ac:dyDescent="0.25">
      <c r="A5" s="13" t="s">
        <v>27</v>
      </c>
      <c r="C5" s="10" t="s">
        <v>180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P5" s="168"/>
      <c r="Q5" s="169"/>
      <c r="R5" s="170" t="s">
        <v>39</v>
      </c>
      <c r="S5" s="170" t="s">
        <v>181</v>
      </c>
      <c r="T5" s="171" t="s">
        <v>181</v>
      </c>
      <c r="U5" s="10"/>
      <c r="V5" s="10"/>
      <c r="W5" s="10"/>
      <c r="X5" s="10"/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172" t="s">
        <v>93</v>
      </c>
      <c r="Q6" s="173"/>
      <c r="R6" s="30" t="s">
        <v>182</v>
      </c>
      <c r="S6" s="30" t="s">
        <v>39</v>
      </c>
      <c r="T6" s="20" t="s">
        <v>183</v>
      </c>
      <c r="U6" s="10"/>
      <c r="V6" s="10"/>
      <c r="W6" s="10"/>
      <c r="X6" s="10"/>
      <c r="Y6" s="10"/>
      <c r="Z6" s="10"/>
      <c r="AA6" s="10"/>
    </row>
    <row r="7" spans="1:27" x14ac:dyDescent="0.25">
      <c r="A7" s="13" t="s">
        <v>31</v>
      </c>
      <c r="C7" s="10" t="s">
        <v>184</v>
      </c>
      <c r="D7" s="10"/>
      <c r="E7" s="10">
        <v>370000</v>
      </c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60">
        <f>0</f>
        <v>0</v>
      </c>
      <c r="Q7" s="22">
        <f>E8</f>
        <v>247900</v>
      </c>
      <c r="R7" s="174">
        <f>E8/E7</f>
        <v>0.67</v>
      </c>
      <c r="S7" s="28">
        <f>AVERAGE(P7,Q7)</f>
        <v>123950</v>
      </c>
      <c r="T7" s="18">
        <f>MIN(S7,E8)</f>
        <v>123950</v>
      </c>
      <c r="U7" s="10"/>
      <c r="V7" s="10"/>
      <c r="W7" s="10"/>
      <c r="X7" s="10"/>
      <c r="Y7" s="10"/>
      <c r="Z7" s="10"/>
      <c r="AA7" s="10"/>
    </row>
    <row r="8" spans="1:27" x14ac:dyDescent="0.25">
      <c r="A8" s="13"/>
      <c r="B8" s="12"/>
      <c r="C8" s="10" t="s">
        <v>185</v>
      </c>
      <c r="D8" s="10"/>
      <c r="E8" s="10">
        <v>247900</v>
      </c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67">
        <f>E8</f>
        <v>247900</v>
      </c>
      <c r="Q8" s="32">
        <f>E7</f>
        <v>370000</v>
      </c>
      <c r="R8" s="175">
        <f>1-R7</f>
        <v>0.32999999999999996</v>
      </c>
      <c r="S8" s="30">
        <f>AVERAGE(P8,Q8)</f>
        <v>308950</v>
      </c>
      <c r="T8" s="20">
        <f>MIN(S8,E8)</f>
        <v>247900</v>
      </c>
      <c r="U8" s="10"/>
      <c r="V8" s="10"/>
      <c r="W8" s="10"/>
      <c r="X8" s="10"/>
      <c r="Y8" s="10"/>
      <c r="Z8" s="10"/>
      <c r="AA8" s="10"/>
    </row>
    <row r="9" spans="1:27" x14ac:dyDescent="0.25">
      <c r="A9" s="12"/>
      <c r="B9" s="12"/>
      <c r="C9" s="10" t="s">
        <v>186</v>
      </c>
      <c r="D9" s="10"/>
      <c r="E9" s="142">
        <v>0.05</v>
      </c>
      <c r="F9" s="10"/>
      <c r="G9" s="142"/>
      <c r="H9" s="10"/>
      <c r="I9" s="10"/>
      <c r="J9" s="10"/>
      <c r="K9" s="12"/>
      <c r="L9" s="12"/>
      <c r="M9" s="12"/>
      <c r="N9" s="8" t="s">
        <v>21</v>
      </c>
      <c r="O9" s="10"/>
      <c r="P9" s="10"/>
      <c r="Q9" s="10"/>
      <c r="R9" s="11"/>
      <c r="S9" s="11"/>
      <c r="T9" s="176">
        <f>SUMPRODUCT(R7:R8,T7:T8)</f>
        <v>164853.5</v>
      </c>
      <c r="U9" s="79" t="s">
        <v>187</v>
      </c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10"/>
      <c r="D10" s="10"/>
      <c r="E10" s="10"/>
      <c r="F10" s="10"/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2"/>
      <c r="B11" s="12"/>
      <c r="C11" s="10" t="s">
        <v>188</v>
      </c>
      <c r="D11" s="10"/>
      <c r="E11" s="10"/>
      <c r="F11" s="10"/>
      <c r="G11" s="10"/>
      <c r="H11" s="10"/>
      <c r="I11" s="10"/>
      <c r="J11" s="10"/>
      <c r="K11" s="12"/>
      <c r="L11" s="12"/>
      <c r="M11" s="12"/>
      <c r="N11" s="8" t="s">
        <v>21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10"/>
      <c r="D12" s="10"/>
      <c r="E12" s="10"/>
      <c r="F12" s="10"/>
      <c r="G12" s="10"/>
      <c r="H12" s="10"/>
      <c r="I12" s="10"/>
      <c r="J12" s="10"/>
      <c r="K12" s="12"/>
      <c r="L12" s="12"/>
      <c r="M12" s="12"/>
      <c r="N12" s="8" t="s">
        <v>21</v>
      </c>
      <c r="O12" s="45" t="s">
        <v>41</v>
      </c>
      <c r="P12" s="10" t="s">
        <v>189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10"/>
      <c r="D13" s="10"/>
      <c r="E13" s="10"/>
      <c r="F13" s="10"/>
      <c r="G13" s="10"/>
      <c r="H13" s="10"/>
      <c r="I13" s="10"/>
      <c r="J13" s="10"/>
      <c r="K13" s="12"/>
      <c r="L13" s="12"/>
      <c r="M13" s="12"/>
      <c r="N13" s="8" t="s">
        <v>21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10"/>
      <c r="D14" s="10"/>
      <c r="E14" s="10"/>
      <c r="F14" s="10"/>
      <c r="G14" s="10"/>
      <c r="H14" s="10"/>
      <c r="I14" s="10"/>
      <c r="J14" s="10"/>
      <c r="K14" s="12"/>
      <c r="L14" s="12"/>
      <c r="M14" s="12"/>
      <c r="N14" s="8" t="s">
        <v>21</v>
      </c>
      <c r="O14" s="10"/>
      <c r="P14" s="76" t="s">
        <v>190</v>
      </c>
      <c r="Q14" s="11" t="s">
        <v>43</v>
      </c>
      <c r="R14" s="11" t="s">
        <v>191</v>
      </c>
      <c r="S14" s="11" t="s">
        <v>86</v>
      </c>
      <c r="T14" s="11" t="s">
        <v>192</v>
      </c>
      <c r="U14" s="10"/>
      <c r="V14" s="10"/>
      <c r="W14" s="10"/>
      <c r="X14" s="10"/>
      <c r="Y14" s="10"/>
      <c r="Z14" s="10"/>
      <c r="AA14" s="10"/>
    </row>
    <row r="15" spans="1:27" x14ac:dyDescent="0.2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2"/>
      <c r="N15" s="8" t="s">
        <v>21</v>
      </c>
      <c r="O15" s="10"/>
      <c r="P15" s="10"/>
      <c r="Q15" s="11" t="s">
        <v>43</v>
      </c>
      <c r="R15" s="177">
        <f>E9</f>
        <v>0.05</v>
      </c>
      <c r="S15" s="11" t="s">
        <v>86</v>
      </c>
      <c r="T15" s="85">
        <f>T9</f>
        <v>164853.5</v>
      </c>
      <c r="U15" s="10"/>
      <c r="V15" s="10"/>
      <c r="W15" s="10"/>
      <c r="X15" s="10"/>
      <c r="Y15" s="10"/>
    </row>
    <row r="16" spans="1:27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2"/>
      <c r="N16" s="8" t="s">
        <v>21</v>
      </c>
      <c r="O16" s="10"/>
      <c r="P16" s="10"/>
      <c r="Q16" s="11" t="s">
        <v>43</v>
      </c>
      <c r="R16" s="42">
        <f>R15*T15</f>
        <v>8242.6750000000011</v>
      </c>
      <c r="S16" s="10"/>
      <c r="T16" s="10"/>
      <c r="U16" s="10"/>
      <c r="V16" s="10"/>
      <c r="W16" s="10"/>
      <c r="X16" s="10"/>
      <c r="Y16" s="10"/>
    </row>
    <row r="17" spans="3:25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8" t="s">
        <v>21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3:25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10"/>
      <c r="P18" s="76" t="s">
        <v>193</v>
      </c>
      <c r="Q18" s="11" t="s">
        <v>43</v>
      </c>
      <c r="R18" s="178" t="s">
        <v>194</v>
      </c>
      <c r="S18" s="179" t="s">
        <v>195</v>
      </c>
      <c r="T18" s="10" t="s">
        <v>185</v>
      </c>
      <c r="U18" s="40" t="s">
        <v>44</v>
      </c>
      <c r="V18" s="10">
        <v>1000</v>
      </c>
      <c r="W18" s="10" t="s">
        <v>196</v>
      </c>
      <c r="X18" s="10"/>
      <c r="Y18" s="10"/>
    </row>
    <row r="19" spans="3:25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P19" s="10"/>
      <c r="Q19" s="11" t="s">
        <v>43</v>
      </c>
      <c r="R19" s="42">
        <f>R16</f>
        <v>8242.6750000000011</v>
      </c>
      <c r="S19" s="179" t="s">
        <v>195</v>
      </c>
      <c r="T19" s="42">
        <f>E8</f>
        <v>247900</v>
      </c>
      <c r="U19" s="40" t="s">
        <v>44</v>
      </c>
      <c r="V19" s="10">
        <f>V18</f>
        <v>1000</v>
      </c>
      <c r="W19" s="10" t="s">
        <v>196</v>
      </c>
      <c r="X19" s="10"/>
      <c r="Y19" s="10"/>
    </row>
    <row r="20" spans="3:25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1" t="s">
        <v>43</v>
      </c>
      <c r="R20" s="180">
        <f>R19/(T19/V19)</f>
        <v>33.250000000000007</v>
      </c>
      <c r="S20" s="10"/>
      <c r="T20" s="10"/>
      <c r="U20" s="10"/>
      <c r="V20" s="10"/>
      <c r="W20" s="10"/>
      <c r="X20" s="10"/>
      <c r="Y20" s="10"/>
    </row>
    <row r="21" spans="3:25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3:25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3:25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77" t="s">
        <v>197</v>
      </c>
      <c r="P23" s="10" t="s">
        <v>198</v>
      </c>
      <c r="Q23" s="10"/>
      <c r="R23" s="10"/>
      <c r="S23" s="10"/>
      <c r="T23" s="10"/>
      <c r="U23" s="10"/>
      <c r="V23" s="10"/>
      <c r="W23" s="10"/>
      <c r="X23" s="181">
        <f>E7/2*E9/(E7/1000)</f>
        <v>25</v>
      </c>
      <c r="Y23" s="10"/>
    </row>
    <row r="24" spans="3:25" x14ac:dyDescent="0.25">
      <c r="N24" s="8" t="s">
        <v>21</v>
      </c>
    </row>
    <row r="25" spans="3:25" x14ac:dyDescent="0.25">
      <c r="N25" s="8" t="s">
        <v>21</v>
      </c>
    </row>
    <row r="26" spans="3:25" x14ac:dyDescent="0.25">
      <c r="N26" s="8" t="s">
        <v>21</v>
      </c>
    </row>
    <row r="27" spans="3:25" x14ac:dyDescent="0.25">
      <c r="N27" s="8" t="s">
        <v>21</v>
      </c>
    </row>
    <row r="28" spans="3:25" x14ac:dyDescent="0.25">
      <c r="N28" s="8" t="s">
        <v>21</v>
      </c>
    </row>
    <row r="29" spans="3:25" x14ac:dyDescent="0.25">
      <c r="N29" s="8" t="s">
        <v>21</v>
      </c>
    </row>
    <row r="30" spans="3:25" x14ac:dyDescent="0.25">
      <c r="N30" s="8" t="s">
        <v>21</v>
      </c>
    </row>
    <row r="31" spans="3:25" x14ac:dyDescent="0.25">
      <c r="N31" s="8" t="s">
        <v>21</v>
      </c>
    </row>
    <row r="32" spans="3:25" x14ac:dyDescent="0.25">
      <c r="N32" s="8" t="s">
        <v>21</v>
      </c>
    </row>
    <row r="33" spans="14:14" x14ac:dyDescent="0.25">
      <c r="N33" s="8" t="s">
        <v>21</v>
      </c>
    </row>
    <row r="34" spans="14:14" x14ac:dyDescent="0.25">
      <c r="N34" s="8" t="s">
        <v>21</v>
      </c>
    </row>
    <row r="35" spans="14:14" x14ac:dyDescent="0.25">
      <c r="N35" s="8" t="s">
        <v>21</v>
      </c>
    </row>
    <row r="36" spans="14:14" x14ac:dyDescent="0.25">
      <c r="N36" s="8" t="s">
        <v>21</v>
      </c>
    </row>
    <row r="37" spans="14:14" x14ac:dyDescent="0.25">
      <c r="N37" s="8" t="s">
        <v>21</v>
      </c>
    </row>
    <row r="38" spans="14:14" x14ac:dyDescent="0.25">
      <c r="N38" s="8" t="s">
        <v>21</v>
      </c>
    </row>
    <row r="39" spans="14:14" x14ac:dyDescent="0.25">
      <c r="N39" s="8" t="s">
        <v>21</v>
      </c>
    </row>
    <row r="40" spans="14:14" x14ac:dyDescent="0.25">
      <c r="N40" s="8" t="s">
        <v>21</v>
      </c>
    </row>
    <row r="41" spans="14:14" x14ac:dyDescent="0.25">
      <c r="N41" s="8" t="s">
        <v>21</v>
      </c>
    </row>
    <row r="42" spans="14:14" x14ac:dyDescent="0.25">
      <c r="N42" s="8" t="s">
        <v>21</v>
      </c>
    </row>
    <row r="43" spans="14:14" x14ac:dyDescent="0.25">
      <c r="N43" s="8" t="s">
        <v>21</v>
      </c>
    </row>
    <row r="44" spans="14:14" x14ac:dyDescent="0.25">
      <c r="N44" s="8" t="s">
        <v>21</v>
      </c>
    </row>
    <row r="45" spans="14:14" x14ac:dyDescent="0.25">
      <c r="N45" s="8" t="s">
        <v>21</v>
      </c>
    </row>
    <row r="46" spans="14:14" x14ac:dyDescent="0.25">
      <c r="N46" s="8" t="s">
        <v>21</v>
      </c>
    </row>
    <row r="47" spans="14:14" x14ac:dyDescent="0.25">
      <c r="N47" s="8" t="s">
        <v>21</v>
      </c>
    </row>
    <row r="48" spans="14:14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5" t="s">
        <v>20</v>
      </c>
      <c r="M1" s="195"/>
      <c r="N1" s="8" t="s">
        <v>21</v>
      </c>
      <c r="AA1" s="10"/>
    </row>
    <row r="2" spans="1:27" x14ac:dyDescent="0.25">
      <c r="A2" s="5" t="s">
        <v>22</v>
      </c>
      <c r="C2" s="6" t="s">
        <v>178</v>
      </c>
      <c r="N2" s="8" t="s">
        <v>21</v>
      </c>
      <c r="AA2" s="10"/>
    </row>
    <row r="3" spans="1:27" x14ac:dyDescent="0.25">
      <c r="A3" s="5" t="s">
        <v>24</v>
      </c>
      <c r="C3" s="6" t="s">
        <v>17</v>
      </c>
      <c r="N3" s="8" t="s">
        <v>21</v>
      </c>
      <c r="O3" s="9" t="s">
        <v>25</v>
      </c>
      <c r="P3" s="6" t="s">
        <v>199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AA4" s="10"/>
    </row>
    <row r="5" spans="1:27" x14ac:dyDescent="0.25">
      <c r="A5" s="13" t="s">
        <v>27</v>
      </c>
      <c r="C5" s="10" t="s">
        <v>200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P5" s="11" t="s">
        <v>201</v>
      </c>
      <c r="Q5" s="11" t="s">
        <v>43</v>
      </c>
      <c r="R5" s="11" t="s">
        <v>202</v>
      </c>
      <c r="S5" s="11" t="s">
        <v>203</v>
      </c>
      <c r="T5" s="40" t="s">
        <v>44</v>
      </c>
      <c r="U5" s="11" t="s">
        <v>204</v>
      </c>
      <c r="V5" s="11" t="s">
        <v>205</v>
      </c>
      <c r="W5" s="11" t="s">
        <v>206</v>
      </c>
      <c r="X5" s="10"/>
      <c r="Y5" s="10"/>
      <c r="Z5" s="10"/>
      <c r="AA5" s="10"/>
    </row>
    <row r="6" spans="1:27" x14ac:dyDescent="0.25">
      <c r="C6" s="40" t="s">
        <v>127</v>
      </c>
      <c r="D6" s="10" t="s">
        <v>207</v>
      </c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10"/>
      <c r="Q6" s="11" t="s">
        <v>43</v>
      </c>
      <c r="R6" s="11" t="s">
        <v>202</v>
      </c>
      <c r="S6" s="10">
        <f>F12</f>
        <v>300000</v>
      </c>
      <c r="T6" s="40" t="s">
        <v>44</v>
      </c>
      <c r="U6" s="10">
        <f>ROUND(F13*F11,0)</f>
        <v>400000</v>
      </c>
      <c r="V6" s="11" t="s">
        <v>205</v>
      </c>
      <c r="W6" s="11" t="s">
        <v>206</v>
      </c>
      <c r="X6" s="10"/>
      <c r="Y6" s="10"/>
      <c r="Z6" s="10"/>
      <c r="AA6" s="10"/>
    </row>
    <row r="7" spans="1:27" x14ac:dyDescent="0.25">
      <c r="C7" s="40" t="s">
        <v>132</v>
      </c>
      <c r="D7" s="10" t="s">
        <v>208</v>
      </c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10"/>
      <c r="Q7" s="11" t="s">
        <v>43</v>
      </c>
      <c r="R7" s="11" t="s">
        <v>202</v>
      </c>
      <c r="S7" s="182">
        <f>S6/U6</f>
        <v>0.75</v>
      </c>
      <c r="T7" s="10"/>
      <c r="U7" s="10"/>
      <c r="V7" s="11" t="s">
        <v>205</v>
      </c>
      <c r="W7" s="11" t="s">
        <v>206</v>
      </c>
      <c r="X7" s="10"/>
      <c r="Y7" s="10"/>
      <c r="Z7" s="10"/>
      <c r="AA7" s="10"/>
    </row>
    <row r="8" spans="1:27" x14ac:dyDescent="0.25">
      <c r="A8" s="13"/>
      <c r="B8" s="12"/>
      <c r="C8" s="40" t="s">
        <v>144</v>
      </c>
      <c r="D8" s="10" t="s">
        <v>209</v>
      </c>
      <c r="E8" s="10"/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10"/>
      <c r="Q8" s="11" t="s">
        <v>43</v>
      </c>
      <c r="R8" s="183">
        <f>MIN(S7,1)</f>
        <v>0.75</v>
      </c>
      <c r="S8" s="10"/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12"/>
      <c r="B9" s="12"/>
      <c r="C9" s="10"/>
      <c r="D9" s="10"/>
      <c r="E9" s="10"/>
      <c r="F9" s="10"/>
      <c r="G9" s="10"/>
      <c r="H9" s="10"/>
      <c r="I9" s="10"/>
      <c r="J9" s="10"/>
      <c r="K9" s="12"/>
      <c r="L9" s="12"/>
      <c r="M9" s="12"/>
      <c r="N9" s="8" t="s">
        <v>21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10"/>
      <c r="D10" s="10"/>
      <c r="E10" s="10"/>
      <c r="F10" s="10"/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3" t="s">
        <v>31</v>
      </c>
      <c r="B11" s="12"/>
      <c r="C11" s="184" t="s">
        <v>210</v>
      </c>
      <c r="D11" s="25"/>
      <c r="E11" s="26"/>
      <c r="F11" s="185">
        <v>500000</v>
      </c>
      <c r="G11" s="11"/>
      <c r="H11" s="10"/>
      <c r="I11" s="10"/>
      <c r="J11" s="10"/>
      <c r="K11" s="12"/>
      <c r="L11" s="12"/>
      <c r="M11" s="12"/>
      <c r="N11" s="8" t="s">
        <v>21</v>
      </c>
      <c r="O11" s="45" t="s">
        <v>103</v>
      </c>
      <c r="P11" s="10" t="s">
        <v>211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60" t="s">
        <v>212</v>
      </c>
      <c r="D12" s="65"/>
      <c r="E12" s="22"/>
      <c r="F12" s="62">
        <v>300000</v>
      </c>
      <c r="G12" s="11"/>
      <c r="H12" s="10"/>
      <c r="I12" s="10"/>
      <c r="J12" s="10"/>
      <c r="K12" s="12"/>
      <c r="L12" s="12"/>
      <c r="M12" s="12"/>
      <c r="N12" s="8" t="s">
        <v>21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67" t="s">
        <v>213</v>
      </c>
      <c r="D13" s="68"/>
      <c r="E13" s="32"/>
      <c r="F13" s="186">
        <v>0.8</v>
      </c>
      <c r="G13" s="11"/>
      <c r="H13" s="10"/>
      <c r="I13" s="10"/>
      <c r="J13" s="10"/>
      <c r="K13" s="12"/>
      <c r="L13" s="12"/>
      <c r="M13" s="12"/>
      <c r="N13" s="8" t="s">
        <v>21</v>
      </c>
      <c r="O13" s="10"/>
      <c r="P13" s="11" t="s">
        <v>214</v>
      </c>
      <c r="Q13" s="11" t="s">
        <v>43</v>
      </c>
      <c r="R13" s="11" t="s">
        <v>202</v>
      </c>
      <c r="S13" s="11" t="s">
        <v>203</v>
      </c>
      <c r="T13" s="11" t="s">
        <v>205</v>
      </c>
      <c r="U13" s="11" t="s">
        <v>215</v>
      </c>
      <c r="V13" s="10" t="s">
        <v>196</v>
      </c>
      <c r="W13" s="10"/>
      <c r="X13" s="10"/>
      <c r="Y13" s="10"/>
      <c r="Z13" s="10"/>
      <c r="AA13" s="10"/>
    </row>
    <row r="14" spans="1:27" x14ac:dyDescent="0.25">
      <c r="A14" s="12"/>
      <c r="B14" s="12"/>
      <c r="C14" s="67" t="s">
        <v>216</v>
      </c>
      <c r="D14" s="68"/>
      <c r="E14" s="32"/>
      <c r="F14" s="70">
        <v>200000</v>
      </c>
      <c r="G14" s="11"/>
      <c r="H14" s="10"/>
      <c r="I14" s="10"/>
      <c r="J14" s="10"/>
      <c r="K14" s="12"/>
      <c r="L14" s="12"/>
      <c r="M14" s="12"/>
      <c r="N14" s="8" t="s">
        <v>21</v>
      </c>
      <c r="O14" s="10"/>
      <c r="P14" s="10"/>
      <c r="Q14" s="11" t="s">
        <v>43</v>
      </c>
      <c r="R14" s="11" t="s">
        <v>202</v>
      </c>
      <c r="S14" s="10">
        <f>F12</f>
        <v>300000</v>
      </c>
      <c r="T14" s="11" t="s">
        <v>205</v>
      </c>
      <c r="U14" s="10">
        <f>F14*R8</f>
        <v>150000</v>
      </c>
      <c r="V14" s="10" t="s">
        <v>196</v>
      </c>
      <c r="W14" s="10"/>
      <c r="X14" s="10"/>
      <c r="Y14" s="10"/>
      <c r="Z14" s="10"/>
      <c r="AA14" s="10"/>
    </row>
    <row r="15" spans="1:27" x14ac:dyDescent="0.2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2"/>
      <c r="N15" s="8" t="s">
        <v>21</v>
      </c>
      <c r="O15" s="10"/>
      <c r="P15" s="10"/>
      <c r="Q15" s="11" t="s">
        <v>43</v>
      </c>
      <c r="R15" s="187">
        <f>MIN(S14,U14)</f>
        <v>150000</v>
      </c>
      <c r="S15" s="10"/>
      <c r="T15" s="10"/>
      <c r="U15" s="10"/>
      <c r="V15" s="10"/>
      <c r="W15" s="10"/>
      <c r="X15" s="10"/>
      <c r="Y15" s="10"/>
      <c r="Z15" s="10"/>
    </row>
    <row r="16" spans="1:27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2"/>
      <c r="N16" s="8" t="s">
        <v>21</v>
      </c>
      <c r="O16" s="10"/>
      <c r="P16" s="10"/>
      <c r="Q16" s="11"/>
      <c r="R16" s="10"/>
      <c r="S16" s="10"/>
      <c r="T16" s="10"/>
      <c r="U16" s="10"/>
      <c r="V16" s="10"/>
      <c r="W16" s="10"/>
      <c r="X16" s="10"/>
      <c r="Y16" s="10"/>
      <c r="Z16" s="10"/>
    </row>
    <row r="17" spans="3:26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8" t="s">
        <v>21</v>
      </c>
      <c r="O17" s="45" t="s">
        <v>107</v>
      </c>
      <c r="P17" s="10" t="s">
        <v>217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3:26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3:26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P19" s="11" t="s">
        <v>218</v>
      </c>
      <c r="Q19" s="11" t="s">
        <v>43</v>
      </c>
      <c r="R19" s="11" t="s">
        <v>202</v>
      </c>
      <c r="S19" s="11" t="s">
        <v>203</v>
      </c>
      <c r="T19" s="11" t="s">
        <v>205</v>
      </c>
      <c r="U19" s="11" t="s">
        <v>219</v>
      </c>
      <c r="V19" s="11" t="s">
        <v>196</v>
      </c>
      <c r="W19" s="11" t="s">
        <v>76</v>
      </c>
      <c r="X19" s="11" t="s">
        <v>214</v>
      </c>
      <c r="Y19" s="10"/>
      <c r="Z19" s="10"/>
    </row>
    <row r="20" spans="3:26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1" t="s">
        <v>43</v>
      </c>
      <c r="R20" s="11" t="s">
        <v>202</v>
      </c>
      <c r="S20" s="10">
        <f>F12</f>
        <v>300000</v>
      </c>
      <c r="T20" s="11" t="s">
        <v>205</v>
      </c>
      <c r="U20" s="10">
        <f>F14</f>
        <v>200000</v>
      </c>
      <c r="V20" s="11" t="s">
        <v>196</v>
      </c>
      <c r="W20" s="11" t="s">
        <v>76</v>
      </c>
      <c r="X20" s="188">
        <f>R15</f>
        <v>150000</v>
      </c>
      <c r="Y20" s="10"/>
      <c r="Z20" s="10"/>
    </row>
    <row r="21" spans="3:26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10"/>
      <c r="Q21" s="11" t="s">
        <v>43</v>
      </c>
      <c r="R21" s="189">
        <f>MIN(S20,U20)-X20</f>
        <v>50000</v>
      </c>
      <c r="S21" s="10"/>
      <c r="T21" s="10"/>
      <c r="U21" s="10"/>
      <c r="V21" s="10"/>
      <c r="W21" s="10"/>
      <c r="X21" s="10"/>
      <c r="Y21" s="10"/>
      <c r="Z21" s="10"/>
    </row>
    <row r="22" spans="3:26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3:26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45" t="s">
        <v>220</v>
      </c>
      <c r="P23" s="10" t="s">
        <v>221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3:26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21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3:26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21</v>
      </c>
      <c r="O25" s="10"/>
      <c r="P25" s="11" t="s">
        <v>222</v>
      </c>
      <c r="Q25" s="11" t="s">
        <v>43</v>
      </c>
      <c r="R25" s="11" t="s">
        <v>203</v>
      </c>
      <c r="S25" s="11" t="s">
        <v>86</v>
      </c>
      <c r="T25" s="11" t="s">
        <v>223</v>
      </c>
      <c r="U25" s="10"/>
      <c r="V25" s="10"/>
      <c r="W25" s="10"/>
      <c r="X25" s="10"/>
      <c r="Y25" s="10"/>
      <c r="Z25" s="10"/>
    </row>
    <row r="26" spans="3:26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21</v>
      </c>
      <c r="O26" s="10"/>
      <c r="P26" s="10"/>
      <c r="Q26" s="11" t="s">
        <v>43</v>
      </c>
      <c r="R26" s="11">
        <f>F12</f>
        <v>300000</v>
      </c>
      <c r="S26" s="11" t="s">
        <v>86</v>
      </c>
      <c r="T26" s="182">
        <f>1-R8</f>
        <v>0.25</v>
      </c>
      <c r="U26" s="10"/>
      <c r="V26" s="10"/>
      <c r="W26" s="10"/>
      <c r="X26" s="10"/>
      <c r="Y26" s="10"/>
      <c r="Z26" s="10"/>
    </row>
    <row r="27" spans="3:26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21</v>
      </c>
      <c r="O27" s="10"/>
      <c r="P27" s="10"/>
      <c r="Q27" s="11" t="s">
        <v>43</v>
      </c>
      <c r="R27" s="190">
        <f>R26*T26</f>
        <v>75000</v>
      </c>
      <c r="S27" s="10"/>
      <c r="T27" s="10"/>
      <c r="U27" s="10"/>
      <c r="V27" s="10"/>
      <c r="W27" s="10"/>
      <c r="X27" s="10"/>
      <c r="Y27" s="10"/>
      <c r="Z27" s="10"/>
    </row>
    <row r="28" spans="3:26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21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3:26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21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3:26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21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3:26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21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3:26" x14ac:dyDescent="0.25">
      <c r="N32" s="8" t="s">
        <v>21</v>
      </c>
    </row>
    <row r="33" spans="14:14" x14ac:dyDescent="0.25">
      <c r="N33" s="8" t="s">
        <v>21</v>
      </c>
    </row>
    <row r="34" spans="14:14" x14ac:dyDescent="0.25">
      <c r="N34" s="8" t="s">
        <v>21</v>
      </c>
    </row>
    <row r="35" spans="14:14" x14ac:dyDescent="0.25">
      <c r="N35" s="8" t="s">
        <v>21</v>
      </c>
    </row>
    <row r="36" spans="14:14" x14ac:dyDescent="0.25">
      <c r="N36" s="8" t="s">
        <v>21</v>
      </c>
    </row>
    <row r="37" spans="14:14" x14ac:dyDescent="0.25">
      <c r="N37" s="8" t="s">
        <v>21</v>
      </c>
    </row>
    <row r="38" spans="14:14" x14ac:dyDescent="0.25">
      <c r="N38" s="8" t="s">
        <v>21</v>
      </c>
    </row>
    <row r="39" spans="14:14" x14ac:dyDescent="0.25">
      <c r="N39" s="8" t="s">
        <v>21</v>
      </c>
    </row>
    <row r="40" spans="14:14" x14ac:dyDescent="0.25">
      <c r="N40" s="8" t="s">
        <v>21</v>
      </c>
    </row>
    <row r="41" spans="14:14" x14ac:dyDescent="0.25">
      <c r="N41" s="8" t="s">
        <v>21</v>
      </c>
    </row>
    <row r="42" spans="14:14" x14ac:dyDescent="0.25">
      <c r="N42" s="8" t="s">
        <v>21</v>
      </c>
    </row>
    <row r="43" spans="14:14" x14ac:dyDescent="0.25">
      <c r="N43" s="8" t="s">
        <v>21</v>
      </c>
    </row>
    <row r="44" spans="14:14" x14ac:dyDescent="0.25">
      <c r="N44" s="8" t="s">
        <v>21</v>
      </c>
    </row>
    <row r="45" spans="14:14" x14ac:dyDescent="0.25">
      <c r="N45" s="8" t="s">
        <v>21</v>
      </c>
    </row>
    <row r="46" spans="14:14" x14ac:dyDescent="0.25">
      <c r="N46" s="8" t="s">
        <v>21</v>
      </c>
    </row>
    <row r="47" spans="14:14" x14ac:dyDescent="0.25">
      <c r="N47" s="8" t="s">
        <v>21</v>
      </c>
    </row>
    <row r="48" spans="14:14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TOC</vt:lpstr>
      <vt:lpstr>W-11-UnCen</vt:lpstr>
      <vt:lpstr>W-11-Cen</vt:lpstr>
      <vt:lpstr>W-11-Grd</vt:lpstr>
      <vt:lpstr>W-11-Net</vt:lpstr>
      <vt:lpstr>W-11-WC1</vt:lpstr>
      <vt:lpstr>W-11-WC2</vt:lpstr>
      <vt:lpstr>W-11-ITV1</vt:lpstr>
      <vt:lpstr>W-11-ITV2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2021-02-04T15:31:00Z</dcterms:created>
  <dcterms:modified xsi:type="dcterms:W3CDTF">2021-03-25T13:21:25Z</dcterms:modified>
</cp:coreProperties>
</file>