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4000" windowHeight="9735"/>
  </bookViews>
  <sheets>
    <sheet name="TOC" sheetId="1" r:id="rId1"/>
    <sheet name="W-14-B1" sheetId="2" r:id="rId2"/>
    <sheet name="W-14-B2" sheetId="3" r:id="rId3"/>
    <sheet name="W-14-B3" sheetId="4" r:id="rId4"/>
    <sheet name="W-14-B4" sheetId="5" r:id="rId5"/>
    <sheet name="W-14-G" sheetId="6" r:id="rId6"/>
    <sheet name="W-14-G2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5" l="1"/>
  <c r="X7" i="5" l="1"/>
  <c r="R7" i="5"/>
  <c r="R6" i="5"/>
  <c r="Y7" i="4"/>
  <c r="Y6" i="4"/>
  <c r="S7" i="4"/>
  <c r="S6" i="4"/>
  <c r="Y7" i="3"/>
  <c r="Y6" i="3"/>
  <c r="S7" i="3"/>
  <c r="S6" i="3"/>
  <c r="Q9" i="7" l="1"/>
  <c r="Q8" i="7"/>
  <c r="Q7" i="7"/>
  <c r="S8" i="7"/>
  <c r="R8" i="7"/>
  <c r="V10" i="7"/>
  <c r="S9" i="6"/>
  <c r="Q9" i="6"/>
  <c r="Q7" i="6"/>
  <c r="S8" i="6"/>
  <c r="R8" i="6"/>
  <c r="V7" i="6"/>
  <c r="AH15" i="5"/>
  <c r="AG17" i="5"/>
  <c r="AG18" i="5" s="1"/>
  <c r="AF16" i="5"/>
  <c r="AF18" i="5" s="1"/>
  <c r="Y7" i="5"/>
  <c r="Z7" i="5" s="1"/>
  <c r="AF15" i="5"/>
  <c r="AF17" i="5" s="1"/>
  <c r="AG8" i="5"/>
  <c r="AI18" i="5" s="1"/>
  <c r="AF8" i="5"/>
  <c r="AI16" i="5" s="1"/>
  <c r="AG7" i="5"/>
  <c r="AF7" i="5"/>
  <c r="AL6" i="5"/>
  <c r="AM21" i="5"/>
  <c r="U26" i="4"/>
  <c r="AG17" i="4"/>
  <c r="AG18" i="4" s="1"/>
  <c r="AF16" i="4"/>
  <c r="AF18" i="4" s="1"/>
  <c r="AG15" i="4"/>
  <c r="AG16" i="4" s="1"/>
  <c r="AG8" i="4"/>
  <c r="AF8" i="4"/>
  <c r="AI16" i="4" s="1"/>
  <c r="AG7" i="4"/>
  <c r="AI17" i="4" s="1"/>
  <c r="AF7" i="4"/>
  <c r="AL6" i="4"/>
  <c r="AM21" i="4"/>
  <c r="R39" i="3"/>
  <c r="U18" i="3"/>
  <c r="U31" i="3" s="1"/>
  <c r="U16" i="3"/>
  <c r="U29" i="3" s="1"/>
  <c r="T28" i="3"/>
  <c r="U17" i="3"/>
  <c r="U30" i="3" s="1"/>
  <c r="U15" i="3"/>
  <c r="S17" i="3"/>
  <c r="S18" i="3" s="1"/>
  <c r="R16" i="3"/>
  <c r="R18" i="3" s="1"/>
  <c r="V21" i="3"/>
  <c r="R10" i="2"/>
  <c r="R9" i="2"/>
  <c r="R8" i="2"/>
  <c r="T7" i="2"/>
  <c r="R7" i="2"/>
  <c r="R6" i="2"/>
  <c r="V29" i="2"/>
  <c r="X23" i="2"/>
  <c r="T10" i="2"/>
  <c r="P10" i="2"/>
  <c r="T17" i="2"/>
  <c r="T9" i="2"/>
  <c r="P9" i="2"/>
  <c r="T8" i="2"/>
  <c r="P8" i="2"/>
  <c r="P7" i="2"/>
  <c r="T6" i="2"/>
  <c r="P6" i="2"/>
  <c r="V8" i="2" l="1"/>
  <c r="T8" i="6"/>
  <c r="V9" i="2"/>
  <c r="V7" i="2"/>
  <c r="Z7" i="4"/>
  <c r="R15" i="3"/>
  <c r="R17" i="3" s="1"/>
  <c r="V8" i="6"/>
  <c r="V7" i="7"/>
  <c r="V10" i="2"/>
  <c r="R9" i="6"/>
  <c r="T9" i="6" s="1"/>
  <c r="V6" i="2"/>
  <c r="AJ21" i="4"/>
  <c r="V9" i="6"/>
  <c r="AH18" i="5"/>
  <c r="AJ18" i="5" s="1"/>
  <c r="AH17" i="5"/>
  <c r="S7" i="5"/>
  <c r="T7" i="5" s="1"/>
  <c r="V10" i="6"/>
  <c r="AG15" i="5"/>
  <c r="AG16" i="5" s="1"/>
  <c r="AH15" i="4"/>
  <c r="AH18" i="4" s="1"/>
  <c r="AI18" i="4"/>
  <c r="V20" i="5"/>
  <c r="U19" i="3"/>
  <c r="U28" i="3"/>
  <c r="U32" i="3" s="1"/>
  <c r="X22" i="2"/>
  <c r="T7" i="3"/>
  <c r="R29" i="3" s="1"/>
  <c r="T31" i="3"/>
  <c r="T30" i="3"/>
  <c r="V22" i="6"/>
  <c r="W19" i="6"/>
  <c r="Q8" i="6"/>
  <c r="Q10" i="6" s="1"/>
  <c r="AI15" i="4"/>
  <c r="AF15" i="4"/>
  <c r="AF17" i="4" s="1"/>
  <c r="Q10" i="7"/>
  <c r="S15" i="3"/>
  <c r="S16" i="3" s="1"/>
  <c r="Y21" i="3"/>
  <c r="R11" i="2"/>
  <c r="V22" i="2" s="1"/>
  <c r="T29" i="3"/>
  <c r="Y6" i="5"/>
  <c r="AI15" i="5"/>
  <c r="AI17" i="5"/>
  <c r="S7" i="7"/>
  <c r="R7" i="7"/>
  <c r="R32" i="5"/>
  <c r="T15" i="3"/>
  <c r="AJ21" i="5"/>
  <c r="V20" i="4"/>
  <c r="Q44" i="7"/>
  <c r="T8" i="7"/>
  <c r="AH16" i="5"/>
  <c r="R9" i="7"/>
  <c r="S9" i="7"/>
  <c r="T22" i="6"/>
  <c r="S7" i="6"/>
  <c r="R7" i="6"/>
  <c r="P22" i="6" s="1"/>
  <c r="V9" i="7"/>
  <c r="V8" i="7"/>
  <c r="AI19" i="4" l="1"/>
  <c r="Z6" i="4"/>
  <c r="AH17" i="4"/>
  <c r="AJ18" i="4"/>
  <c r="V11" i="2"/>
  <c r="R17" i="2" s="1"/>
  <c r="R18" i="2" s="1"/>
  <c r="X8" i="5"/>
  <c r="X14" i="5" s="1"/>
  <c r="AJ17" i="5"/>
  <c r="AH16" i="4"/>
  <c r="AJ16" i="4" s="1"/>
  <c r="AJ16" i="5"/>
  <c r="AJ15" i="5"/>
  <c r="AJ17" i="4"/>
  <c r="T6" i="3"/>
  <c r="R28" i="3" s="1"/>
  <c r="V15" i="3"/>
  <c r="Q45" i="7"/>
  <c r="T9" i="7"/>
  <c r="R8" i="5"/>
  <c r="X13" i="5" s="1"/>
  <c r="S6" i="5"/>
  <c r="Z22" i="2"/>
  <c r="V23" i="2" s="1"/>
  <c r="Z23" i="2" s="1"/>
  <c r="T14" i="4"/>
  <c r="R30" i="3"/>
  <c r="T18" i="3"/>
  <c r="V18" i="3" s="1"/>
  <c r="T17" i="3"/>
  <c r="V17" i="3" s="1"/>
  <c r="T16" i="3"/>
  <c r="V16" i="3" s="1"/>
  <c r="Q43" i="7"/>
  <c r="T7" i="7"/>
  <c r="Z7" i="3"/>
  <c r="S30" i="3" s="1"/>
  <c r="S31" i="3" s="1"/>
  <c r="T7" i="4"/>
  <c r="W28" i="6"/>
  <c r="T7" i="6"/>
  <c r="AJ15" i="4"/>
  <c r="AI19" i="5"/>
  <c r="Z6" i="5"/>
  <c r="Y8" i="5"/>
  <c r="V14" i="5" s="1"/>
  <c r="R31" i="3"/>
  <c r="Z14" i="5" l="1"/>
  <c r="X30" i="2"/>
  <c r="X24" i="2"/>
  <c r="AJ19" i="5"/>
  <c r="AO19" i="5" s="1"/>
  <c r="V19" i="3"/>
  <c r="AA19" i="3" s="1"/>
  <c r="T21" i="3" s="1"/>
  <c r="T22" i="3" s="1"/>
  <c r="AJ19" i="4"/>
  <c r="AO19" i="4" s="1"/>
  <c r="R20" i="4" s="1"/>
  <c r="R21" i="4" s="1"/>
  <c r="S26" i="4" s="1"/>
  <c r="V31" i="3"/>
  <c r="T6" i="4"/>
  <c r="T13" i="4" s="1"/>
  <c r="T15" i="4" s="1"/>
  <c r="X26" i="4" s="1"/>
  <c r="T10" i="7"/>
  <c r="T6" i="5"/>
  <c r="S8" i="5"/>
  <c r="V13" i="5" s="1"/>
  <c r="Z13" i="5" s="1"/>
  <c r="T10" i="6"/>
  <c r="X29" i="2"/>
  <c r="Z29" i="2" s="1"/>
  <c r="V30" i="2" s="1"/>
  <c r="V24" i="2"/>
  <c r="Z6" i="3"/>
  <c r="S28" i="3" s="1"/>
  <c r="V30" i="3"/>
  <c r="Z15" i="5" l="1"/>
  <c r="V26" i="5" s="1"/>
  <c r="Z24" i="2"/>
  <c r="T35" i="2" s="1"/>
  <c r="Z30" i="2"/>
  <c r="R35" i="2" s="1"/>
  <c r="AH21" i="4"/>
  <c r="AH22" i="4" s="1"/>
  <c r="R27" i="4"/>
  <c r="U9" i="6"/>
  <c r="W9" i="6" s="1"/>
  <c r="X9" i="6" s="1"/>
  <c r="U35" i="6" s="1"/>
  <c r="U8" i="6"/>
  <c r="W8" i="6" s="1"/>
  <c r="X8" i="6" s="1"/>
  <c r="S35" i="6" s="1"/>
  <c r="U10" i="6"/>
  <c r="R22" i="6" s="1"/>
  <c r="Z22" i="6" s="1"/>
  <c r="U7" i="6"/>
  <c r="W7" i="6" s="1"/>
  <c r="X7" i="6" s="1"/>
  <c r="S28" i="6" s="1"/>
  <c r="S29" i="3"/>
  <c r="V29" i="3" s="1"/>
  <c r="V28" i="3"/>
  <c r="U8" i="7"/>
  <c r="W8" i="7" s="1"/>
  <c r="U7" i="7"/>
  <c r="W7" i="7" s="1"/>
  <c r="X7" i="7" s="1"/>
  <c r="S35" i="7" s="1"/>
  <c r="U9" i="7"/>
  <c r="W9" i="7" s="1"/>
  <c r="X9" i="7" s="1"/>
  <c r="U35" i="7" s="1"/>
  <c r="U10" i="7"/>
  <c r="W10" i="7" s="1"/>
  <c r="X10" i="7" s="1"/>
  <c r="AH21" i="5"/>
  <c r="AH22" i="5" s="1"/>
  <c r="R20" i="5"/>
  <c r="R21" i="5" s="1"/>
  <c r="R26" i="5" s="1"/>
  <c r="R27" i="5" s="1"/>
  <c r="T32" i="5" s="1"/>
  <c r="R33" i="5" s="1"/>
  <c r="V32" i="3" l="1"/>
  <c r="AA32" i="3" s="1"/>
  <c r="R40" i="3" s="1"/>
  <c r="R36" i="2"/>
  <c r="W35" i="6"/>
  <c r="U37" i="6" s="1"/>
  <c r="W35" i="7"/>
  <c r="U37" i="7" s="1"/>
  <c r="T39" i="3"/>
  <c r="T42" i="6"/>
  <c r="U28" i="6"/>
  <c r="S29" i="6" s="1"/>
  <c r="U31" i="6" s="1"/>
  <c r="S22" i="7"/>
  <c r="X8" i="7"/>
  <c r="S28" i="7" s="1"/>
  <c r="V22" i="7"/>
  <c r="S31" i="6"/>
  <c r="W10" i="6"/>
  <c r="X10" i="6" s="1"/>
  <c r="W31" i="6" l="1"/>
  <c r="S37" i="6" s="1"/>
  <c r="W37" i="6" s="1"/>
  <c r="V42" i="6" s="1"/>
  <c r="T43" i="6" s="1"/>
  <c r="S31" i="7"/>
  <c r="S23" i="7"/>
  <c r="U28" i="7" l="1"/>
  <c r="S29" i="7" s="1"/>
  <c r="U31" i="7" s="1"/>
  <c r="W31" i="7" s="1"/>
  <c r="S37" i="7" s="1"/>
  <c r="W37" i="7" s="1"/>
  <c r="U43" i="7"/>
  <c r="U45" i="7"/>
  <c r="S45" i="7" l="1"/>
  <c r="W45" i="7" s="1"/>
  <c r="S43" i="7"/>
  <c r="W43" i="7" s="1"/>
</calcChain>
</file>

<file path=xl/sharedStrings.xml><?xml version="1.0" encoding="utf-8"?>
<sst xmlns="http://schemas.openxmlformats.org/spreadsheetml/2006/main" count="1451" uniqueCount="251">
  <si>
    <t>Question</t>
  </si>
  <si>
    <t>Sheet</t>
  </si>
  <si>
    <t>Type</t>
  </si>
  <si>
    <t>W-14-B1</t>
  </si>
  <si>
    <t>Additive Expense Fee</t>
  </si>
  <si>
    <t>W-14-B2</t>
  </si>
  <si>
    <t>Base Rate - Extenstion of Exposures Method</t>
  </si>
  <si>
    <t>W-14-B3</t>
  </si>
  <si>
    <t>AARD Method</t>
  </si>
  <si>
    <t>W-14-B4</t>
  </si>
  <si>
    <t>A(Δ)ARD Method</t>
  </si>
  <si>
    <t>W-14-G</t>
  </si>
  <si>
    <t>Limiting Premium Effect of a Single Variable (Non-Base Level)</t>
  </si>
  <si>
    <t>W-14-G2</t>
  </si>
  <si>
    <t>Limiting Premium Effect of a Single Variable (Base Level)</t>
  </si>
  <si>
    <t>Reading:</t>
  </si>
  <si>
    <t>Werner 14:  Implementation</t>
  </si>
  <si>
    <t>Return to TOC</t>
  </si>
  <si>
    <t>|</t>
  </si>
  <si>
    <t>Model:</t>
  </si>
  <si>
    <t>Text Example</t>
  </si>
  <si>
    <t>Problem Type:</t>
  </si>
  <si>
    <t>Step 1</t>
  </si>
  <si>
    <t xml:space="preserve"> calculate $-fixed based on %-fixed</t>
  </si>
  <si>
    <t>Find</t>
  </si>
  <si>
    <t>Calculate the following:</t>
  </si>
  <si>
    <t>$-total</t>
  </si>
  <si>
    <t>%-fixed</t>
  </si>
  <si>
    <t>$-fixed</t>
  </si>
  <si>
    <t>(a)</t>
  </si>
  <si>
    <t>fixed expense ratio</t>
  </si>
  <si>
    <t>x</t>
  </si>
  <si>
    <t>=</t>
  </si>
  <si>
    <t>(b)</t>
  </si>
  <si>
    <t>fixed additive expense fee</t>
  </si>
  <si>
    <t>Given</t>
  </si>
  <si>
    <t>countrywide premium ($000s)</t>
  </si>
  <si>
    <t>profit provision</t>
  </si>
  <si>
    <t>average loss cost</t>
  </si>
  <si>
    <t>expense</t>
  </si>
  <si>
    <t>countrywide</t>
  </si>
  <si>
    <t>Step 2a</t>
  </si>
  <si>
    <t xml:space="preserve"> calculate the fixed expense ratio F</t>
  </si>
  <si>
    <t>category</t>
  </si>
  <si>
    <t>expenses ($000s)</t>
  </si>
  <si>
    <t>commissions</t>
  </si>
  <si>
    <t>F</t>
  </si>
  <si>
    <t>/</t>
  </si>
  <si>
    <t>CW prem</t>
  </si>
  <si>
    <t>general expenses</t>
  </si>
  <si>
    <t>other acquisition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</si>
  <si>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(a)</t>
    </r>
  </si>
  <si>
    <t>taxes</t>
  </si>
  <si>
    <t>licenses &amp; fees</t>
  </si>
  <si>
    <t>Step 2b</t>
  </si>
  <si>
    <t xml:space="preserve"> calculate other ratios we'll need in Step 3</t>
  </si>
  <si>
    <t>TOTAL</t>
  </si>
  <si>
    <t>V + F</t>
  </si>
  <si>
    <t>V + F + Q</t>
  </si>
  <si>
    <t>+</t>
  </si>
  <si>
    <t>Q</t>
  </si>
  <si>
    <t>V + Q</t>
  </si>
  <si>
    <t>-</t>
  </si>
  <si>
    <t>Step 3a</t>
  </si>
  <si>
    <r>
      <t xml:space="preserve"> calculate P</t>
    </r>
    <r>
      <rPr>
        <sz val="11"/>
        <color theme="1"/>
        <rFont val="Calibri"/>
        <family val="2"/>
      </rPr>
      <t>̄̄(p)</t>
    </r>
    <r>
      <rPr>
        <sz val="11"/>
        <color theme="1"/>
        <rFont val="Calibri"/>
        <family val="2"/>
        <scheme val="minor"/>
      </rPr>
      <t xml:space="preserve"> [projected avg prem] and E</t>
    </r>
    <r>
      <rPr>
        <sz val="11"/>
        <color theme="1"/>
        <rFont val="Calibri"/>
        <family val="2"/>
      </rPr>
      <t>̄̄</t>
    </r>
    <r>
      <rPr>
        <sz val="11"/>
        <color theme="1"/>
        <rFont val="Calibri"/>
        <family val="2"/>
        <scheme val="minor"/>
      </rPr>
      <t>(F)(p) [projected fixed expense] as intermediate steps</t>
    </r>
  </si>
  <si>
    <r>
      <t>P</t>
    </r>
    <r>
      <rPr>
        <sz val="11"/>
        <color theme="1"/>
        <rFont val="Calibri"/>
        <family val="2"/>
      </rPr>
      <t>̄̄(p)</t>
    </r>
  </si>
  <si>
    <t>loss cost</t>
  </si>
  <si>
    <t>(1-V-F-Q)</t>
  </si>
  <si>
    <r>
      <t>E</t>
    </r>
    <r>
      <rPr>
        <sz val="11"/>
        <color theme="1"/>
        <rFont val="Calibri"/>
        <family val="2"/>
      </rPr>
      <t>̄̄(F)(p)</t>
    </r>
  </si>
  <si>
    <t>Step 3b</t>
  </si>
  <si>
    <t xml:space="preserve"> put everything together to get the final projected fixed additive expense fee A(p)</t>
  </si>
  <si>
    <t>A(p)</t>
  </si>
  <si>
    <t>E(F)(p)</t>
  </si>
  <si>
    <t>(1-V-Q)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</si>
  <si>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 (b)</t>
    </r>
  </si>
  <si>
    <t>Note 1:</t>
  </si>
  <si>
    <t>The quantity (1-V-Q) is called the Variable Permissible Loss Ratio or VPLR.</t>
  </si>
  <si>
    <t>Note 2:</t>
  </si>
  <si>
    <t>I used a "p" in parentheses (p) to indicate "projected" quantities. Strictly speaking,</t>
  </si>
  <si>
    <t>the "p" should be a subscript but it was too small to be legible in this spreadsheet.</t>
  </si>
  <si>
    <t>2015.Fall #11 (without minimum premium requirement)</t>
  </si>
  <si>
    <t>Prelimiary Step:</t>
  </si>
  <si>
    <r>
      <t xml:space="preserve"> </t>
    </r>
    <r>
      <rPr>
        <u/>
        <sz val="11"/>
        <color theme="1"/>
        <rFont val="Calibri"/>
        <family val="2"/>
        <scheme val="minor"/>
      </rPr>
      <t>rebase</t>
    </r>
    <r>
      <rPr>
        <sz val="11"/>
        <color theme="1"/>
        <rFont val="Calibri"/>
        <family val="2"/>
        <scheme val="minor"/>
      </rPr>
      <t xml:space="preserve"> the indicated relativies so the base level relativity for each variable is 1.0</t>
    </r>
  </si>
  <si>
    <t xml:space="preserve">Calculate the base rate required to achieve an average rate increase of </t>
  </si>
  <si>
    <t>AOI levels</t>
  </si>
  <si>
    <t>current</t>
  </si>
  <si>
    <t>indicated</t>
  </si>
  <si>
    <t>Territories</t>
  </si>
  <si>
    <t>less than 100,000</t>
  </si>
  <si>
    <t>territory 1</t>
  </si>
  <si>
    <t>current base rate</t>
  </si>
  <si>
    <t>equal to or above 100,000</t>
  </si>
  <si>
    <t>territory 2</t>
  </si>
  <si>
    <t>* rebased</t>
  </si>
  <si>
    <t>Relativities</t>
  </si>
  <si>
    <r>
      <t xml:space="preserve"> calculate the </t>
    </r>
    <r>
      <rPr>
        <u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average premium by rerating every combination of AOI x Territory</t>
    </r>
  </si>
  <si>
    <r>
      <t xml:space="preserve"> (we can then infer the </t>
    </r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premium)</t>
    </r>
  </si>
  <si>
    <t>in-force</t>
  </si>
  <si>
    <t>AOI</t>
  </si>
  <si>
    <t>Territory</t>
  </si>
  <si>
    <t>AOI fctr</t>
  </si>
  <si>
    <t>Terr fctr</t>
  </si>
  <si>
    <t>fixed fee</t>
  </si>
  <si>
    <t>exposures</t>
  </si>
  <si>
    <t>premium</t>
  </si>
  <si>
    <t>In-Force Exposures</t>
  </si>
  <si>
    <t>Fixed Expense Fee</t>
  </si>
  <si>
    <t>&lt; 100K</t>
  </si>
  <si>
    <t xml:space="preserve"> = (base x AOI x terr + fee) x (in-force exposures)</t>
  </si>
  <si>
    <t>&gt;= 100K</t>
  </si>
  <si>
    <t>Terr 1</t>
  </si>
  <si>
    <t>Terr 2</t>
  </si>
  <si>
    <t xml:space="preserve"> ====&gt;</t>
  </si>
  <si>
    <r>
      <rPr>
        <u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avg prem</t>
    </r>
  </si>
  <si>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</t>
    </r>
  </si>
  <si>
    <t xml:space="preserve"> &lt;====</t>
  </si>
  <si>
    <t xml:space="preserve">apply </t>
  </si>
  <si>
    <t>increase</t>
  </si>
  <si>
    <t>Step 2</t>
  </si>
  <si>
    <r>
      <t xml:space="preserve"> use an arbitrary </t>
    </r>
    <r>
      <rPr>
        <u/>
        <sz val="11"/>
        <color theme="1"/>
        <rFont val="Calibri"/>
        <family val="2"/>
        <scheme val="minor"/>
      </rPr>
      <t>base seed value</t>
    </r>
    <r>
      <rPr>
        <sz val="11"/>
        <color theme="1"/>
        <rFont val="Calibri"/>
        <family val="2"/>
        <scheme val="minor"/>
      </rPr>
      <t xml:space="preserve"> B to calculate the </t>
    </r>
    <r>
      <rPr>
        <u/>
        <sz val="11"/>
        <color theme="1"/>
        <rFont val="Calibri"/>
        <family val="2"/>
        <scheme val="minor"/>
      </rPr>
      <t>proposed</t>
    </r>
    <r>
      <rPr>
        <sz val="11"/>
        <color theme="1"/>
        <rFont val="Calibri"/>
        <family val="2"/>
        <scheme val="minor"/>
      </rPr>
      <t xml:space="preserve"> average premium by rerating every combination of AOI x Terr</t>
    </r>
  </si>
  <si>
    <t>proposed</t>
  </si>
  <si>
    <t>base seed value</t>
  </si>
  <si>
    <r>
      <rPr>
        <u/>
        <sz val="11"/>
        <color theme="1"/>
        <rFont val="Calibri"/>
        <family val="2"/>
        <scheme val="minor"/>
      </rPr>
      <t>seed</t>
    </r>
    <r>
      <rPr>
        <sz val="11"/>
        <color theme="1"/>
        <rFont val="Calibri"/>
        <family val="2"/>
        <scheme val="minor"/>
      </rPr>
      <t xml:space="preserve"> avg prem</t>
    </r>
  </si>
  <si>
    <t>Step 3</t>
  </si>
  <si>
    <r>
      <t xml:space="preserve"> calculate the </t>
    </r>
    <r>
      <rPr>
        <u/>
        <sz val="11"/>
        <color theme="1"/>
        <rFont val="Calibri"/>
        <family val="2"/>
        <scheme val="minor"/>
      </rPr>
      <t>final proposed base rate</t>
    </r>
    <r>
      <rPr>
        <sz val="11"/>
        <color theme="1"/>
        <rFont val="Calibri"/>
        <family val="2"/>
        <scheme val="minor"/>
      </rPr>
      <t xml:space="preserve"> by adjusting the base seed value appropriately</t>
    </r>
  </si>
  <si>
    <t>final proposed base rate</t>
  </si>
  <si>
    <t>seed</t>
  </si>
  <si>
    <t>(proposed avg prem - indicated fee) / (seed avg prem - indicated fee)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</si>
  <si>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final answer</t>
    </r>
  </si>
  <si>
    <t>Note:</t>
  </si>
  <si>
    <t>The actual exam problem assumed the fixed expense fee was 0 and also imposed a minimum</t>
  </si>
  <si>
    <t>premium requirement.</t>
  </si>
  <si>
    <t>problem creation</t>
  </si>
  <si>
    <t>current average premium</t>
  </si>
  <si>
    <t>expos.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</si>
  <si>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product</t>
    </r>
    <r>
      <rPr>
        <sz val="11"/>
        <color theme="1"/>
        <rFont val="Calibri"/>
        <family val="2"/>
        <scheme val="minor"/>
      </rPr>
      <t xml:space="preserve"> of the exposure-weighted averages of the rebased indicated relativities:</t>
    </r>
  </si>
  <si>
    <r>
      <t>S</t>
    </r>
    <r>
      <rPr>
        <sz val="11"/>
        <color theme="1"/>
        <rFont val="Calibri"/>
        <family val="2"/>
      </rPr>
      <t>̄̄</t>
    </r>
    <r>
      <rPr>
        <sz val="9.9"/>
        <color theme="1"/>
        <rFont val="Calibri"/>
        <family val="2"/>
      </rPr>
      <t>(p)</t>
    </r>
  </si>
  <si>
    <t>AOI average relativity</t>
  </si>
  <si>
    <t>Territory average relativity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</si>
  <si>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    product     = </t>
    </r>
  </si>
  <si>
    <r>
      <t>S</t>
    </r>
    <r>
      <rPr>
        <sz val="11"/>
        <color rgb="FFFF0000"/>
        <rFont val="Calibri"/>
        <family val="2"/>
      </rPr>
      <t>̄̄</t>
    </r>
    <r>
      <rPr>
        <sz val="9.9"/>
        <color rgb="FFFF0000"/>
        <rFont val="Calibri"/>
        <family val="2"/>
      </rPr>
      <t>(p)</t>
    </r>
  </si>
  <si>
    <t xml:space="preserve"> calculate the proposed average premium:</t>
  </si>
  <si>
    <t>(current average premium)</t>
  </si>
  <si>
    <t>( 1+ rate change)</t>
  </si>
  <si>
    <t xml:space="preserve"> calculate the proposed base rate B(p)</t>
  </si>
  <si>
    <t>B(p)</t>
  </si>
  <si>
    <t>(</t>
  </si>
  <si>
    <t>)</t>
  </si>
  <si>
    <r>
      <t>A(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)ARD Method</t>
    </r>
  </si>
  <si>
    <t>ind / curr</t>
  </si>
  <si>
    <t>&lt; 100,000</t>
  </si>
  <si>
    <t>&gt;= 100,000</t>
  </si>
  <si>
    <t>exposure-wtd total</t>
  </si>
  <si>
    <r>
      <t xml:space="preserve"> calculate the product of </t>
    </r>
    <r>
      <rPr>
        <sz val="11"/>
        <color rgb="FFFF0000"/>
        <rFont val="Calibri"/>
        <family val="2"/>
        <scheme val="minor"/>
      </rPr>
      <t>(total indicated) / (total current)</t>
    </r>
    <r>
      <rPr>
        <sz val="11"/>
        <color theme="1"/>
        <rFont val="Calibri"/>
        <family val="2"/>
        <scheme val="minor"/>
      </rPr>
      <t xml:space="preserve"> across all rating vars:</t>
    </r>
  </si>
  <si>
    <t xml:space="preserve"> 1+Δs%</t>
  </si>
  <si>
    <t>AOI:</t>
  </si>
  <si>
    <t xml:space="preserve">    (total indicated) / (total current)</t>
  </si>
  <si>
    <t>Territory:</t>
  </si>
  <si>
    <t xml:space="preserve"> = 1+Δs%</t>
  </si>
  <si>
    <r>
      <t xml:space="preserve"> calculate the proposed base rate </t>
    </r>
    <r>
      <rPr>
        <u/>
        <sz val="11"/>
        <color theme="1"/>
        <rFont val="Calibri"/>
        <family val="2"/>
        <scheme val="minor"/>
      </rPr>
      <t>adjustment</t>
    </r>
  </si>
  <si>
    <t>adjstment</t>
  </si>
  <si>
    <r>
      <t>[ P</t>
    </r>
    <r>
      <rPr>
        <sz val="11"/>
        <color theme="1"/>
        <rFont val="Calibri"/>
        <family val="2"/>
      </rPr>
      <t>̄̄(p) - A(p) ] / [ P̄(c) - A(c) ]</t>
    </r>
  </si>
  <si>
    <r>
      <t>1 / (</t>
    </r>
    <r>
      <rPr>
        <sz val="11"/>
        <color rgb="FFFF0000"/>
        <rFont val="Calibri"/>
        <family val="2"/>
        <scheme val="minor"/>
      </rPr>
      <t>1+Δs%</t>
    </r>
    <r>
      <rPr>
        <sz val="11"/>
        <color theme="1"/>
        <rFont val="Calibri"/>
        <family val="2"/>
        <scheme val="minor"/>
      </rPr>
      <t>)</t>
    </r>
  </si>
  <si>
    <t>B(c)</t>
  </si>
  <si>
    <t>adjustment</t>
  </si>
  <si>
    <r>
      <t xml:space="preserve">Limiting Premium Effect of a Single Variable </t>
    </r>
    <r>
      <rPr>
        <sz val="11"/>
        <color rgb="FFFF0000"/>
        <rFont val="Calibri"/>
        <family val="2"/>
        <scheme val="minor"/>
      </rPr>
      <t>(Non-Base Level)</t>
    </r>
  </si>
  <si>
    <t xml:space="preserve"> calculate total % change for each rating variable level</t>
  </si>
  <si>
    <t>Calculate the relativities that satisfy the given requirements.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</si>
  <si>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</si>
  <si>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</si>
  <si>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</si>
  <si>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</si>
  <si>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</si>
  <si>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</si>
  <si>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</si>
  <si>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</si>
  <si>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</si>
  <si>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level</t>
  </si>
  <si>
    <t>change</t>
  </si>
  <si>
    <t>off-bal</t>
  </si>
  <si>
    <t>overall</t>
  </si>
  <si>
    <t>total chg</t>
  </si>
  <si>
    <t>new prem</t>
  </si>
  <si>
    <t>overall rate change</t>
  </si>
  <si>
    <t>A</t>
  </si>
  <si>
    <t>maximum premium increase for any level of the rating variable</t>
  </si>
  <si>
    <t>B</t>
  </si>
  <si>
    <t>C</t>
  </si>
  <si>
    <t>total</t>
  </si>
  <si>
    <t>--</t>
  </si>
  <si>
    <t>Rating variable information prior to capping</t>
  </si>
  <si>
    <t>= Δs%</t>
  </si>
  <si>
    <t xml:space="preserve"> =  (4) / (3) - 1.0</t>
  </si>
  <si>
    <t>(Tot5)</t>
  </si>
  <si>
    <t xml:space="preserve"> =  (5) weighted by (2)</t>
  </si>
  <si>
    <t xml:space="preserve"> =  1.0 / (1.0 + (Tot5))</t>
  </si>
  <si>
    <t xml:space="preserve">       =  off-balance</t>
  </si>
  <si>
    <t xml:space="preserve"> =  1 / (1 + Δs%)</t>
  </si>
  <si>
    <t xml:space="preserve"> =  given</t>
  </si>
  <si>
    <t xml:space="preserve"> =  [1.0 + (5)] x (6) x [1.0 + (7)] - 1.0</t>
  </si>
  <si>
    <t xml:space="preserve"> =  (2) x (1.0 + (8))</t>
  </si>
  <si>
    <t xml:space="preserve"> cap relativity for non-base level A so that total change doesn't exceed </t>
  </si>
  <si>
    <t xml:space="preserve"> by solving for R below:</t>
  </si>
  <si>
    <t>R / current</t>
  </si>
  <si>
    <t>(1 + overall)</t>
  </si>
  <si>
    <t>1+ max</t>
  </si>
  <si>
    <t>====&gt;</t>
  </si>
  <si>
    <t>R</t>
  </si>
  <si>
    <t>new indicated relativity for level A</t>
  </si>
  <si>
    <t xml:space="preserve"> calculate the premium shortfall created by the cap in step 2a</t>
  </si>
  <si>
    <t>revised premium for A</t>
  </si>
  <si>
    <t>shortfall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</si>
  <si>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premium shortfall</t>
    </r>
  </si>
  <si>
    <r>
      <t xml:space="preserve"> redistribute this shortfall across levels B and C by </t>
    </r>
    <r>
      <rPr>
        <u/>
        <sz val="11"/>
        <color theme="1"/>
        <rFont val="Calibri"/>
        <family val="2"/>
        <scheme val="minor"/>
      </rPr>
      <t>increasing the base rate</t>
    </r>
    <r>
      <rPr>
        <sz val="11"/>
        <color theme="1"/>
        <rFont val="Calibri"/>
        <family val="2"/>
        <scheme val="minor"/>
      </rPr>
      <t xml:space="preserve"> by a proportional amount</t>
    </r>
  </si>
  <si>
    <t>premium for levels B &amp; C</t>
  </si>
  <si>
    <t>required base rate increase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</si>
  <si>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rate increase</t>
    </r>
  </si>
  <si>
    <r>
      <t xml:space="preserve"> BUT, we must now </t>
    </r>
    <r>
      <rPr>
        <u/>
        <sz val="11"/>
        <color theme="1"/>
        <rFont val="Calibri"/>
        <family val="2"/>
        <scheme val="minor"/>
      </rPr>
      <t>back out this base rate increase</t>
    </r>
    <r>
      <rPr>
        <sz val="11"/>
        <color theme="1"/>
        <rFont val="Calibri"/>
        <family val="2"/>
        <scheme val="minor"/>
      </rPr>
      <t xml:space="preserve"> from level A otherwise the cap will be exceeded by that same amount</t>
    </r>
  </si>
  <si>
    <t>final indicated relativity for level A</t>
  </si>
  <si>
    <t>(1 + base rate increase)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</si>
  <si>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 for proposed Level A relavitiy</t>
    </r>
  </si>
  <si>
    <t>Relativities for B &amp; C are equal to the original indication</t>
  </si>
  <si>
    <r>
      <t xml:space="preserve">Limiting Premium Effect of a Single Variable </t>
    </r>
    <r>
      <rPr>
        <b/>
        <sz val="11"/>
        <color rgb="FF0070C0"/>
        <rFont val="Calibri"/>
        <family val="2"/>
        <scheme val="minor"/>
      </rPr>
      <t>(Base Level)</t>
    </r>
  </si>
  <si>
    <t xml:space="preserve"> calculate total %-change for each rating variable level</t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</si>
  <si>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base level</t>
    </r>
  </si>
  <si>
    <r>
      <t xml:space="preserve"> since the BASE LEVEL change exceeds the cap, we will </t>
    </r>
    <r>
      <rPr>
        <u/>
        <sz val="11"/>
        <color theme="1"/>
        <rFont val="Calibri"/>
        <family val="2"/>
        <scheme val="minor"/>
      </rPr>
      <t>adjust the base rate</t>
    </r>
    <r>
      <rPr>
        <sz val="11"/>
        <color theme="1"/>
        <rFont val="Calibri"/>
        <family val="2"/>
        <scheme val="minor"/>
      </rPr>
      <t xml:space="preserve"> to bring it down</t>
    </r>
  </si>
  <si>
    <t>base rate adjustment</t>
  </si>
  <si>
    <t>(1 + max increase)</t>
  </si>
  <si>
    <t>(1 +  total base level change fom column (8))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</si>
  <si>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rate adjustment</t>
    </r>
  </si>
  <si>
    <t xml:space="preserve"> calculate the premium shortfall created by the base rate decrease in step 2a</t>
  </si>
  <si>
    <t>revised premium for B</t>
  </si>
  <si>
    <t>(base rate decrease)</t>
  </si>
  <si>
    <r>
      <t xml:space="preserve"> redistribute this shortfall across levels A and C by </t>
    </r>
    <r>
      <rPr>
        <u/>
        <sz val="11"/>
        <color theme="1"/>
        <rFont val="Calibri"/>
        <family val="2"/>
        <scheme val="minor"/>
      </rPr>
      <t>increasing their relativities</t>
    </r>
    <r>
      <rPr>
        <sz val="11"/>
        <color theme="1"/>
        <rFont val="Calibri"/>
        <family val="2"/>
        <scheme val="minor"/>
      </rPr>
      <t xml:space="preserve"> by a proportional amount</t>
    </r>
  </si>
  <si>
    <t>premium for levels A &amp; C</t>
  </si>
  <si>
    <t>required relativity increase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</si>
  <si>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A &amp; C relativity increase</t>
    </r>
  </si>
  <si>
    <r>
      <t xml:space="preserve"> BUT, we must now </t>
    </r>
    <r>
      <rPr>
        <u/>
        <sz val="11"/>
        <color theme="1"/>
        <rFont val="Calibri"/>
        <family val="2"/>
        <scheme val="minor"/>
      </rPr>
      <t>back out the base rate decrease</t>
    </r>
    <r>
      <rPr>
        <sz val="11"/>
        <color theme="1"/>
        <rFont val="Calibri"/>
        <family val="2"/>
        <scheme val="minor"/>
      </rPr>
      <t xml:space="preserve"> from A &amp; C so we don't "lose" any of the new premium</t>
    </r>
  </si>
  <si>
    <t>original</t>
  </si>
  <si>
    <t>relativity</t>
  </si>
  <si>
    <t>base rate</t>
  </si>
  <si>
    <t>adjusted</t>
  </si>
  <si>
    <t>Level</t>
  </si>
  <si>
    <t>relativities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</si>
  <si>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revised Level A relativity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</si>
  <si>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base level (no change)</t>
    </r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</si>
  <si>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revised Level C relativity</t>
    </r>
  </si>
  <si>
    <t>/\</t>
  </si>
  <si>
    <t>/ | \</t>
  </si>
  <si>
    <t>final answers</t>
  </si>
  <si>
    <t>Exam 5: Pricing - Chapter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</si>
</sst>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#,##0.000"/>
    <numFmt numFmtId="166" formatCode="#,##0.0000"/>
    <numFmt numFmtId="167" formatCode="0.0000"/>
    <numFmt numFmtId="168" formatCode="0.000"/>
    <numFmt numFmtId="169" formatCode="0.000%"/>
    <numFmt numFmtId="170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9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9.9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06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0" borderId="1" xfId="0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3" fontId="4" fillId="4" borderId="0" xfId="4" applyNumberFormat="1" applyAlignment="1">
      <alignment horizontal="center"/>
    </xf>
    <xf numFmtId="3" fontId="0" fillId="7" borderId="0" xfId="0" applyNumberFormat="1" applyFill="1"/>
    <xf numFmtId="9" fontId="0" fillId="7" borderId="0" xfId="1" applyFont="1" applyFill="1"/>
    <xf numFmtId="3" fontId="10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0" fillId="7" borderId="0" xfId="1" applyNumberFormat="1" applyFont="1" applyFill="1"/>
    <xf numFmtId="3" fontId="0" fillId="0" borderId="3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4" xfId="0" applyNumberFormat="1" applyFont="1" applyBorder="1"/>
    <xf numFmtId="3" fontId="0" fillId="5" borderId="0" xfId="5" applyNumberFormat="1" applyFont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7" borderId="7" xfId="0" applyNumberFormat="1" applyFont="1" applyFill="1" applyBorder="1" applyAlignment="1">
      <alignment horizontal="centerContinuous"/>
    </xf>
    <xf numFmtId="3" fontId="0" fillId="7" borderId="8" xfId="0" applyNumberFormat="1" applyFont="1" applyFill="1" applyBorder="1" applyAlignment="1">
      <alignment horizontal="centerContinuous"/>
    </xf>
    <xf numFmtId="9" fontId="0" fillId="7" borderId="8" xfId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" fillId="5" borderId="0" xfId="5" applyNumberFormat="1" applyAlignment="1">
      <alignment horizontal="center"/>
    </xf>
    <xf numFmtId="3" fontId="5" fillId="0" borderId="0" xfId="0" applyNumberFormat="1" applyFont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7" borderId="5" xfId="0" applyNumberFormat="1" applyFont="1" applyFill="1" applyBorder="1" applyAlignment="1">
      <alignment horizontal="centerContinuous"/>
    </xf>
    <xf numFmtId="3" fontId="0" fillId="7" borderId="6" xfId="0" applyNumberFormat="1" applyFont="1" applyFill="1" applyBorder="1" applyAlignment="1">
      <alignment horizontal="centerContinuous"/>
    </xf>
    <xf numFmtId="9" fontId="0" fillId="7" borderId="6" xfId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0" fillId="0" borderId="9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Continuous"/>
    </xf>
    <xf numFmtId="164" fontId="0" fillId="0" borderId="0" xfId="1" applyNumberFormat="1" applyFont="1" applyAlignment="1">
      <alignment horizontal="center"/>
    </xf>
    <xf numFmtId="3" fontId="2" fillId="2" borderId="0" xfId="2" applyNumberFormat="1" applyAlignment="1">
      <alignment horizontal="center"/>
    </xf>
    <xf numFmtId="4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2" fillId="2" borderId="0" xfId="2" applyNumberFormat="1"/>
    <xf numFmtId="3" fontId="12" fillId="0" borderId="0" xfId="0" applyNumberFormat="1" applyFont="1"/>
    <xf numFmtId="3" fontId="14" fillId="0" borderId="0" xfId="0" applyNumberFormat="1" applyFont="1"/>
    <xf numFmtId="3" fontId="0" fillId="0" borderId="0" xfId="0" quotePrefix="1" applyNumberFormat="1" applyAlignment="1">
      <alignment horizontal="center"/>
    </xf>
    <xf numFmtId="0" fontId="3" fillId="3" borderId="0" xfId="3"/>
    <xf numFmtId="9" fontId="0" fillId="7" borderId="0" xfId="1" applyFont="1" applyFill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/>
    <xf numFmtId="165" fontId="10" fillId="0" borderId="0" xfId="0" applyNumberFormat="1" applyFont="1" applyFill="1" applyBorder="1"/>
    <xf numFmtId="165" fontId="3" fillId="3" borderId="8" xfId="3" applyNumberFormat="1" applyBorder="1"/>
    <xf numFmtId="3" fontId="0" fillId="7" borderId="0" xfId="0" applyNumberFormat="1" applyFont="1" applyFill="1" applyAlignment="1">
      <alignment horizontal="center"/>
    </xf>
    <xf numFmtId="3" fontId="0" fillId="0" borderId="1" xfId="0" applyNumberFormat="1" applyFont="1" applyBorder="1"/>
    <xf numFmtId="165" fontId="10" fillId="0" borderId="1" xfId="0" applyNumberFormat="1" applyFont="1" applyFill="1" applyBorder="1"/>
    <xf numFmtId="165" fontId="3" fillId="3" borderId="6" xfId="3" applyNumberFormat="1" applyBorder="1"/>
    <xf numFmtId="3" fontId="8" fillId="0" borderId="0" xfId="0" applyNumberFormat="1" applyFont="1"/>
    <xf numFmtId="165" fontId="10" fillId="7" borderId="0" xfId="0" applyNumberFormat="1" applyFont="1" applyFill="1" applyBorder="1"/>
    <xf numFmtId="165" fontId="10" fillId="7" borderId="8" xfId="0" applyNumberFormat="1" applyFont="1" applyFill="1" applyBorder="1"/>
    <xf numFmtId="165" fontId="10" fillId="7" borderId="1" xfId="0" applyNumberFormat="1" applyFont="1" applyFill="1" applyBorder="1"/>
    <xf numFmtId="165" fontId="10" fillId="7" borderId="6" xfId="0" applyNumberFormat="1" applyFont="1" applyFill="1" applyBorder="1"/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10" fillId="7" borderId="0" xfId="0" applyNumberFormat="1" applyFont="1" applyFill="1" applyBorder="1"/>
    <xf numFmtId="3" fontId="10" fillId="7" borderId="8" xfId="0" applyNumberFormat="1" applyFont="1" applyFill="1" applyBorder="1"/>
    <xf numFmtId="3" fontId="10" fillId="7" borderId="1" xfId="0" applyNumberFormat="1" applyFont="1" applyFill="1" applyBorder="1"/>
    <xf numFmtId="3" fontId="10" fillId="7" borderId="6" xfId="0" applyNumberFormat="1" applyFont="1" applyFill="1" applyBorder="1"/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2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4" fontId="4" fillId="4" borderId="0" xfId="4" applyNumberFormat="1" applyAlignment="1">
      <alignment horizontal="center"/>
    </xf>
    <xf numFmtId="0" fontId="12" fillId="0" borderId="0" xfId="0" applyFont="1"/>
    <xf numFmtId="3" fontId="5" fillId="0" borderId="0" xfId="0" applyNumberFormat="1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3" fontId="5" fillId="0" borderId="0" xfId="0" applyNumberFormat="1" applyFont="1" applyBorder="1"/>
    <xf numFmtId="3" fontId="1" fillId="5" borderId="0" xfId="5" applyNumberForma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165" fontId="3" fillId="3" borderId="0" xfId="3" applyNumberFormat="1" applyBorder="1" applyAlignment="1">
      <alignment horizontal="center"/>
    </xf>
    <xf numFmtId="165" fontId="3" fillId="3" borderId="1" xfId="3" applyNumberFormat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0" fillId="0" borderId="0" xfId="0" quotePrefix="1" applyNumberFormat="1" applyFont="1"/>
    <xf numFmtId="4" fontId="2" fillId="2" borderId="0" xfId="2" applyNumberFormat="1" applyAlignment="1">
      <alignment horizontal="left"/>
    </xf>
    <xf numFmtId="0" fontId="0" fillId="0" borderId="11" xfId="0" applyFont="1" applyBorder="1"/>
    <xf numFmtId="0" fontId="0" fillId="0" borderId="10" xfId="0" applyFont="1" applyBorder="1"/>
    <xf numFmtId="3" fontId="0" fillId="7" borderId="10" xfId="0" applyNumberFormat="1" applyFont="1" applyFill="1" applyBorder="1" applyAlignment="1">
      <alignment horizontal="center"/>
    </xf>
    <xf numFmtId="4" fontId="0" fillId="7" borderId="0" xfId="0" applyNumberFormat="1" applyFont="1" applyFill="1"/>
    <xf numFmtId="166" fontId="0" fillId="0" borderId="0" xfId="0" applyNumberFormat="1" applyFont="1"/>
    <xf numFmtId="3" fontId="16" fillId="0" borderId="12" xfId="0" applyNumberFormat="1" applyFont="1" applyBorder="1" applyAlignment="1">
      <alignment horizontal="center"/>
    </xf>
    <xf numFmtId="3" fontId="4" fillId="4" borderId="13" xfId="4" applyNumberFormat="1" applyBorder="1" applyAlignment="1">
      <alignment horizontal="center"/>
    </xf>
    <xf numFmtId="3" fontId="4" fillId="4" borderId="14" xfId="4" applyNumberForma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7" fontId="4" fillId="4" borderId="2" xfId="4" applyNumberForma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5" borderId="0" xfId="5" applyFont="1" applyAlignment="1">
      <alignment horizontal="center"/>
    </xf>
    <xf numFmtId="3" fontId="0" fillId="0" borderId="0" xfId="0" quotePrefix="1" applyNumberFormat="1" applyAlignment="1">
      <alignment horizontal="left"/>
    </xf>
    <xf numFmtId="0" fontId="0" fillId="0" borderId="0" xfId="0" quotePrefix="1" applyFont="1" applyAlignment="1">
      <alignment horizontal="left"/>
    </xf>
    <xf numFmtId="4" fontId="0" fillId="0" borderId="0" xfId="0" quotePrefix="1" applyNumberFormat="1" applyAlignment="1">
      <alignment horizontal="left"/>
    </xf>
    <xf numFmtId="2" fontId="0" fillId="0" borderId="0" xfId="0" applyNumberFormat="1" applyFont="1" applyAlignment="1">
      <alignment horizontal="left"/>
    </xf>
    <xf numFmtId="4" fontId="1" fillId="5" borderId="0" xfId="5" applyNumberFormat="1" applyAlignment="1">
      <alignment horizontal="left"/>
    </xf>
    <xf numFmtId="0" fontId="2" fillId="2" borderId="0" xfId="2" applyAlignment="1">
      <alignment horizontal="center"/>
    </xf>
    <xf numFmtId="0" fontId="0" fillId="0" borderId="0" xfId="0" quotePrefix="1" applyFont="1" applyAlignment="1">
      <alignment horizontal="center"/>
    </xf>
    <xf numFmtId="167" fontId="4" fillId="4" borderId="0" xfId="4" applyNumberFormat="1"/>
    <xf numFmtId="4" fontId="2" fillId="2" borderId="0" xfId="2" applyNumberFormat="1" applyAlignment="1">
      <alignment horizontal="center"/>
    </xf>
    <xf numFmtId="165" fontId="0" fillId="0" borderId="0" xfId="0" applyNumberFormat="1" applyFont="1"/>
    <xf numFmtId="0" fontId="0" fillId="0" borderId="12" xfId="0" applyFont="1" applyBorder="1" applyAlignment="1">
      <alignment horizontal="center"/>
    </xf>
    <xf numFmtId="168" fontId="0" fillId="0" borderId="13" xfId="0" applyNumberFormat="1" applyFont="1" applyBorder="1"/>
    <xf numFmtId="168" fontId="0" fillId="0" borderId="14" xfId="0" applyNumberFormat="1" applyFont="1" applyBorder="1"/>
    <xf numFmtId="3" fontId="6" fillId="0" borderId="9" xfId="0" applyNumberFormat="1" applyFont="1" applyBorder="1"/>
    <xf numFmtId="165" fontId="0" fillId="0" borderId="11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right"/>
    </xf>
    <xf numFmtId="3" fontId="19" fillId="0" borderId="0" xfId="0" applyNumberFormat="1" applyFont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right"/>
    </xf>
    <xf numFmtId="165" fontId="4" fillId="4" borderId="2" xfId="4" applyNumberFormat="1" applyBorder="1" applyAlignment="1">
      <alignment horizontal="right"/>
    </xf>
    <xf numFmtId="3" fontId="13" fillId="0" borderId="0" xfId="0" applyNumberFormat="1" applyFont="1"/>
    <xf numFmtId="3" fontId="0" fillId="0" borderId="0" xfId="0" applyNumberFormat="1" applyAlignment="1">
      <alignment horizontal="left"/>
    </xf>
    <xf numFmtId="165" fontId="0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3" fontId="0" fillId="0" borderId="12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0" xfId="0" applyNumberFormat="1" applyFont="1" applyBorder="1" applyAlignment="1">
      <alignment horizontal="left"/>
    </xf>
    <xf numFmtId="9" fontId="2" fillId="2" borderId="10" xfId="2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7" borderId="0" xfId="0" applyNumberFormat="1" applyFont="1" applyFill="1" applyBorder="1"/>
    <xf numFmtId="4" fontId="0" fillId="7" borderId="0" xfId="0" applyNumberFormat="1" applyFont="1" applyFill="1" applyBorder="1" applyAlignment="1">
      <alignment horizontal="center"/>
    </xf>
    <xf numFmtId="4" fontId="0" fillId="7" borderId="8" xfId="0" applyNumberFormat="1" applyFont="1" applyFill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0" fontId="4" fillId="4" borderId="8" xfId="4" applyNumberFormat="1" applyBorder="1" applyAlignment="1">
      <alignment horizontal="center"/>
    </xf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3" fontId="0" fillId="0" borderId="6" xfId="0" applyNumberFormat="1" applyFont="1" applyBorder="1" applyAlignment="1">
      <alignment horizontal="left"/>
    </xf>
    <xf numFmtId="9" fontId="3" fillId="3" borderId="6" xfId="3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7" borderId="1" xfId="0" applyNumberFormat="1" applyFont="1" applyFill="1" applyBorder="1"/>
    <xf numFmtId="4" fontId="0" fillId="7" borderId="1" xfId="0" applyNumberFormat="1" applyFont="1" applyFill="1" applyBorder="1" applyAlignment="1">
      <alignment horizontal="center"/>
    </xf>
    <xf numFmtId="4" fontId="0" fillId="7" borderId="6" xfId="0" applyNumberFormat="1" applyFont="1" applyFill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10" fontId="4" fillId="4" borderId="6" xfId="4" applyNumberFormat="1" applyBorder="1" applyAlignment="1">
      <alignment horizontal="center"/>
    </xf>
    <xf numFmtId="3" fontId="16" fillId="0" borderId="1" xfId="0" applyNumberFormat="1" applyFont="1" applyBorder="1"/>
    <xf numFmtId="3" fontId="0" fillId="0" borderId="1" xfId="0" quotePrefix="1" applyNumberFormat="1" applyFont="1" applyBorder="1" applyAlignment="1">
      <alignment horizontal="center"/>
    </xf>
    <xf numFmtId="3" fontId="0" fillId="0" borderId="6" xfId="0" quotePrefix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3" fontId="19" fillId="0" borderId="0" xfId="0" quotePrefix="1" applyNumberFormat="1" applyFont="1" applyAlignment="1">
      <alignment horizontal="center"/>
    </xf>
    <xf numFmtId="0" fontId="0" fillId="0" borderId="9" xfId="0" quotePrefix="1" applyFont="1" applyBorder="1" applyAlignment="1">
      <alignment horizontal="center"/>
    </xf>
    <xf numFmtId="3" fontId="5" fillId="0" borderId="11" xfId="0" applyNumberFormat="1" applyFont="1" applyBorder="1"/>
    <xf numFmtId="9" fontId="3" fillId="3" borderId="0" xfId="3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12" fillId="0" borderId="0" xfId="0" quotePrefix="1" applyNumberFormat="1" applyFont="1" applyAlignment="1">
      <alignment horizontal="center"/>
    </xf>
    <xf numFmtId="166" fontId="1" fillId="5" borderId="10" xfId="5" applyNumberFormat="1" applyBorder="1" applyAlignment="1">
      <alignment horizontal="center"/>
    </xf>
    <xf numFmtId="166" fontId="0" fillId="0" borderId="0" xfId="0" quotePrefix="1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169" fontId="21" fillId="0" borderId="0" xfId="1" applyNumberFormat="1" applyFont="1"/>
    <xf numFmtId="166" fontId="10" fillId="0" borderId="0" xfId="5" applyNumberFormat="1" applyFont="1" applyFill="1" applyAlignment="1">
      <alignment horizontal="center"/>
    </xf>
    <xf numFmtId="166" fontId="1" fillId="5" borderId="0" xfId="5" applyNumberFormat="1" applyAlignment="1">
      <alignment horizontal="center"/>
    </xf>
    <xf numFmtId="170" fontId="21" fillId="0" borderId="0" xfId="0" applyNumberFormat="1" applyFont="1" applyAlignment="1">
      <alignment horizontal="left"/>
    </xf>
    <xf numFmtId="166" fontId="2" fillId="2" borderId="0" xfId="2" applyNumberFormat="1" applyAlignment="1">
      <alignment horizontal="center"/>
    </xf>
    <xf numFmtId="4" fontId="0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166" fontId="1" fillId="5" borderId="0" xfId="5" applyNumberFormat="1" applyAlignment="1">
      <alignment horizontal="left"/>
    </xf>
    <xf numFmtId="3" fontId="0" fillId="0" borderId="0" xfId="0" quotePrefix="1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center"/>
    </xf>
    <xf numFmtId="3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1104689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0.85546875" style="1" customWidth="1"/>
    <col min="2" max="2" width="22.7109375" style="203" customWidth="1"/>
    <col min="3" max="3" width="58.28515625" style="2" bestFit="1" customWidth="1"/>
    <col min="4" max="16384" width="9.140625" style="1"/>
  </cols>
  <sheetData>
    <row r="5" spans="1:3" x14ac:dyDescent="0.25">
      <c r="A5" s="204" t="s">
        <v>250</v>
      </c>
      <c r="B5" s="204"/>
      <c r="C5" s="204"/>
    </row>
    <row r="6" spans="1:3" ht="21" customHeight="1" x14ac:dyDescent="0.25">
      <c r="A6" s="204"/>
      <c r="B6" s="204"/>
      <c r="C6" s="204"/>
    </row>
    <row r="8" spans="1:3" x14ac:dyDescent="0.25">
      <c r="A8" s="2"/>
      <c r="B8" s="202"/>
    </row>
    <row r="9" spans="1:3" x14ac:dyDescent="0.25">
      <c r="A9" s="3" t="s">
        <v>0</v>
      </c>
      <c r="B9" s="3" t="s">
        <v>1</v>
      </c>
      <c r="C9" s="3" t="s">
        <v>2</v>
      </c>
    </row>
    <row r="10" spans="1:3" x14ac:dyDescent="0.25">
      <c r="A10" s="201">
        <v>1</v>
      </c>
      <c r="B10" s="202" t="s">
        <v>3</v>
      </c>
      <c r="C10" s="2" t="s">
        <v>4</v>
      </c>
    </row>
    <row r="11" spans="1:3" x14ac:dyDescent="0.25">
      <c r="A11" s="201">
        <v>2</v>
      </c>
      <c r="B11" s="202" t="s">
        <v>5</v>
      </c>
      <c r="C11" s="2" t="s">
        <v>6</v>
      </c>
    </row>
    <row r="12" spans="1:3" x14ac:dyDescent="0.25">
      <c r="A12" s="201">
        <v>3</v>
      </c>
      <c r="B12" s="202" t="s">
        <v>7</v>
      </c>
      <c r="C12" s="2" t="s">
        <v>8</v>
      </c>
    </row>
    <row r="13" spans="1:3" x14ac:dyDescent="0.25">
      <c r="A13" s="201">
        <v>4</v>
      </c>
      <c r="B13" s="202" t="s">
        <v>9</v>
      </c>
      <c r="C13" s="2" t="s">
        <v>10</v>
      </c>
    </row>
    <row r="14" spans="1:3" x14ac:dyDescent="0.25">
      <c r="A14" s="201">
        <v>5</v>
      </c>
      <c r="B14" s="202" t="s">
        <v>11</v>
      </c>
      <c r="C14" s="2" t="s">
        <v>12</v>
      </c>
    </row>
    <row r="15" spans="1:3" x14ac:dyDescent="0.25">
      <c r="A15" s="201">
        <v>6</v>
      </c>
      <c r="B15" s="202" t="s">
        <v>13</v>
      </c>
      <c r="C15" s="2" t="s">
        <v>14</v>
      </c>
    </row>
    <row r="16" spans="1:3" x14ac:dyDescent="0.25">
      <c r="A16" s="4"/>
      <c r="B16" s="202"/>
    </row>
    <row r="17" spans="1:2" x14ac:dyDescent="0.25">
      <c r="A17" s="4"/>
      <c r="B17" s="202"/>
    </row>
    <row r="18" spans="1:2" x14ac:dyDescent="0.25">
      <c r="A18" s="4"/>
      <c r="B18" s="202"/>
    </row>
    <row r="19" spans="1:2" x14ac:dyDescent="0.25">
      <c r="A19" s="4"/>
      <c r="B19" s="202"/>
    </row>
    <row r="20" spans="1:2" x14ac:dyDescent="0.25">
      <c r="A20" s="4"/>
      <c r="B20" s="202"/>
    </row>
    <row r="21" spans="1:2" x14ac:dyDescent="0.25">
      <c r="A21" s="4"/>
      <c r="B21" s="202"/>
    </row>
    <row r="22" spans="1:2" x14ac:dyDescent="0.25">
      <c r="A22" s="4"/>
      <c r="B22" s="202"/>
    </row>
    <row r="23" spans="1:2" x14ac:dyDescent="0.25">
      <c r="A23" s="4"/>
      <c r="B23" s="202"/>
    </row>
    <row r="24" spans="1:2" x14ac:dyDescent="0.25">
      <c r="A24" s="4"/>
      <c r="B24" s="202"/>
    </row>
    <row r="25" spans="1:2" x14ac:dyDescent="0.25">
      <c r="A25" s="4"/>
      <c r="B25" s="202"/>
    </row>
    <row r="26" spans="1:2" x14ac:dyDescent="0.25">
      <c r="A26" s="4"/>
      <c r="B26" s="202"/>
    </row>
    <row r="27" spans="1:2" x14ac:dyDescent="0.25">
      <c r="A27" s="4"/>
      <c r="B27" s="202"/>
    </row>
    <row r="28" spans="1:2" x14ac:dyDescent="0.25">
      <c r="A28" s="4"/>
      <c r="B28" s="202"/>
    </row>
    <row r="29" spans="1:2" x14ac:dyDescent="0.25">
      <c r="A29" s="4"/>
      <c r="B29" s="202"/>
    </row>
    <row r="30" spans="1:2" x14ac:dyDescent="0.25">
      <c r="A30" s="4"/>
      <c r="B30" s="202"/>
    </row>
    <row r="31" spans="1:2" x14ac:dyDescent="0.25">
      <c r="A31" s="4"/>
      <c r="B31" s="202"/>
    </row>
    <row r="32" spans="1:2" x14ac:dyDescent="0.25">
      <c r="A32" s="4"/>
      <c r="B32" s="202"/>
    </row>
    <row r="33" spans="1:2" x14ac:dyDescent="0.25">
      <c r="A33" s="4"/>
      <c r="B33" s="202"/>
    </row>
    <row r="34" spans="1:2" x14ac:dyDescent="0.25">
      <c r="A34" s="4"/>
      <c r="B34" s="202"/>
    </row>
    <row r="35" spans="1:2" x14ac:dyDescent="0.25">
      <c r="A35" s="4"/>
      <c r="B35" s="202"/>
    </row>
    <row r="36" spans="1:2" x14ac:dyDescent="0.25">
      <c r="A36" s="4"/>
      <c r="B36" s="202"/>
    </row>
    <row r="37" spans="1:2" x14ac:dyDescent="0.25">
      <c r="A37" s="4"/>
      <c r="B37" s="202"/>
    </row>
    <row r="38" spans="1:2" x14ac:dyDescent="0.25">
      <c r="A38" s="4"/>
      <c r="B38" s="202"/>
    </row>
    <row r="39" spans="1:2" x14ac:dyDescent="0.25">
      <c r="A39" s="4"/>
      <c r="B39" s="202"/>
    </row>
    <row r="40" spans="1:2" x14ac:dyDescent="0.25">
      <c r="A40" s="4"/>
      <c r="B40" s="202"/>
    </row>
    <row r="41" spans="1:2" x14ac:dyDescent="0.25">
      <c r="A41" s="4"/>
      <c r="B41" s="202"/>
    </row>
    <row r="42" spans="1:2" x14ac:dyDescent="0.25">
      <c r="A42" s="4"/>
      <c r="B42" s="202"/>
    </row>
    <row r="43" spans="1:2" x14ac:dyDescent="0.25">
      <c r="A43" s="4"/>
      <c r="B43" s="202"/>
    </row>
    <row r="44" spans="1:2" x14ac:dyDescent="0.25">
      <c r="A44" s="4"/>
      <c r="B44" s="202"/>
    </row>
    <row r="45" spans="1:2" x14ac:dyDescent="0.25">
      <c r="A45" s="4"/>
      <c r="B45" s="202"/>
    </row>
    <row r="46" spans="1:2" x14ac:dyDescent="0.25">
      <c r="A46" s="4"/>
      <c r="B46" s="202"/>
    </row>
    <row r="47" spans="1:2" x14ac:dyDescent="0.25">
      <c r="A47" s="4"/>
      <c r="B47" s="202"/>
    </row>
    <row r="48" spans="1:2" x14ac:dyDescent="0.25">
      <c r="A48" s="4"/>
      <c r="B48" s="202"/>
    </row>
    <row r="49" spans="1:2" x14ac:dyDescent="0.25">
      <c r="A49" s="4"/>
      <c r="B49" s="202"/>
    </row>
    <row r="50" spans="1:2" x14ac:dyDescent="0.25">
      <c r="A50" s="4"/>
      <c r="B50" s="202"/>
    </row>
    <row r="51" spans="1:2" x14ac:dyDescent="0.25">
      <c r="A51" s="4"/>
      <c r="B51" s="202"/>
    </row>
    <row r="52" spans="1:2" x14ac:dyDescent="0.25">
      <c r="A52" s="4"/>
      <c r="B52" s="202"/>
    </row>
    <row r="53" spans="1:2" x14ac:dyDescent="0.25">
      <c r="A53" s="4"/>
      <c r="B53" s="202"/>
    </row>
    <row r="54" spans="1:2" x14ac:dyDescent="0.25">
      <c r="A54" s="4"/>
      <c r="B54" s="202"/>
    </row>
    <row r="55" spans="1:2" x14ac:dyDescent="0.25">
      <c r="A55" s="4"/>
      <c r="B55" s="202"/>
    </row>
    <row r="56" spans="1:2" x14ac:dyDescent="0.25">
      <c r="A56" s="4"/>
      <c r="B56" s="202"/>
    </row>
    <row r="57" spans="1:2" x14ac:dyDescent="0.25">
      <c r="A57" s="4"/>
      <c r="B57" s="202"/>
    </row>
    <row r="58" spans="1:2" x14ac:dyDescent="0.25">
      <c r="A58" s="4"/>
      <c r="B58" s="202"/>
    </row>
    <row r="59" spans="1:2" x14ac:dyDescent="0.25">
      <c r="A59" s="4"/>
      <c r="B59" s="202"/>
    </row>
    <row r="60" spans="1:2" x14ac:dyDescent="0.25">
      <c r="A60" s="4"/>
      <c r="B60" s="202"/>
    </row>
    <row r="61" spans="1:2" x14ac:dyDescent="0.25">
      <c r="A61" s="4"/>
      <c r="B61" s="202"/>
    </row>
    <row r="62" spans="1:2" x14ac:dyDescent="0.25">
      <c r="A62" s="4"/>
      <c r="B62" s="202"/>
    </row>
    <row r="63" spans="1:2" x14ac:dyDescent="0.25">
      <c r="A63" s="4"/>
      <c r="B63" s="202"/>
    </row>
    <row r="64" spans="1:2" x14ac:dyDescent="0.25">
      <c r="A64" s="4"/>
      <c r="B64" s="202"/>
    </row>
    <row r="65" spans="1:2" x14ac:dyDescent="0.25">
      <c r="A65" s="4"/>
      <c r="B65" s="202"/>
    </row>
    <row r="66" spans="1:2" x14ac:dyDescent="0.25">
      <c r="A66" s="4"/>
      <c r="B66" s="202"/>
    </row>
    <row r="67" spans="1:2" x14ac:dyDescent="0.25">
      <c r="A67" s="4"/>
      <c r="B67" s="202"/>
    </row>
    <row r="68" spans="1:2" x14ac:dyDescent="0.25">
      <c r="A68" s="4"/>
      <c r="B68" s="202"/>
    </row>
    <row r="69" spans="1:2" x14ac:dyDescent="0.25">
      <c r="A69" s="4"/>
      <c r="B69" s="202"/>
    </row>
    <row r="70" spans="1:2" x14ac:dyDescent="0.25">
      <c r="A70" s="4"/>
      <c r="B70" s="202"/>
    </row>
    <row r="71" spans="1:2" x14ac:dyDescent="0.25">
      <c r="A71" s="4"/>
      <c r="B71" s="202"/>
    </row>
    <row r="72" spans="1:2" x14ac:dyDescent="0.25">
      <c r="A72" s="4"/>
      <c r="B72" s="202"/>
    </row>
    <row r="73" spans="1:2" x14ac:dyDescent="0.25">
      <c r="A73" s="4"/>
      <c r="B73" s="202"/>
    </row>
    <row r="74" spans="1:2" x14ac:dyDescent="0.25">
      <c r="A74" s="4"/>
      <c r="B74" s="202"/>
    </row>
    <row r="75" spans="1:2" x14ac:dyDescent="0.25">
      <c r="A75" s="4"/>
      <c r="B75" s="202"/>
    </row>
    <row r="76" spans="1:2" x14ac:dyDescent="0.25">
      <c r="A76" s="4"/>
      <c r="B76" s="202"/>
    </row>
    <row r="77" spans="1:2" x14ac:dyDescent="0.25">
      <c r="A77" s="4"/>
      <c r="B77" s="202"/>
    </row>
    <row r="78" spans="1:2" x14ac:dyDescent="0.25">
      <c r="A78" s="4"/>
      <c r="B78" s="202"/>
    </row>
    <row r="79" spans="1:2" x14ac:dyDescent="0.25">
      <c r="A79" s="4"/>
      <c r="B79" s="202"/>
    </row>
    <row r="80" spans="1:2" x14ac:dyDescent="0.25">
      <c r="A80" s="4"/>
      <c r="B80" s="202"/>
    </row>
    <row r="81" spans="1:2" x14ac:dyDescent="0.25">
      <c r="A81" s="4"/>
      <c r="B81" s="202"/>
    </row>
    <row r="82" spans="1:2" x14ac:dyDescent="0.25">
      <c r="A82" s="4"/>
      <c r="B82" s="202"/>
    </row>
    <row r="83" spans="1:2" x14ac:dyDescent="0.25">
      <c r="A83" s="4"/>
      <c r="B83" s="202"/>
    </row>
    <row r="84" spans="1:2" x14ac:dyDescent="0.25">
      <c r="A84" s="4"/>
      <c r="B84" s="202"/>
    </row>
    <row r="85" spans="1:2" x14ac:dyDescent="0.25">
      <c r="A85" s="4"/>
      <c r="B85" s="202"/>
    </row>
    <row r="86" spans="1:2" x14ac:dyDescent="0.25">
      <c r="A86" s="4"/>
      <c r="B86" s="202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14-B1'!A1" display="'W-14-B1'!A1"/>
    <hyperlink ref="A11" location="'W-14-B2'!A1" display="'W-14-B2'!A1"/>
    <hyperlink ref="A12" location="'W-14-B3'!A1" display="'W-14-B3'!A1"/>
    <hyperlink ref="A13" location="'W-14-B4'!A1" display="'W-14-B4'!A1"/>
    <hyperlink ref="A14" location="'W-14-G'!A1" display="'W-14-G'!A1"/>
    <hyperlink ref="A15" location="'W-14-G2'!A1" display="'W-14-G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8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A1" s="10"/>
      <c r="AB1" s="8" t="s">
        <v>18</v>
      </c>
    </row>
    <row r="2" spans="1:28" x14ac:dyDescent="0.25">
      <c r="A2" s="5" t="s">
        <v>19</v>
      </c>
      <c r="C2" s="6" t="s">
        <v>20</v>
      </c>
      <c r="N2" s="8" t="s">
        <v>18</v>
      </c>
      <c r="AA2" s="10"/>
      <c r="AB2" s="8" t="s">
        <v>18</v>
      </c>
    </row>
    <row r="3" spans="1:28" x14ac:dyDescent="0.25">
      <c r="A3" s="5" t="s">
        <v>21</v>
      </c>
      <c r="C3" s="6" t="s">
        <v>4</v>
      </c>
      <c r="N3" s="8" t="s">
        <v>18</v>
      </c>
      <c r="O3" s="9" t="s">
        <v>22</v>
      </c>
      <c r="P3" s="6" t="s">
        <v>23</v>
      </c>
      <c r="AA3" s="10"/>
      <c r="AB3" s="8" t="s">
        <v>18</v>
      </c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A4" s="10"/>
      <c r="AB4" s="8" t="s">
        <v>18</v>
      </c>
    </row>
    <row r="5" spans="1:28" x14ac:dyDescent="0.25">
      <c r="A5" s="13" t="s">
        <v>24</v>
      </c>
      <c r="C5" s="10" t="s">
        <v>25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Q5" s="10"/>
      <c r="R5" s="14" t="s">
        <v>26</v>
      </c>
      <c r="S5" s="11"/>
      <c r="T5" s="14" t="s">
        <v>27</v>
      </c>
      <c r="U5" s="10"/>
      <c r="V5" s="14" t="s">
        <v>28</v>
      </c>
      <c r="W5" s="10"/>
      <c r="X5" s="10"/>
      <c r="Y5" s="10"/>
      <c r="Z5" s="10"/>
      <c r="AA5" s="10"/>
      <c r="AB5" s="8" t="s">
        <v>18</v>
      </c>
    </row>
    <row r="6" spans="1:28" x14ac:dyDescent="0.25">
      <c r="C6" s="11" t="s">
        <v>29</v>
      </c>
      <c r="D6" s="10" t="s">
        <v>30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0" t="str">
        <f>C16</f>
        <v>commissions</v>
      </c>
      <c r="Q6" s="10"/>
      <c r="R6" s="11">
        <f>E16</f>
        <v>1500</v>
      </c>
      <c r="S6" s="11" t="s">
        <v>31</v>
      </c>
      <c r="T6" s="15">
        <f>G16</f>
        <v>0</v>
      </c>
      <c r="U6" s="11" t="s">
        <v>32</v>
      </c>
      <c r="V6" s="16">
        <f>R6*T6</f>
        <v>0</v>
      </c>
      <c r="W6" s="10"/>
      <c r="X6" s="10"/>
      <c r="Y6" s="10"/>
      <c r="Z6" s="10"/>
      <c r="AA6" s="10"/>
      <c r="AB6" s="8" t="s">
        <v>18</v>
      </c>
    </row>
    <row r="7" spans="1:28" x14ac:dyDescent="0.25">
      <c r="C7" s="11" t="s">
        <v>33</v>
      </c>
      <c r="D7" s="10" t="s">
        <v>34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18</v>
      </c>
      <c r="O7" s="10"/>
      <c r="P7" s="10" t="str">
        <f>C17</f>
        <v>general expenses</v>
      </c>
      <c r="Q7" s="10"/>
      <c r="R7" s="11">
        <f t="shared" ref="R7:R10" si="0">E17</f>
        <v>1200</v>
      </c>
      <c r="S7" s="11" t="s">
        <v>31</v>
      </c>
      <c r="T7" s="15">
        <f t="shared" ref="T7:T10" si="1">G17</f>
        <v>0.54</v>
      </c>
      <c r="U7" s="11" t="s">
        <v>32</v>
      </c>
      <c r="V7" s="16">
        <f t="shared" ref="V7:V10" si="2">R7*T7</f>
        <v>648</v>
      </c>
      <c r="W7" s="10"/>
      <c r="X7" s="10"/>
      <c r="Y7" s="10"/>
      <c r="Z7" s="10"/>
      <c r="AA7" s="10"/>
      <c r="AB7" s="8" t="s">
        <v>18</v>
      </c>
    </row>
    <row r="8" spans="1:28" x14ac:dyDescent="0.25">
      <c r="A8" s="13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 t="str">
        <f>C18</f>
        <v>other acquisition</v>
      </c>
      <c r="Q8" s="10"/>
      <c r="R8" s="11">
        <f t="shared" si="0"/>
        <v>600</v>
      </c>
      <c r="S8" s="11" t="s">
        <v>31</v>
      </c>
      <c r="T8" s="15">
        <f t="shared" si="1"/>
        <v>1</v>
      </c>
      <c r="U8" s="11" t="s">
        <v>32</v>
      </c>
      <c r="V8" s="16">
        <f t="shared" si="2"/>
        <v>600</v>
      </c>
      <c r="W8" s="10"/>
      <c r="X8" s="10"/>
      <c r="Y8" s="10"/>
      <c r="Z8" s="10"/>
      <c r="AA8" s="10"/>
      <c r="AB8" s="8" t="s">
        <v>18</v>
      </c>
    </row>
    <row r="9" spans="1:28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18</v>
      </c>
      <c r="O9" s="10"/>
      <c r="P9" s="10" t="str">
        <f>C19</f>
        <v>taxes</v>
      </c>
      <c r="Q9" s="10"/>
      <c r="R9" s="11">
        <f t="shared" si="0"/>
        <v>300</v>
      </c>
      <c r="S9" s="11" t="s">
        <v>31</v>
      </c>
      <c r="T9" s="15">
        <f t="shared" si="1"/>
        <v>0</v>
      </c>
      <c r="U9" s="11" t="s">
        <v>32</v>
      </c>
      <c r="V9" s="16">
        <f t="shared" si="2"/>
        <v>0</v>
      </c>
      <c r="W9" s="10"/>
      <c r="X9" s="10"/>
      <c r="Y9" s="10"/>
      <c r="Z9" s="10"/>
      <c r="AA9" s="10"/>
      <c r="AB9" s="8" t="s">
        <v>18</v>
      </c>
    </row>
    <row r="10" spans="1:28" x14ac:dyDescent="0.25">
      <c r="A10" s="13" t="s">
        <v>35</v>
      </c>
      <c r="B10" s="12"/>
      <c r="C10" s="10" t="s">
        <v>36</v>
      </c>
      <c r="D10" s="10"/>
      <c r="E10" s="10"/>
      <c r="F10" s="17">
        <v>6000</v>
      </c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0" t="str">
        <f>C20</f>
        <v>licenses &amp; fees</v>
      </c>
      <c r="Q10" s="10"/>
      <c r="R10" s="11">
        <f t="shared" si="0"/>
        <v>50</v>
      </c>
      <c r="S10" s="11" t="s">
        <v>31</v>
      </c>
      <c r="T10" s="15">
        <f t="shared" si="1"/>
        <v>1</v>
      </c>
      <c r="U10" s="11" t="s">
        <v>32</v>
      </c>
      <c r="V10" s="16">
        <f t="shared" si="2"/>
        <v>50</v>
      </c>
      <c r="W10" s="10"/>
      <c r="X10" s="10"/>
      <c r="Y10" s="10"/>
      <c r="Z10" s="10"/>
      <c r="AA10" s="10"/>
      <c r="AB10" s="8" t="s">
        <v>18</v>
      </c>
    </row>
    <row r="11" spans="1:28" x14ac:dyDescent="0.25">
      <c r="A11" s="12"/>
      <c r="B11" s="12"/>
      <c r="C11" s="10" t="s">
        <v>37</v>
      </c>
      <c r="D11" s="10"/>
      <c r="E11" s="10"/>
      <c r="F11" s="18">
        <v>0.04</v>
      </c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9">
        <f>SUM(R6:R10)</f>
        <v>3650</v>
      </c>
      <c r="S11" s="10"/>
      <c r="T11" s="10"/>
      <c r="U11" s="10"/>
      <c r="V11" s="20">
        <f>SUM(V6:V10)</f>
        <v>1298</v>
      </c>
      <c r="W11" s="10"/>
      <c r="X11" s="10"/>
      <c r="Y11" s="10"/>
      <c r="Z11" s="10"/>
      <c r="AA11" s="10"/>
      <c r="AB11" s="8" t="s">
        <v>18</v>
      </c>
    </row>
    <row r="12" spans="1:28" x14ac:dyDescent="0.25">
      <c r="A12" s="13"/>
      <c r="B12" s="12"/>
      <c r="C12" s="10" t="s">
        <v>38</v>
      </c>
      <c r="D12" s="10"/>
      <c r="E12" s="10"/>
      <c r="F12" s="21">
        <v>300</v>
      </c>
      <c r="G12" s="10"/>
      <c r="H12" s="10"/>
      <c r="I12" s="10"/>
      <c r="J12" s="10"/>
      <c r="K12" s="12"/>
      <c r="L12" s="12"/>
      <c r="M12" s="12"/>
      <c r="N12" s="8" t="s">
        <v>18</v>
      </c>
      <c r="W12" s="10"/>
      <c r="X12" s="10"/>
      <c r="Y12" s="10"/>
      <c r="Z12" s="10"/>
      <c r="AA12" s="10"/>
      <c r="AB12" s="8" t="s">
        <v>18</v>
      </c>
    </row>
    <row r="13" spans="1:28" x14ac:dyDescent="0.25">
      <c r="A13" s="12"/>
      <c r="B13" s="12"/>
      <c r="C13" s="10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8" t="s">
        <v>18</v>
      </c>
      <c r="AA13" s="10"/>
      <c r="AB13" s="8" t="s">
        <v>18</v>
      </c>
    </row>
    <row r="14" spans="1:28" x14ac:dyDescent="0.25">
      <c r="A14" s="12"/>
      <c r="B14" s="12"/>
      <c r="C14" s="22" t="s">
        <v>39</v>
      </c>
      <c r="D14" s="23"/>
      <c r="E14" s="22" t="s">
        <v>40</v>
      </c>
      <c r="F14" s="23"/>
      <c r="G14" s="24"/>
      <c r="H14" s="10"/>
      <c r="I14" s="10"/>
      <c r="J14" s="10"/>
      <c r="K14" s="12"/>
      <c r="L14" s="12"/>
      <c r="M14" s="12"/>
      <c r="N14" s="8" t="s">
        <v>18</v>
      </c>
      <c r="O14" s="25" t="s">
        <v>41</v>
      </c>
      <c r="P14" s="10" t="s">
        <v>42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8" t="s">
        <v>18</v>
      </c>
    </row>
    <row r="15" spans="1:28" x14ac:dyDescent="0.25">
      <c r="C15" s="26" t="s">
        <v>43</v>
      </c>
      <c r="D15" s="27"/>
      <c r="E15" s="26" t="s">
        <v>44</v>
      </c>
      <c r="F15" s="27"/>
      <c r="G15" s="28" t="s">
        <v>27</v>
      </c>
      <c r="H15" s="10"/>
      <c r="I15" s="10"/>
      <c r="J15" s="10"/>
      <c r="K15" s="10"/>
      <c r="L15" s="10"/>
      <c r="M15" s="12"/>
      <c r="N15" s="8" t="s">
        <v>18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B15" s="8" t="s">
        <v>18</v>
      </c>
    </row>
    <row r="16" spans="1:28" x14ac:dyDescent="0.25">
      <c r="C16" s="29" t="s">
        <v>45</v>
      </c>
      <c r="D16" s="30"/>
      <c r="E16" s="31">
        <v>1500</v>
      </c>
      <c r="F16" s="32"/>
      <c r="G16" s="33">
        <v>0</v>
      </c>
      <c r="H16" s="10"/>
      <c r="I16" s="10"/>
      <c r="J16" s="10"/>
      <c r="K16" s="10"/>
      <c r="L16" s="10"/>
      <c r="M16" s="12"/>
      <c r="N16" s="8" t="s">
        <v>18</v>
      </c>
      <c r="O16" s="10"/>
      <c r="P16" s="11" t="s">
        <v>46</v>
      </c>
      <c r="Q16" s="11" t="s">
        <v>32</v>
      </c>
      <c r="R16" s="11" t="s">
        <v>28</v>
      </c>
      <c r="S16" s="34" t="s">
        <v>47</v>
      </c>
      <c r="T16" s="11" t="s">
        <v>48</v>
      </c>
      <c r="U16" s="10"/>
      <c r="V16" s="10"/>
      <c r="W16" s="10"/>
      <c r="X16" s="10"/>
      <c r="Y16" s="10"/>
      <c r="Z16" s="10"/>
      <c r="AB16" s="8" t="s">
        <v>18</v>
      </c>
    </row>
    <row r="17" spans="3:28" x14ac:dyDescent="0.25">
      <c r="C17" s="29" t="s">
        <v>49</v>
      </c>
      <c r="D17" s="30"/>
      <c r="E17" s="31">
        <v>1200</v>
      </c>
      <c r="F17" s="32"/>
      <c r="G17" s="33">
        <v>0.54</v>
      </c>
      <c r="H17" s="10"/>
      <c r="I17" s="10"/>
      <c r="J17" s="10"/>
      <c r="K17" s="10"/>
      <c r="L17" s="10"/>
      <c r="M17" s="12"/>
      <c r="N17" s="8" t="s">
        <v>18</v>
      </c>
      <c r="O17" s="10"/>
      <c r="P17" s="10"/>
      <c r="Q17" s="11" t="s">
        <v>32</v>
      </c>
      <c r="R17" s="35">
        <f>V11</f>
        <v>1298</v>
      </c>
      <c r="S17" s="34" t="s">
        <v>47</v>
      </c>
      <c r="T17" s="11">
        <f>F10</f>
        <v>6000</v>
      </c>
      <c r="U17" s="10"/>
      <c r="V17" s="10"/>
      <c r="W17" s="10"/>
      <c r="X17" s="10"/>
      <c r="Y17" s="10"/>
      <c r="Z17" s="10"/>
      <c r="AB17" s="8" t="s">
        <v>18</v>
      </c>
    </row>
    <row r="18" spans="3:28" x14ac:dyDescent="0.25">
      <c r="C18" s="29" t="s">
        <v>50</v>
      </c>
      <c r="D18" s="30"/>
      <c r="E18" s="31">
        <v>600</v>
      </c>
      <c r="F18" s="32"/>
      <c r="G18" s="33">
        <v>1</v>
      </c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1" t="s">
        <v>32</v>
      </c>
      <c r="R18" s="36">
        <f>R17/T17</f>
        <v>0.21633333333333332</v>
      </c>
      <c r="S18" s="37" t="s">
        <v>51</v>
      </c>
      <c r="T18" s="10"/>
      <c r="U18" s="10"/>
      <c r="V18" s="10"/>
      <c r="W18" s="10"/>
      <c r="X18" s="10"/>
      <c r="Y18" s="10"/>
      <c r="Z18" s="10"/>
      <c r="AB18" s="8" t="s">
        <v>18</v>
      </c>
    </row>
    <row r="19" spans="3:28" x14ac:dyDescent="0.25">
      <c r="C19" s="29" t="s">
        <v>52</v>
      </c>
      <c r="D19" s="30"/>
      <c r="E19" s="31">
        <v>300</v>
      </c>
      <c r="F19" s="32"/>
      <c r="G19" s="33">
        <v>0</v>
      </c>
      <c r="H19" s="10"/>
      <c r="I19" s="10"/>
      <c r="J19" s="10"/>
      <c r="K19" s="10"/>
      <c r="L19" s="10"/>
      <c r="M19" s="12"/>
      <c r="N19" s="8" t="s">
        <v>18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B19" s="8" t="s">
        <v>18</v>
      </c>
    </row>
    <row r="20" spans="3:28" x14ac:dyDescent="0.25">
      <c r="C20" s="38" t="s">
        <v>53</v>
      </c>
      <c r="D20" s="39"/>
      <c r="E20" s="40">
        <v>50</v>
      </c>
      <c r="F20" s="41"/>
      <c r="G20" s="42">
        <v>1</v>
      </c>
      <c r="H20" s="10"/>
      <c r="I20" s="10"/>
      <c r="J20" s="10"/>
      <c r="K20" s="10"/>
      <c r="L20" s="10"/>
      <c r="M20" s="12"/>
      <c r="N20" s="8" t="s">
        <v>18</v>
      </c>
      <c r="O20" s="25" t="s">
        <v>54</v>
      </c>
      <c r="P20" s="10" t="s">
        <v>55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B20" s="8" t="s">
        <v>18</v>
      </c>
    </row>
    <row r="21" spans="3:28" x14ac:dyDescent="0.25">
      <c r="C21" s="43" t="s">
        <v>56</v>
      </c>
      <c r="D21" s="44"/>
      <c r="E21" s="45">
        <v>3650</v>
      </c>
      <c r="F21" s="46"/>
      <c r="G21" s="44"/>
      <c r="H21" s="10"/>
      <c r="I21" s="10"/>
      <c r="J21" s="10"/>
      <c r="K21" s="10"/>
      <c r="L21" s="10"/>
      <c r="M21" s="12"/>
      <c r="N21" s="8" t="s">
        <v>18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B21" s="8" t="s">
        <v>18</v>
      </c>
    </row>
    <row r="22" spans="3:28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 t="s">
        <v>57</v>
      </c>
      <c r="Q22" s="11" t="s">
        <v>32</v>
      </c>
      <c r="R22" s="11" t="s">
        <v>26</v>
      </c>
      <c r="S22" s="34" t="s">
        <v>47</v>
      </c>
      <c r="T22" s="11" t="s">
        <v>48</v>
      </c>
      <c r="U22" s="11" t="s">
        <v>32</v>
      </c>
      <c r="V22" s="11">
        <f>R11</f>
        <v>3650</v>
      </c>
      <c r="W22" s="34" t="s">
        <v>47</v>
      </c>
      <c r="X22" s="11">
        <f>F10</f>
        <v>6000</v>
      </c>
      <c r="Y22" s="11" t="s">
        <v>32</v>
      </c>
      <c r="Z22" s="47">
        <f>V22/X22</f>
        <v>0.60833333333333328</v>
      </c>
      <c r="AB22" s="8" t="s">
        <v>18</v>
      </c>
    </row>
    <row r="23" spans="3:2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 t="s">
        <v>58</v>
      </c>
      <c r="Q23" s="11" t="s">
        <v>32</v>
      </c>
      <c r="R23" s="11" t="s">
        <v>57</v>
      </c>
      <c r="S23" s="34" t="s">
        <v>59</v>
      </c>
      <c r="T23" s="11" t="s">
        <v>60</v>
      </c>
      <c r="U23" s="11" t="s">
        <v>32</v>
      </c>
      <c r="V23" s="47">
        <f>Z22</f>
        <v>0.60833333333333328</v>
      </c>
      <c r="W23" s="34" t="s">
        <v>59</v>
      </c>
      <c r="X23" s="47">
        <f>F11</f>
        <v>0.04</v>
      </c>
      <c r="Y23" s="11" t="s">
        <v>32</v>
      </c>
      <c r="Z23" s="47">
        <f>V23+X23</f>
        <v>0.64833333333333332</v>
      </c>
      <c r="AB23" s="8" t="s">
        <v>18</v>
      </c>
    </row>
    <row r="24" spans="3:2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 t="s">
        <v>61</v>
      </c>
      <c r="Q24" s="11" t="s">
        <v>32</v>
      </c>
      <c r="R24" s="11" t="s">
        <v>58</v>
      </c>
      <c r="S24" s="34" t="s">
        <v>62</v>
      </c>
      <c r="T24" s="11" t="s">
        <v>46</v>
      </c>
      <c r="U24" s="11" t="s">
        <v>32</v>
      </c>
      <c r="V24" s="47">
        <f>Z23</f>
        <v>0.64833333333333332</v>
      </c>
      <c r="W24" s="34" t="s">
        <v>62</v>
      </c>
      <c r="X24" s="47">
        <f>R18</f>
        <v>0.21633333333333332</v>
      </c>
      <c r="Y24" s="11" t="s">
        <v>32</v>
      </c>
      <c r="Z24" s="47">
        <f>V24-X24</f>
        <v>0.432</v>
      </c>
      <c r="AB24" s="8" t="s">
        <v>18</v>
      </c>
    </row>
    <row r="25" spans="3:2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B25" s="8" t="s">
        <v>18</v>
      </c>
    </row>
    <row r="26" spans="3:28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B26" s="8" t="s">
        <v>18</v>
      </c>
    </row>
    <row r="27" spans="3:28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48" t="s">
        <v>63</v>
      </c>
      <c r="P27" s="10" t="s">
        <v>64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B27" s="8" t="s">
        <v>18</v>
      </c>
    </row>
    <row r="28" spans="3:28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B28" s="8" t="s">
        <v>18</v>
      </c>
    </row>
    <row r="29" spans="3:28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2" t="s">
        <v>65</v>
      </c>
      <c r="Q29" s="11" t="s">
        <v>32</v>
      </c>
      <c r="R29" s="11" t="s">
        <v>66</v>
      </c>
      <c r="S29" s="34" t="s">
        <v>47</v>
      </c>
      <c r="T29" s="11" t="s">
        <v>67</v>
      </c>
      <c r="U29" s="11" t="s">
        <v>32</v>
      </c>
      <c r="V29" s="34">
        <f>F12</f>
        <v>300</v>
      </c>
      <c r="W29" s="34" t="s">
        <v>47</v>
      </c>
      <c r="X29" s="47">
        <f>1-Z23</f>
        <v>0.35166666666666668</v>
      </c>
      <c r="Y29" s="11" t="s">
        <v>32</v>
      </c>
      <c r="Z29" s="49">
        <f>V29/X29</f>
        <v>853.08056872037912</v>
      </c>
      <c r="AB29" s="8" t="s">
        <v>18</v>
      </c>
    </row>
    <row r="30" spans="3:28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50" t="s">
        <v>68</v>
      </c>
      <c r="Q30" s="11" t="s">
        <v>32</v>
      </c>
      <c r="R30" s="51" t="s">
        <v>65</v>
      </c>
      <c r="S30" s="11" t="s">
        <v>31</v>
      </c>
      <c r="T30" s="11" t="s">
        <v>46</v>
      </c>
      <c r="U30" s="11" t="s">
        <v>32</v>
      </c>
      <c r="V30" s="52">
        <f>Z29</f>
        <v>853.08056872037912</v>
      </c>
      <c r="W30" s="11" t="s">
        <v>31</v>
      </c>
      <c r="X30" s="47">
        <f>R18</f>
        <v>0.21633333333333332</v>
      </c>
      <c r="Y30" s="11" t="s">
        <v>32</v>
      </c>
      <c r="Z30" s="49">
        <f>V30*X30</f>
        <v>184.54976303317534</v>
      </c>
      <c r="AB30" s="8" t="s">
        <v>18</v>
      </c>
    </row>
    <row r="31" spans="3:28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B31" s="8" t="s">
        <v>18</v>
      </c>
    </row>
    <row r="32" spans="3:28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48" t="s">
        <v>69</v>
      </c>
      <c r="P32" s="10" t="s">
        <v>70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B32" s="8" t="s">
        <v>18</v>
      </c>
    </row>
    <row r="33" spans="1:28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B33" s="8" t="s">
        <v>18</v>
      </c>
    </row>
    <row r="34" spans="1:28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 t="s">
        <v>71</v>
      </c>
      <c r="Q34" s="11" t="s">
        <v>32</v>
      </c>
      <c r="R34" s="11" t="s">
        <v>72</v>
      </c>
      <c r="S34" s="34" t="s">
        <v>47</v>
      </c>
      <c r="T34" s="11" t="s">
        <v>73</v>
      </c>
      <c r="AB34" s="8" t="s">
        <v>18</v>
      </c>
    </row>
    <row r="35" spans="1:28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11" t="s">
        <v>32</v>
      </c>
      <c r="R35" s="53">
        <f>Z30</f>
        <v>184.54976303317534</v>
      </c>
      <c r="S35" s="34" t="s">
        <v>47</v>
      </c>
      <c r="T35" s="47">
        <f>1-Z24</f>
        <v>0.56800000000000006</v>
      </c>
      <c r="W35" s="10"/>
      <c r="X35" s="10"/>
      <c r="Y35" s="10"/>
      <c r="Z35" s="10"/>
      <c r="AB35" s="8" t="s">
        <v>18</v>
      </c>
    </row>
    <row r="36" spans="1:28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1" t="s">
        <v>32</v>
      </c>
      <c r="R36" s="54">
        <f>R35/T35</f>
        <v>324.91155463587205</v>
      </c>
      <c r="S36" s="37" t="s">
        <v>74</v>
      </c>
      <c r="T36" s="10"/>
      <c r="U36" s="10"/>
      <c r="V36" s="10"/>
      <c r="W36" s="10"/>
      <c r="X36" s="10"/>
      <c r="Y36" s="10"/>
      <c r="Z36" s="10"/>
      <c r="AB36" s="8" t="s">
        <v>18</v>
      </c>
    </row>
    <row r="37" spans="1:28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B37" s="8" t="s">
        <v>18</v>
      </c>
    </row>
    <row r="38" spans="1:28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B38" s="8" t="s">
        <v>18</v>
      </c>
    </row>
    <row r="39" spans="1: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55" t="s">
        <v>75</v>
      </c>
      <c r="Q39" s="56" t="s">
        <v>76</v>
      </c>
      <c r="R39" s="10"/>
      <c r="S39" s="10"/>
      <c r="T39" s="10"/>
      <c r="U39" s="10"/>
      <c r="V39" s="10"/>
      <c r="W39" s="10"/>
      <c r="X39" s="10"/>
      <c r="Y39" s="10"/>
      <c r="Z39" s="10"/>
      <c r="AB39" s="8" t="s">
        <v>18</v>
      </c>
    </row>
    <row r="40" spans="1:28" x14ac:dyDescent="0.25">
      <c r="N40" s="8" t="s">
        <v>18</v>
      </c>
      <c r="O40" s="10"/>
      <c r="P40" s="55"/>
      <c r="Q40" s="10"/>
      <c r="R40" s="10"/>
      <c r="S40" s="10"/>
      <c r="T40" s="10"/>
      <c r="U40" s="10"/>
      <c r="V40" s="10"/>
      <c r="W40" s="10"/>
      <c r="X40" s="10"/>
      <c r="Y40" s="10"/>
      <c r="Z40" s="10"/>
      <c r="AB40" s="8" t="s">
        <v>18</v>
      </c>
    </row>
    <row r="41" spans="1:28" x14ac:dyDescent="0.25">
      <c r="N41" s="8" t="s">
        <v>18</v>
      </c>
      <c r="O41" s="10"/>
      <c r="P41" s="55" t="s">
        <v>77</v>
      </c>
      <c r="Q41" s="56" t="s">
        <v>78</v>
      </c>
      <c r="R41" s="10"/>
      <c r="S41" s="10"/>
      <c r="T41" s="10"/>
      <c r="U41" s="10"/>
      <c r="V41" s="10"/>
      <c r="W41" s="10"/>
      <c r="X41" s="10"/>
      <c r="Y41" s="10"/>
      <c r="Z41" s="10"/>
      <c r="AB41" s="8" t="s">
        <v>18</v>
      </c>
    </row>
    <row r="42" spans="1:28" x14ac:dyDescent="0.25">
      <c r="N42" s="8" t="s">
        <v>18</v>
      </c>
      <c r="O42" s="10"/>
      <c r="P42" s="10"/>
      <c r="Q42" s="56" t="s">
        <v>79</v>
      </c>
      <c r="R42" s="10"/>
      <c r="S42" s="10"/>
      <c r="T42" s="10"/>
      <c r="U42" s="10"/>
      <c r="V42" s="10"/>
      <c r="W42" s="10"/>
      <c r="X42" s="10"/>
      <c r="Y42" s="10"/>
      <c r="Z42" s="10"/>
      <c r="AB42" s="8" t="s">
        <v>18</v>
      </c>
    </row>
    <row r="43" spans="1:28" x14ac:dyDescent="0.25">
      <c r="N43" s="8" t="s">
        <v>18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B43" s="8" t="s">
        <v>18</v>
      </c>
    </row>
    <row r="44" spans="1:28" x14ac:dyDescent="0.25">
      <c r="N44" s="8" t="s">
        <v>18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B44" s="8" t="s">
        <v>18</v>
      </c>
    </row>
    <row r="45" spans="1:28" x14ac:dyDescent="0.25">
      <c r="N45" s="8" t="s">
        <v>18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B45" s="8" t="s">
        <v>18</v>
      </c>
    </row>
    <row r="46" spans="1:28" x14ac:dyDescent="0.25">
      <c r="N46" s="8" t="s">
        <v>18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B46" s="8" t="s">
        <v>18</v>
      </c>
    </row>
    <row r="47" spans="1:28" x14ac:dyDescent="0.25">
      <c r="N47" s="8" t="s">
        <v>18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B47" s="8" t="s">
        <v>18</v>
      </c>
    </row>
    <row r="48" spans="1:28" x14ac:dyDescent="0.25">
      <c r="N48" s="8" t="s">
        <v>18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B48" s="8" t="s">
        <v>18</v>
      </c>
    </row>
    <row r="49" spans="14:28" x14ac:dyDescent="0.25">
      <c r="N49" s="8" t="s">
        <v>18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B49" s="8" t="s">
        <v>18</v>
      </c>
    </row>
    <row r="50" spans="14:28" x14ac:dyDescent="0.25">
      <c r="N50" s="8" t="s">
        <v>18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B50" s="8" t="s">
        <v>18</v>
      </c>
    </row>
    <row r="51" spans="14:28" x14ac:dyDescent="0.25">
      <c r="N51" s="8" t="s">
        <v>18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B51" s="8" t="s">
        <v>18</v>
      </c>
    </row>
    <row r="52" spans="14:28" x14ac:dyDescent="0.25">
      <c r="N52" s="8" t="s">
        <v>18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B52" s="8" t="s">
        <v>18</v>
      </c>
    </row>
    <row r="53" spans="14:28" x14ac:dyDescent="0.25">
      <c r="N53" s="8" t="s">
        <v>18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B53" s="8" t="s">
        <v>18</v>
      </c>
    </row>
    <row r="54" spans="14:28" x14ac:dyDescent="0.25">
      <c r="N54" s="8" t="s">
        <v>18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B54" s="8" t="s">
        <v>18</v>
      </c>
    </row>
    <row r="55" spans="14:28" x14ac:dyDescent="0.25">
      <c r="N55" s="8" t="s">
        <v>18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B55" s="8" t="s">
        <v>18</v>
      </c>
    </row>
    <row r="56" spans="14:28" x14ac:dyDescent="0.25">
      <c r="N56" s="8" t="s">
        <v>18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B56" s="8" t="s">
        <v>18</v>
      </c>
    </row>
    <row r="57" spans="14:28" x14ac:dyDescent="0.25">
      <c r="N57" s="8" t="s">
        <v>18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B57" s="8" t="s">
        <v>18</v>
      </c>
    </row>
    <row r="58" spans="14:28" x14ac:dyDescent="0.25">
      <c r="N58" s="8" t="s">
        <v>18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B58" s="8" t="s">
        <v>18</v>
      </c>
    </row>
    <row r="59" spans="14:28" x14ac:dyDescent="0.25">
      <c r="N59" s="8" t="s">
        <v>18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8" width="9.140625" style="6" customWidth="1"/>
    <col min="9" max="9" width="9.140625" style="6"/>
    <col min="10" max="21" width="9.140625" style="6" customWidth="1"/>
    <col min="22" max="22" width="10.7109375" style="6" customWidth="1"/>
    <col min="23" max="26" width="8.7109375" style="6" customWidth="1"/>
    <col min="27" max="27" width="9.140625" style="6" customWidth="1"/>
    <col min="28" max="16384" width="9.140625" style="6"/>
  </cols>
  <sheetData>
    <row r="1" spans="1:28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B1" s="8" t="s">
        <v>18</v>
      </c>
    </row>
    <row r="2" spans="1:28" x14ac:dyDescent="0.25">
      <c r="A2" s="5" t="s">
        <v>19</v>
      </c>
      <c r="C2" s="6" t="s">
        <v>80</v>
      </c>
      <c r="N2" s="8" t="s">
        <v>18</v>
      </c>
      <c r="AB2" s="8" t="s">
        <v>18</v>
      </c>
    </row>
    <row r="3" spans="1:28" x14ac:dyDescent="0.25">
      <c r="A3" s="5" t="s">
        <v>21</v>
      </c>
      <c r="C3" s="6" t="s">
        <v>6</v>
      </c>
      <c r="N3" s="8" t="s">
        <v>18</v>
      </c>
      <c r="O3" s="58" t="s">
        <v>81</v>
      </c>
      <c r="P3" s="58"/>
      <c r="Q3" s="6" t="s">
        <v>82</v>
      </c>
      <c r="AB3" s="8" t="s">
        <v>18</v>
      </c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B4" s="8" t="s">
        <v>18</v>
      </c>
    </row>
    <row r="5" spans="1:28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0.06</v>
      </c>
      <c r="K5" s="10"/>
      <c r="L5" s="10"/>
      <c r="M5" s="12"/>
      <c r="N5" s="8" t="s">
        <v>18</v>
      </c>
      <c r="P5" s="60" t="s">
        <v>84</v>
      </c>
      <c r="Q5" s="61"/>
      <c r="R5" s="44"/>
      <c r="S5" s="62" t="s">
        <v>85</v>
      </c>
      <c r="T5" s="63" t="s">
        <v>86</v>
      </c>
      <c r="U5" s="10"/>
      <c r="V5" s="60" t="s">
        <v>87</v>
      </c>
      <c r="W5" s="61"/>
      <c r="X5" s="44"/>
      <c r="Y5" s="62" t="s">
        <v>85</v>
      </c>
      <c r="Z5" s="63" t="s">
        <v>86</v>
      </c>
      <c r="AA5" s="10"/>
      <c r="AB5" s="8" t="s">
        <v>18</v>
      </c>
    </row>
    <row r="6" spans="1:2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88</v>
      </c>
      <c r="Q6" s="64"/>
      <c r="R6" s="30"/>
      <c r="S6" s="65">
        <f>F12</f>
        <v>0.6</v>
      </c>
      <c r="T6" s="66">
        <f>G12/G13</f>
        <v>0.68421052631578949</v>
      </c>
      <c r="U6" s="10"/>
      <c r="V6" s="29" t="s">
        <v>89</v>
      </c>
      <c r="W6" s="64"/>
      <c r="X6" s="30"/>
      <c r="Y6" s="65">
        <f>L12</f>
        <v>0.75</v>
      </c>
      <c r="Z6" s="66">
        <f>M12/M13</f>
        <v>1</v>
      </c>
      <c r="AA6" s="10"/>
      <c r="AB6" s="8" t="s">
        <v>18</v>
      </c>
    </row>
    <row r="7" spans="1:28" x14ac:dyDescent="0.25">
      <c r="A7" s="13" t="s">
        <v>35</v>
      </c>
      <c r="B7" s="12"/>
      <c r="C7" s="10" t="s">
        <v>90</v>
      </c>
      <c r="D7" s="10"/>
      <c r="E7" s="67">
        <v>795</v>
      </c>
      <c r="F7" s="10"/>
      <c r="G7" s="10"/>
      <c r="H7" s="10"/>
      <c r="I7" s="10"/>
      <c r="J7" s="10"/>
      <c r="K7" s="12"/>
      <c r="L7" s="12"/>
      <c r="M7" s="12"/>
      <c r="N7" s="8" t="s">
        <v>18</v>
      </c>
      <c r="P7" s="38" t="s">
        <v>91</v>
      </c>
      <c r="Q7" s="68"/>
      <c r="R7" s="39"/>
      <c r="S7" s="69">
        <f>F13</f>
        <v>1</v>
      </c>
      <c r="T7" s="70">
        <f>G13/G13</f>
        <v>1</v>
      </c>
      <c r="U7" s="10"/>
      <c r="V7" s="38" t="s">
        <v>92</v>
      </c>
      <c r="W7" s="68"/>
      <c r="X7" s="39"/>
      <c r="Y7" s="69">
        <f>L13</f>
        <v>1</v>
      </c>
      <c r="Z7" s="70">
        <f>M13/M13</f>
        <v>1</v>
      </c>
      <c r="AA7" s="10"/>
      <c r="AB7" s="8" t="s">
        <v>18</v>
      </c>
    </row>
    <row r="8" spans="1:28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/>
      <c r="Q8" s="10"/>
      <c r="R8" s="10"/>
      <c r="S8" s="10"/>
      <c r="T8" s="71" t="s">
        <v>93</v>
      </c>
      <c r="U8" s="10"/>
      <c r="V8" s="10"/>
      <c r="W8" s="10"/>
      <c r="X8" s="10"/>
      <c r="Y8" s="10"/>
      <c r="Z8" s="71" t="s">
        <v>93</v>
      </c>
      <c r="AA8" s="10"/>
      <c r="AB8" s="8" t="s">
        <v>18</v>
      </c>
    </row>
    <row r="9" spans="1:28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8" t="s">
        <v>18</v>
      </c>
    </row>
    <row r="10" spans="1:28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  <c r="O10" s="16" t="s">
        <v>22</v>
      </c>
      <c r="P10" s="10" t="s">
        <v>95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8" t="s">
        <v>18</v>
      </c>
    </row>
    <row r="11" spans="1:28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0"/>
      <c r="I11" s="60" t="s">
        <v>87</v>
      </c>
      <c r="J11" s="61"/>
      <c r="K11" s="44"/>
      <c r="L11" s="62" t="s">
        <v>85</v>
      </c>
      <c r="M11" s="63" t="s">
        <v>86</v>
      </c>
      <c r="N11" s="8" t="s">
        <v>18</v>
      </c>
      <c r="O11" s="10"/>
      <c r="P11" s="10" t="s">
        <v>96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8" t="s">
        <v>18</v>
      </c>
    </row>
    <row r="12" spans="1:28" x14ac:dyDescent="0.25">
      <c r="A12" s="12"/>
      <c r="B12" s="12"/>
      <c r="C12" s="29" t="s">
        <v>88</v>
      </c>
      <c r="D12" s="64"/>
      <c r="E12" s="30"/>
      <c r="F12" s="72">
        <v>0.6</v>
      </c>
      <c r="G12" s="73">
        <v>0.65</v>
      </c>
      <c r="H12" s="10"/>
      <c r="I12" s="29" t="s">
        <v>89</v>
      </c>
      <c r="J12" s="64"/>
      <c r="K12" s="30"/>
      <c r="L12" s="72">
        <v>0.75</v>
      </c>
      <c r="M12" s="73">
        <v>0.85</v>
      </c>
      <c r="N12" s="8" t="s">
        <v>18</v>
      </c>
      <c r="AB12" s="8" t="s">
        <v>18</v>
      </c>
    </row>
    <row r="13" spans="1:28" x14ac:dyDescent="0.25">
      <c r="A13" s="12"/>
      <c r="B13" s="12"/>
      <c r="C13" s="38" t="s">
        <v>91</v>
      </c>
      <c r="D13" s="68"/>
      <c r="E13" s="39"/>
      <c r="F13" s="74">
        <v>1</v>
      </c>
      <c r="G13" s="75">
        <v>0.95</v>
      </c>
      <c r="H13" s="10"/>
      <c r="I13" s="38" t="s">
        <v>92</v>
      </c>
      <c r="J13" s="68"/>
      <c r="K13" s="39"/>
      <c r="L13" s="74">
        <v>1</v>
      </c>
      <c r="M13" s="75">
        <v>0.85</v>
      </c>
      <c r="N13" s="8" t="s">
        <v>18</v>
      </c>
      <c r="O13" s="10"/>
      <c r="P13" s="76"/>
      <c r="Q13" s="77"/>
      <c r="R13" s="20" t="s">
        <v>85</v>
      </c>
      <c r="S13" s="20" t="s">
        <v>85</v>
      </c>
      <c r="T13" s="20" t="s">
        <v>85</v>
      </c>
      <c r="U13" s="77" t="s">
        <v>97</v>
      </c>
      <c r="V13" s="78" t="s">
        <v>85</v>
      </c>
      <c r="W13" s="11"/>
      <c r="X13" s="11"/>
      <c r="Y13" s="11"/>
      <c r="Z13" s="11"/>
      <c r="AA13" s="11"/>
      <c r="AB13" s="8" t="s">
        <v>18</v>
      </c>
    </row>
    <row r="14" spans="1: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8" t="s">
        <v>18</v>
      </c>
      <c r="O14" s="10"/>
      <c r="P14" s="79" t="s">
        <v>98</v>
      </c>
      <c r="Q14" s="28" t="s">
        <v>99</v>
      </c>
      <c r="R14" s="14" t="s">
        <v>100</v>
      </c>
      <c r="S14" s="14" t="s">
        <v>101</v>
      </c>
      <c r="T14" s="14" t="s">
        <v>102</v>
      </c>
      <c r="U14" s="80" t="s">
        <v>103</v>
      </c>
      <c r="V14" s="80" t="s">
        <v>104</v>
      </c>
      <c r="W14" s="11"/>
      <c r="X14" s="11"/>
      <c r="Y14" s="11"/>
      <c r="Z14" s="11"/>
      <c r="AA14" s="11"/>
      <c r="AB14" s="8" t="s">
        <v>18</v>
      </c>
    </row>
    <row r="15" spans="1:28" x14ac:dyDescent="0.25">
      <c r="C15" s="13" t="s">
        <v>105</v>
      </c>
      <c r="D15" s="10"/>
      <c r="E15" s="10"/>
      <c r="F15" s="10"/>
      <c r="G15" s="10"/>
      <c r="H15" s="10"/>
      <c r="I15" s="13" t="s">
        <v>106</v>
      </c>
      <c r="J15" s="10"/>
      <c r="K15" s="10"/>
      <c r="L15" s="10"/>
      <c r="M15" s="12"/>
      <c r="N15" s="8" t="s">
        <v>18</v>
      </c>
      <c r="O15" s="10"/>
      <c r="P15" s="81" t="s">
        <v>107</v>
      </c>
      <c r="Q15" s="82">
        <v>1</v>
      </c>
      <c r="R15" s="83">
        <f>F12</f>
        <v>0.6</v>
      </c>
      <c r="S15" s="83">
        <f>L12</f>
        <v>0.75</v>
      </c>
      <c r="T15" s="84">
        <f>L18</f>
        <v>0</v>
      </c>
      <c r="U15" s="82">
        <f>F18</f>
        <v>1000</v>
      </c>
      <c r="V15" s="30">
        <f>(E7*R15*S15+T15)*U15</f>
        <v>357750</v>
      </c>
      <c r="W15" s="10" t="s">
        <v>108</v>
      </c>
      <c r="X15" s="10"/>
      <c r="Y15" s="10"/>
      <c r="Z15" s="10"/>
      <c r="AA15" s="10"/>
      <c r="AB15" s="8" t="s">
        <v>18</v>
      </c>
    </row>
    <row r="16" spans="1:28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81" t="s">
        <v>109</v>
      </c>
      <c r="Q16" s="82">
        <v>1</v>
      </c>
      <c r="R16" s="83">
        <f>F13</f>
        <v>1</v>
      </c>
      <c r="S16" s="83">
        <f>S15</f>
        <v>0.75</v>
      </c>
      <c r="T16" s="84">
        <f>T15</f>
        <v>0</v>
      </c>
      <c r="U16" s="82">
        <f>F19</f>
        <v>1100</v>
      </c>
      <c r="V16" s="30">
        <f>(E7*R16*S16+T16)*U16</f>
        <v>655875</v>
      </c>
      <c r="W16" s="10"/>
      <c r="X16" s="10"/>
      <c r="Y16" s="10"/>
      <c r="Z16" s="10"/>
      <c r="AA16" s="10"/>
      <c r="AB16" s="8" t="s">
        <v>18</v>
      </c>
    </row>
    <row r="17" spans="3:28" x14ac:dyDescent="0.25">
      <c r="C17" s="60" t="s">
        <v>84</v>
      </c>
      <c r="D17" s="61"/>
      <c r="E17" s="44"/>
      <c r="F17" s="62" t="s">
        <v>110</v>
      </c>
      <c r="G17" s="63" t="s">
        <v>111</v>
      </c>
      <c r="H17" s="10"/>
      <c r="I17" s="60"/>
      <c r="J17" s="61"/>
      <c r="K17" s="44"/>
      <c r="L17" s="62" t="s">
        <v>85</v>
      </c>
      <c r="M17" s="63" t="s">
        <v>86</v>
      </c>
      <c r="N17" s="8" t="s">
        <v>18</v>
      </c>
      <c r="O17" s="10"/>
      <c r="P17" s="81" t="s">
        <v>107</v>
      </c>
      <c r="Q17" s="82">
        <v>2</v>
      </c>
      <c r="R17" s="83">
        <f>R15</f>
        <v>0.6</v>
      </c>
      <c r="S17" s="83">
        <f>L13</f>
        <v>1</v>
      </c>
      <c r="T17" s="84">
        <f>T15</f>
        <v>0</v>
      </c>
      <c r="U17" s="82">
        <f>G18</f>
        <v>4600</v>
      </c>
      <c r="V17" s="30">
        <f>(E7*R17*S17+T17)*U17</f>
        <v>2194200</v>
      </c>
      <c r="W17" s="10"/>
      <c r="X17" s="10"/>
      <c r="Y17" s="10"/>
      <c r="Z17" s="10"/>
      <c r="AA17" s="10"/>
      <c r="AB17" s="8" t="s">
        <v>18</v>
      </c>
    </row>
    <row r="18" spans="3:28" x14ac:dyDescent="0.25">
      <c r="C18" s="29" t="s">
        <v>88</v>
      </c>
      <c r="D18" s="64"/>
      <c r="E18" s="30"/>
      <c r="F18" s="85">
        <v>1000</v>
      </c>
      <c r="G18" s="86">
        <v>4600</v>
      </c>
      <c r="H18" s="10"/>
      <c r="I18" s="38" t="s">
        <v>106</v>
      </c>
      <c r="J18" s="68"/>
      <c r="K18" s="39"/>
      <c r="L18" s="87">
        <v>0</v>
      </c>
      <c r="M18" s="88">
        <v>5</v>
      </c>
      <c r="N18" s="8" t="s">
        <v>18</v>
      </c>
      <c r="O18" s="10"/>
      <c r="P18" s="79" t="s">
        <v>109</v>
      </c>
      <c r="Q18" s="28">
        <v>2</v>
      </c>
      <c r="R18" s="89">
        <f>R16</f>
        <v>1</v>
      </c>
      <c r="S18" s="89">
        <f>S17</f>
        <v>1</v>
      </c>
      <c r="T18" s="14">
        <f>T15</f>
        <v>0</v>
      </c>
      <c r="U18" s="28">
        <f>G19</f>
        <v>3600</v>
      </c>
      <c r="V18" s="39">
        <f>(E7*R18*S18+T18)*U18</f>
        <v>2862000</v>
      </c>
      <c r="W18" s="10"/>
      <c r="X18" s="10"/>
      <c r="Y18" s="10"/>
      <c r="Z18" s="10"/>
      <c r="AA18" s="10"/>
      <c r="AB18" s="8" t="s">
        <v>18</v>
      </c>
    </row>
    <row r="19" spans="3:28" x14ac:dyDescent="0.25">
      <c r="C19" s="38" t="s">
        <v>91</v>
      </c>
      <c r="D19" s="68"/>
      <c r="E19" s="39"/>
      <c r="F19" s="87">
        <v>1100</v>
      </c>
      <c r="G19" s="88">
        <v>3600</v>
      </c>
      <c r="H19" s="10"/>
      <c r="I19" s="10"/>
      <c r="J19" s="10"/>
      <c r="K19" s="10"/>
      <c r="L19" s="10"/>
      <c r="M19" s="10"/>
      <c r="N19" s="8" t="s">
        <v>18</v>
      </c>
      <c r="O19" s="10"/>
      <c r="P19" s="38"/>
      <c r="Q19" s="39"/>
      <c r="R19" s="68"/>
      <c r="S19" s="68"/>
      <c r="T19" s="90"/>
      <c r="U19" s="28">
        <f>SUM(U15:U18)</f>
        <v>10300</v>
      </c>
      <c r="V19" s="28">
        <f>SUM(V15:V18)</f>
        <v>6069825</v>
      </c>
      <c r="W19" s="91" t="s">
        <v>112</v>
      </c>
      <c r="X19" s="50" t="s">
        <v>113</v>
      </c>
      <c r="Y19" s="92"/>
      <c r="Z19" s="11" t="s">
        <v>32</v>
      </c>
      <c r="AA19" s="93">
        <f>V19/U19</f>
        <v>589.30339805825247</v>
      </c>
      <c r="AB19" s="8" t="s">
        <v>18</v>
      </c>
    </row>
    <row r="20" spans="3:28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8" t="s">
        <v>18</v>
      </c>
    </row>
    <row r="21" spans="3:28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10" t="s">
        <v>114</v>
      </c>
      <c r="Q21" s="10"/>
      <c r="R21" s="10"/>
      <c r="S21" s="11" t="s">
        <v>32</v>
      </c>
      <c r="T21" s="93">
        <f>AA19</f>
        <v>589.30339805825247</v>
      </c>
      <c r="U21" s="11" t="s">
        <v>31</v>
      </c>
      <c r="V21" s="52">
        <f>1+J5</f>
        <v>1.06</v>
      </c>
      <c r="W21" s="94" t="s">
        <v>115</v>
      </c>
      <c r="X21" s="95" t="s">
        <v>116</v>
      </c>
      <c r="Y21" s="96">
        <f>J5</f>
        <v>0.06</v>
      </c>
      <c r="Z21" s="97" t="s">
        <v>117</v>
      </c>
      <c r="AA21" s="10"/>
      <c r="AB21" s="8" t="s">
        <v>18</v>
      </c>
    </row>
    <row r="22" spans="3:28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/>
      <c r="Q22" s="10"/>
      <c r="R22" s="10"/>
      <c r="S22" s="11" t="s">
        <v>32</v>
      </c>
      <c r="T22" s="52">
        <f>T21*V21</f>
        <v>624.66160194174768</v>
      </c>
      <c r="U22" s="71"/>
      <c r="V22" s="10"/>
      <c r="X22" s="10"/>
      <c r="Y22" s="10"/>
      <c r="Z22" s="10"/>
      <c r="AA22" s="10"/>
      <c r="AB22" s="8" t="s">
        <v>18</v>
      </c>
    </row>
    <row r="23" spans="3:2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8" t="s">
        <v>18</v>
      </c>
    </row>
    <row r="24" spans="3:2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98" t="s">
        <v>118</v>
      </c>
      <c r="P24" s="10" t="s">
        <v>119</v>
      </c>
      <c r="Q24" s="10"/>
      <c r="R24" s="10"/>
      <c r="S24" s="10"/>
      <c r="T24" s="10"/>
      <c r="V24" s="10"/>
      <c r="W24" s="10"/>
      <c r="X24" s="10"/>
      <c r="Y24" s="10"/>
      <c r="Z24" s="10"/>
      <c r="AA24" s="10"/>
      <c r="AB24" s="8" t="s">
        <v>18</v>
      </c>
    </row>
    <row r="25" spans="3:2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10"/>
      <c r="P25" s="10"/>
      <c r="Q25" s="10"/>
      <c r="R25" s="10"/>
      <c r="S25" s="10"/>
      <c r="T25" s="10"/>
      <c r="V25" s="10"/>
      <c r="W25" s="10"/>
      <c r="X25" s="10"/>
      <c r="Y25" s="10"/>
      <c r="Z25" s="10"/>
      <c r="AA25" s="10"/>
      <c r="AB25" s="8" t="s">
        <v>18</v>
      </c>
    </row>
    <row r="26" spans="3:28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76"/>
      <c r="Q26" s="77"/>
      <c r="R26" s="99" t="s">
        <v>120</v>
      </c>
      <c r="S26" s="99" t="s">
        <v>120</v>
      </c>
      <c r="T26" s="99" t="s">
        <v>120</v>
      </c>
      <c r="U26" s="77" t="s">
        <v>97</v>
      </c>
      <c r="V26" s="100" t="s">
        <v>120</v>
      </c>
      <c r="W26" s="50"/>
      <c r="X26" s="92" t="s">
        <v>121</v>
      </c>
      <c r="Y26" s="11" t="s">
        <v>32</v>
      </c>
      <c r="Z26" s="11">
        <v>1000</v>
      </c>
      <c r="AA26" s="11"/>
      <c r="AB26" s="8" t="s">
        <v>18</v>
      </c>
    </row>
    <row r="27" spans="3:28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79" t="s">
        <v>98</v>
      </c>
      <c r="Q27" s="28" t="s">
        <v>99</v>
      </c>
      <c r="R27" s="14" t="s">
        <v>100</v>
      </c>
      <c r="S27" s="14" t="s">
        <v>101</v>
      </c>
      <c r="T27" s="14" t="s">
        <v>102</v>
      </c>
      <c r="U27" s="80" t="s">
        <v>103</v>
      </c>
      <c r="V27" s="80" t="s">
        <v>104</v>
      </c>
      <c r="W27" s="11"/>
      <c r="X27" s="11"/>
      <c r="Y27" s="11"/>
      <c r="Z27" s="11"/>
      <c r="AA27" s="11"/>
      <c r="AB27" s="8" t="s">
        <v>18</v>
      </c>
    </row>
    <row r="28" spans="3:28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81" t="s">
        <v>107</v>
      </c>
      <c r="Q28" s="82">
        <v>1</v>
      </c>
      <c r="R28" s="101">
        <f>T6</f>
        <v>0.68421052631578949</v>
      </c>
      <c r="S28" s="101">
        <f>Z6</f>
        <v>1</v>
      </c>
      <c r="T28" s="84">
        <f>M18</f>
        <v>5</v>
      </c>
      <c r="U28" s="82">
        <f>U15</f>
        <v>1000</v>
      </c>
      <c r="V28" s="30">
        <f>(Z26*R28*S28+T28)*U28</f>
        <v>689210.52631578944</v>
      </c>
      <c r="W28" s="10" t="s">
        <v>108</v>
      </c>
      <c r="X28" s="10"/>
      <c r="Y28" s="10"/>
      <c r="Z28" s="10"/>
      <c r="AA28" s="10"/>
      <c r="AB28" s="8" t="s">
        <v>18</v>
      </c>
    </row>
    <row r="29" spans="3:28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81" t="s">
        <v>109</v>
      </c>
      <c r="Q29" s="82">
        <v>1</v>
      </c>
      <c r="R29" s="101">
        <f>T7</f>
        <v>1</v>
      </c>
      <c r="S29" s="101">
        <f>S28</f>
        <v>1</v>
      </c>
      <c r="T29" s="84">
        <f>T28</f>
        <v>5</v>
      </c>
      <c r="U29" s="82">
        <f t="shared" ref="U29:U31" si="0">U16</f>
        <v>1100</v>
      </c>
      <c r="V29" s="30">
        <f>(Z26*R29*S29+T29)*U29</f>
        <v>1105500</v>
      </c>
      <c r="W29" s="10"/>
      <c r="X29" s="10"/>
      <c r="Y29" s="10"/>
      <c r="Z29" s="10"/>
      <c r="AA29" s="10"/>
      <c r="AB29" s="8" t="s">
        <v>18</v>
      </c>
    </row>
    <row r="30" spans="3:28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81" t="s">
        <v>107</v>
      </c>
      <c r="Q30" s="82">
        <v>2</v>
      </c>
      <c r="R30" s="101">
        <f>R28</f>
        <v>0.68421052631578949</v>
      </c>
      <c r="S30" s="101">
        <f>Z7</f>
        <v>1</v>
      </c>
      <c r="T30" s="84">
        <f>T28</f>
        <v>5</v>
      </c>
      <c r="U30" s="82">
        <f t="shared" si="0"/>
        <v>4600</v>
      </c>
      <c r="V30" s="30">
        <f>(Z26*R30*S30+T30)*U30</f>
        <v>3170368.4210526315</v>
      </c>
      <c r="W30" s="10"/>
      <c r="X30" s="10"/>
      <c r="Y30" s="10"/>
      <c r="Z30" s="10"/>
      <c r="AA30" s="10"/>
      <c r="AB30" s="8" t="s">
        <v>18</v>
      </c>
    </row>
    <row r="31" spans="3:28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79" t="s">
        <v>109</v>
      </c>
      <c r="Q31" s="28">
        <v>2</v>
      </c>
      <c r="R31" s="102">
        <f>R29</f>
        <v>1</v>
      </c>
      <c r="S31" s="102">
        <f>S30</f>
        <v>1</v>
      </c>
      <c r="T31" s="14">
        <f>T28</f>
        <v>5</v>
      </c>
      <c r="U31" s="28">
        <f t="shared" si="0"/>
        <v>3600</v>
      </c>
      <c r="V31" s="39">
        <f>(Z26*R31*S31+T31)*U31</f>
        <v>3618000</v>
      </c>
      <c r="W31" s="10"/>
      <c r="X31" s="10"/>
      <c r="Y31" s="10"/>
      <c r="Z31" s="10"/>
      <c r="AA31" s="10"/>
      <c r="AB31" s="8" t="s">
        <v>18</v>
      </c>
    </row>
    <row r="32" spans="3:28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38"/>
      <c r="Q32" s="39"/>
      <c r="R32" s="68"/>
      <c r="S32" s="68"/>
      <c r="T32" s="90"/>
      <c r="U32" s="28">
        <f>SUM(U28:U31)</f>
        <v>10300</v>
      </c>
      <c r="V32" s="28">
        <f>SUM(V28:V31)</f>
        <v>8583078.9473684207</v>
      </c>
      <c r="W32" s="91" t="s">
        <v>112</v>
      </c>
      <c r="X32" s="50" t="s">
        <v>122</v>
      </c>
      <c r="Y32" s="92"/>
      <c r="Z32" s="11" t="s">
        <v>32</v>
      </c>
      <c r="AA32" s="93">
        <f>V32/U32</f>
        <v>833.30863566683695</v>
      </c>
      <c r="AB32" s="8" t="s">
        <v>18</v>
      </c>
    </row>
    <row r="33" spans="1:28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3"/>
      <c r="AB33" s="8" t="s">
        <v>18</v>
      </c>
    </row>
    <row r="34" spans="1:28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8" t="s">
        <v>18</v>
      </c>
    </row>
    <row r="35" spans="1:28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48" t="s">
        <v>123</v>
      </c>
      <c r="P35" s="10" t="s">
        <v>124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8" t="s">
        <v>18</v>
      </c>
    </row>
    <row r="36" spans="1:28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8" t="s">
        <v>18</v>
      </c>
    </row>
    <row r="37" spans="1:28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 t="s">
        <v>125</v>
      </c>
      <c r="Q37" s="53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8" t="s">
        <v>18</v>
      </c>
    </row>
    <row r="38" spans="1:28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1" t="s">
        <v>32</v>
      </c>
      <c r="R38" s="10" t="s">
        <v>126</v>
      </c>
      <c r="S38" s="11" t="s">
        <v>31</v>
      </c>
      <c r="T38" s="10" t="s">
        <v>127</v>
      </c>
      <c r="U38" s="10"/>
      <c r="V38" s="10"/>
      <c r="W38" s="10"/>
      <c r="X38" s="10"/>
      <c r="Y38" s="104"/>
      <c r="Z38" s="10"/>
      <c r="AA38" s="10"/>
      <c r="AB38" s="8" t="s">
        <v>18</v>
      </c>
    </row>
    <row r="39" spans="1: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10"/>
      <c r="Q39" s="11" t="s">
        <v>32</v>
      </c>
      <c r="R39" s="50">
        <f>Z26</f>
        <v>1000</v>
      </c>
      <c r="S39" s="11" t="s">
        <v>31</v>
      </c>
      <c r="T39" s="10" t="str">
        <f>"("&amp;ROUND(T22,2)&amp;" - " &amp; M18 &amp; ") / (" &amp; ROUND(AA32,2) &amp; " - " &amp; M18 &amp; ")"</f>
        <v>(624.66 - 5) / (833.31 - 5)</v>
      </c>
      <c r="U39" s="10"/>
      <c r="V39" s="10"/>
      <c r="W39" s="10"/>
      <c r="X39" s="10"/>
      <c r="Y39" s="10"/>
      <c r="Z39" s="10"/>
      <c r="AA39" s="10"/>
      <c r="AB39" s="8" t="s">
        <v>18</v>
      </c>
    </row>
    <row r="40" spans="1:28" x14ac:dyDescent="0.25">
      <c r="N40" s="8" t="s">
        <v>18</v>
      </c>
      <c r="O40" s="10"/>
      <c r="P40" s="10"/>
      <c r="Q40" s="11" t="s">
        <v>32</v>
      </c>
      <c r="R40" s="105">
        <f>R39*(T22-M18)/(AA32-M18)</f>
        <v>748.10472239358444</v>
      </c>
      <c r="S40" s="37" t="s">
        <v>128</v>
      </c>
      <c r="T40" s="10"/>
      <c r="U40" s="10"/>
      <c r="V40" s="10"/>
      <c r="W40" s="10"/>
      <c r="X40" s="10"/>
      <c r="Y40" s="10"/>
      <c r="Z40" s="10"/>
      <c r="AA40" s="10"/>
      <c r="AB40" s="8" t="s">
        <v>18</v>
      </c>
    </row>
    <row r="41" spans="1:28" x14ac:dyDescent="0.25">
      <c r="N41" s="8" t="s">
        <v>18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8" t="s">
        <v>18</v>
      </c>
    </row>
    <row r="42" spans="1:28" x14ac:dyDescent="0.25">
      <c r="N42" s="8" t="s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8" t="s">
        <v>18</v>
      </c>
    </row>
    <row r="43" spans="1:28" x14ac:dyDescent="0.25">
      <c r="N43" s="8" t="s">
        <v>18</v>
      </c>
      <c r="O43" s="10"/>
      <c r="P43" s="55" t="s">
        <v>129</v>
      </c>
      <c r="Q43" s="56" t="s">
        <v>130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8" t="s">
        <v>18</v>
      </c>
    </row>
    <row r="44" spans="1:28" x14ac:dyDescent="0.25">
      <c r="N44" s="8" t="s">
        <v>18</v>
      </c>
      <c r="O44" s="10"/>
      <c r="P44" s="10"/>
      <c r="Q44" s="56" t="s">
        <v>131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8" t="s">
        <v>18</v>
      </c>
    </row>
    <row r="45" spans="1:28" x14ac:dyDescent="0.25">
      <c r="N45" s="8" t="s">
        <v>18</v>
      </c>
      <c r="AB45" s="8" t="s">
        <v>18</v>
      </c>
    </row>
    <row r="46" spans="1:28" x14ac:dyDescent="0.25">
      <c r="N46" s="8" t="s">
        <v>18</v>
      </c>
      <c r="AB46" s="8" t="s">
        <v>18</v>
      </c>
    </row>
    <row r="47" spans="1:28" x14ac:dyDescent="0.25">
      <c r="N47" s="8" t="s">
        <v>18</v>
      </c>
      <c r="AB47" s="8" t="s">
        <v>18</v>
      </c>
    </row>
    <row r="48" spans="1:28" x14ac:dyDescent="0.25">
      <c r="N48" s="8" t="s">
        <v>18</v>
      </c>
      <c r="AB48" s="8" t="s">
        <v>18</v>
      </c>
    </row>
    <row r="49" spans="14:28" x14ac:dyDescent="0.25">
      <c r="N49" s="8" t="s">
        <v>18</v>
      </c>
      <c r="AB49" s="8" t="s">
        <v>18</v>
      </c>
    </row>
    <row r="50" spans="14:28" x14ac:dyDescent="0.25">
      <c r="N50" s="8" t="s">
        <v>18</v>
      </c>
      <c r="AB50" s="8" t="s">
        <v>18</v>
      </c>
    </row>
    <row r="51" spans="14:28" x14ac:dyDescent="0.25">
      <c r="N51" s="8" t="s">
        <v>18</v>
      </c>
      <c r="AB51" s="8" t="s">
        <v>18</v>
      </c>
    </row>
    <row r="52" spans="14:28" x14ac:dyDescent="0.25">
      <c r="N52" s="8" t="s">
        <v>18</v>
      </c>
      <c r="AB52" s="8" t="s">
        <v>18</v>
      </c>
    </row>
    <row r="53" spans="14:28" x14ac:dyDescent="0.25">
      <c r="N53" s="8" t="s">
        <v>18</v>
      </c>
      <c r="AB53" s="8" t="s">
        <v>18</v>
      </c>
    </row>
    <row r="54" spans="14:28" x14ac:dyDescent="0.25">
      <c r="N54" s="8" t="s">
        <v>18</v>
      </c>
      <c r="AB54" s="8" t="s">
        <v>18</v>
      </c>
    </row>
    <row r="55" spans="14:28" x14ac:dyDescent="0.25">
      <c r="N55" s="8" t="s">
        <v>18</v>
      </c>
      <c r="AB55" s="8" t="s">
        <v>18</v>
      </c>
    </row>
    <row r="56" spans="14:28" x14ac:dyDescent="0.25">
      <c r="N56" s="8" t="s">
        <v>18</v>
      </c>
      <c r="AB56" s="8" t="s">
        <v>18</v>
      </c>
    </row>
    <row r="57" spans="14:28" x14ac:dyDescent="0.25">
      <c r="N57" s="8" t="s">
        <v>18</v>
      </c>
      <c r="AB57" s="8" t="s">
        <v>18</v>
      </c>
    </row>
    <row r="58" spans="14:28" x14ac:dyDescent="0.25">
      <c r="N58" s="8" t="s">
        <v>18</v>
      </c>
      <c r="AB58" s="8" t="s">
        <v>18</v>
      </c>
    </row>
    <row r="59" spans="14:28" x14ac:dyDescent="0.25">
      <c r="N59" s="8" t="s">
        <v>18</v>
      </c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1"/>
  </sheetPr>
  <dimension ref="A1:AO59"/>
  <sheetViews>
    <sheetView zoomScale="90" zoomScaleNormal="90" workbookViewId="0">
      <selection activeCell="Y7" sqref="Y7"/>
    </sheetView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8" width="9.140625" style="6" customWidth="1"/>
    <col min="9" max="9" width="9.140625" style="6"/>
    <col min="10" max="21" width="9.140625" style="6" customWidth="1"/>
    <col min="22" max="22" width="10.7109375" style="6" customWidth="1"/>
    <col min="23" max="26" width="8.7109375" style="6" customWidth="1"/>
    <col min="27" max="35" width="9.140625" style="6"/>
    <col min="36" max="36" width="10.7109375" style="6" customWidth="1"/>
    <col min="37" max="16384" width="9.140625" style="6"/>
  </cols>
  <sheetData>
    <row r="1" spans="1:41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B1" s="8" t="s">
        <v>18</v>
      </c>
    </row>
    <row r="2" spans="1:41" x14ac:dyDescent="0.25">
      <c r="A2" s="5" t="s">
        <v>19</v>
      </c>
      <c r="C2" s="6" t="s">
        <v>20</v>
      </c>
      <c r="N2" s="8" t="s">
        <v>18</v>
      </c>
      <c r="AB2" s="8" t="s">
        <v>18</v>
      </c>
      <c r="AC2" s="5" t="s">
        <v>132</v>
      </c>
    </row>
    <row r="3" spans="1:41" x14ac:dyDescent="0.25">
      <c r="A3" s="5" t="s">
        <v>21</v>
      </c>
      <c r="C3" s="6" t="s">
        <v>8</v>
      </c>
      <c r="N3" s="8" t="s">
        <v>18</v>
      </c>
      <c r="O3" s="58" t="s">
        <v>81</v>
      </c>
      <c r="P3" s="58"/>
      <c r="Q3" s="6" t="s">
        <v>82</v>
      </c>
      <c r="AB3" s="8" t="s">
        <v>18</v>
      </c>
    </row>
    <row r="4" spans="1:4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B4" s="8" t="s">
        <v>18</v>
      </c>
      <c r="AC4" s="13" t="s">
        <v>105</v>
      </c>
      <c r="AD4" s="10"/>
      <c r="AE4" s="10"/>
      <c r="AF4" s="10"/>
      <c r="AG4" s="10"/>
    </row>
    <row r="5" spans="1:41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0.13</v>
      </c>
      <c r="K5" s="10"/>
      <c r="L5" s="10"/>
      <c r="M5" s="12"/>
      <c r="N5" s="8" t="s">
        <v>18</v>
      </c>
      <c r="P5" s="60" t="s">
        <v>84</v>
      </c>
      <c r="Q5" s="61"/>
      <c r="R5" s="44"/>
      <c r="S5" s="62" t="s">
        <v>85</v>
      </c>
      <c r="T5" s="63" t="s">
        <v>86</v>
      </c>
      <c r="U5" s="10"/>
      <c r="V5" s="60" t="s">
        <v>87</v>
      </c>
      <c r="W5" s="61"/>
      <c r="X5" s="44"/>
      <c r="Y5" s="62" t="s">
        <v>85</v>
      </c>
      <c r="Z5" s="63" t="s">
        <v>86</v>
      </c>
      <c r="AA5" s="10"/>
      <c r="AB5" s="8" t="s">
        <v>18</v>
      </c>
      <c r="AC5" s="10"/>
      <c r="AD5" s="10"/>
      <c r="AE5" s="10"/>
      <c r="AF5" s="10"/>
      <c r="AG5" s="10"/>
    </row>
    <row r="6" spans="1:41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88</v>
      </c>
      <c r="Q6" s="64"/>
      <c r="R6" s="30"/>
      <c r="S6" s="65">
        <f>F12</f>
        <v>0.65</v>
      </c>
      <c r="T6" s="66">
        <f>G12/G13</f>
        <v>0.41666666666666669</v>
      </c>
      <c r="U6" s="10"/>
      <c r="V6" s="29" t="s">
        <v>89</v>
      </c>
      <c r="W6" s="64"/>
      <c r="X6" s="30"/>
      <c r="Y6" s="65">
        <f>F16</f>
        <v>0.75</v>
      </c>
      <c r="Z6" s="66">
        <f>G16/G17</f>
        <v>1</v>
      </c>
      <c r="AA6" s="10"/>
      <c r="AB6" s="8" t="s">
        <v>18</v>
      </c>
      <c r="AC6" s="60" t="s">
        <v>84</v>
      </c>
      <c r="AD6" s="61"/>
      <c r="AE6" s="44"/>
      <c r="AF6" s="62" t="s">
        <v>110</v>
      </c>
      <c r="AG6" s="63" t="s">
        <v>111</v>
      </c>
      <c r="AI6" s="60" t="s">
        <v>90</v>
      </c>
      <c r="AJ6" s="106"/>
      <c r="AK6" s="107"/>
      <c r="AL6" s="108">
        <f ca="1">RANDBETWEEN(150,300)*5</f>
        <v>1125</v>
      </c>
    </row>
    <row r="7" spans="1:41" x14ac:dyDescent="0.25">
      <c r="A7" s="13" t="s">
        <v>35</v>
      </c>
      <c r="B7" s="12"/>
      <c r="C7" s="10" t="s">
        <v>133</v>
      </c>
      <c r="D7" s="10"/>
      <c r="F7" s="109">
        <v>734.85683760683764</v>
      </c>
      <c r="G7" s="10"/>
      <c r="H7" s="10"/>
      <c r="I7" s="10"/>
      <c r="J7" s="10"/>
      <c r="K7" s="12"/>
      <c r="L7" s="12"/>
      <c r="M7" s="12"/>
      <c r="N7" s="8" t="s">
        <v>18</v>
      </c>
      <c r="P7" s="38" t="s">
        <v>91</v>
      </c>
      <c r="Q7" s="68"/>
      <c r="R7" s="39"/>
      <c r="S7" s="69">
        <f>F13</f>
        <v>1</v>
      </c>
      <c r="T7" s="70">
        <f>G13/G13</f>
        <v>1</v>
      </c>
      <c r="U7" s="10"/>
      <c r="V7" s="38" t="s">
        <v>92</v>
      </c>
      <c r="W7" s="68"/>
      <c r="X7" s="39"/>
      <c r="Y7" s="69">
        <f>F17</f>
        <v>1</v>
      </c>
      <c r="Z7" s="70">
        <f>G17/G17</f>
        <v>1</v>
      </c>
      <c r="AA7" s="10"/>
      <c r="AB7" s="8" t="s">
        <v>18</v>
      </c>
      <c r="AC7" s="29" t="s">
        <v>88</v>
      </c>
      <c r="AD7" s="64"/>
      <c r="AE7" s="30"/>
      <c r="AF7" s="85">
        <f ca="1">RANDBETWEEN(10,20)*100</f>
        <v>1400</v>
      </c>
      <c r="AG7" s="86">
        <f ca="1">RANDBETWEEN(30,50)*100</f>
        <v>3100</v>
      </c>
    </row>
    <row r="8" spans="1:41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0"/>
      <c r="Q8" s="10"/>
      <c r="R8" s="10"/>
      <c r="S8" s="10"/>
      <c r="T8" s="71" t="s">
        <v>93</v>
      </c>
      <c r="U8" s="10"/>
      <c r="V8" s="10"/>
      <c r="W8" s="10"/>
      <c r="X8" s="10"/>
      <c r="Y8" s="10"/>
      <c r="Z8" s="71" t="s">
        <v>93</v>
      </c>
      <c r="AA8" s="10"/>
      <c r="AB8" s="8" t="s">
        <v>18</v>
      </c>
      <c r="AC8" s="38" t="s">
        <v>91</v>
      </c>
      <c r="AD8" s="68"/>
      <c r="AE8" s="39"/>
      <c r="AF8" s="87">
        <f ca="1">RANDBETWEEN(10,20)*100</f>
        <v>1900</v>
      </c>
      <c r="AG8" s="88">
        <f ca="1">RANDBETWEEN(30,50)*100</f>
        <v>3600</v>
      </c>
    </row>
    <row r="9" spans="1:41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U9" s="10"/>
      <c r="V9" s="10"/>
      <c r="W9" s="10"/>
      <c r="X9" s="10"/>
      <c r="Y9" s="10"/>
      <c r="AA9" s="10"/>
      <c r="AB9" s="8" t="s">
        <v>18</v>
      </c>
      <c r="AC9" s="12"/>
    </row>
    <row r="10" spans="1:41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  <c r="AB10" s="8" t="s">
        <v>18</v>
      </c>
      <c r="AC10" s="16" t="s">
        <v>22</v>
      </c>
      <c r="AD10" s="10" t="s">
        <v>95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0"/>
    </row>
    <row r="11" spans="1:41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11" t="s">
        <v>134</v>
      </c>
      <c r="N11" s="8" t="s">
        <v>18</v>
      </c>
      <c r="O11" s="9" t="s">
        <v>22</v>
      </c>
      <c r="P11" s="6" t="s">
        <v>135</v>
      </c>
      <c r="Y11" s="8" t="s">
        <v>136</v>
      </c>
      <c r="AB11" s="8" t="s">
        <v>18</v>
      </c>
      <c r="AC11" s="10"/>
      <c r="AD11" s="10" t="s">
        <v>96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1:41" x14ac:dyDescent="0.25">
      <c r="A12" s="12"/>
      <c r="B12" s="12"/>
      <c r="C12" s="29" t="s">
        <v>88</v>
      </c>
      <c r="D12" s="64"/>
      <c r="E12" s="30"/>
      <c r="F12" s="72">
        <v>0.65</v>
      </c>
      <c r="G12" s="73">
        <v>0.5</v>
      </c>
      <c r="H12" s="112">
        <v>6600</v>
      </c>
      <c r="N12" s="8" t="s">
        <v>18</v>
      </c>
      <c r="AB12" s="8" t="s">
        <v>18</v>
      </c>
    </row>
    <row r="13" spans="1:41" x14ac:dyDescent="0.25">
      <c r="A13" s="12"/>
      <c r="B13" s="12"/>
      <c r="C13" s="38" t="s">
        <v>91</v>
      </c>
      <c r="D13" s="68"/>
      <c r="E13" s="39"/>
      <c r="F13" s="74">
        <v>1</v>
      </c>
      <c r="G13" s="75">
        <v>1.2</v>
      </c>
      <c r="H13" s="113">
        <v>5100</v>
      </c>
      <c r="N13" s="8" t="s">
        <v>18</v>
      </c>
      <c r="P13" s="6" t="s">
        <v>137</v>
      </c>
      <c r="S13" s="8" t="s">
        <v>32</v>
      </c>
      <c r="T13" s="110">
        <f>SUMPRODUCT(T6:T7,H12:H13)/SUM(H12:H13)</f>
        <v>0.67094017094017089</v>
      </c>
      <c r="AB13" s="8" t="s">
        <v>18</v>
      </c>
      <c r="AC13" s="10"/>
      <c r="AD13" s="76"/>
      <c r="AE13" s="77"/>
      <c r="AF13" s="20" t="s">
        <v>85</v>
      </c>
      <c r="AG13" s="20" t="s">
        <v>85</v>
      </c>
      <c r="AH13" s="20" t="s">
        <v>85</v>
      </c>
      <c r="AI13" s="77" t="s">
        <v>97</v>
      </c>
      <c r="AJ13" s="78" t="s">
        <v>85</v>
      </c>
      <c r="AK13" s="11"/>
      <c r="AL13" s="11"/>
      <c r="AM13" s="11"/>
      <c r="AN13" s="11"/>
      <c r="AO13" s="114"/>
    </row>
    <row r="14" spans="1:41" x14ac:dyDescent="0.25">
      <c r="A14" s="12"/>
      <c r="B14" s="12"/>
      <c r="C14" s="12"/>
      <c r="D14" s="12"/>
      <c r="E14" s="12"/>
      <c r="F14" s="12"/>
      <c r="G14" s="12"/>
      <c r="H14" s="51"/>
      <c r="I14" s="12"/>
      <c r="J14" s="12"/>
      <c r="K14" s="12"/>
      <c r="L14" s="12"/>
      <c r="M14" s="12"/>
      <c r="N14" s="8" t="s">
        <v>18</v>
      </c>
      <c r="P14" s="6" t="s">
        <v>138</v>
      </c>
      <c r="S14" s="8" t="s">
        <v>32</v>
      </c>
      <c r="T14" s="110">
        <f>SUMPRODUCT(Z6:Z7,H16:H17)/SUM(H16:H17)</f>
        <v>1</v>
      </c>
      <c r="AB14" s="8" t="s">
        <v>18</v>
      </c>
      <c r="AC14" s="10"/>
      <c r="AD14" s="79" t="s">
        <v>98</v>
      </c>
      <c r="AE14" s="28" t="s">
        <v>99</v>
      </c>
      <c r="AF14" s="14" t="s">
        <v>100</v>
      </c>
      <c r="AG14" s="14" t="s">
        <v>101</v>
      </c>
      <c r="AH14" s="14" t="s">
        <v>102</v>
      </c>
      <c r="AI14" s="80" t="s">
        <v>103</v>
      </c>
      <c r="AJ14" s="80" t="s">
        <v>104</v>
      </c>
      <c r="AK14" s="11"/>
      <c r="AL14" s="11"/>
      <c r="AM14" s="11"/>
      <c r="AN14" s="11"/>
      <c r="AO14" s="11"/>
    </row>
    <row r="15" spans="1:41" x14ac:dyDescent="0.25">
      <c r="C15" s="60" t="s">
        <v>87</v>
      </c>
      <c r="D15" s="61"/>
      <c r="E15" s="44"/>
      <c r="F15" s="62" t="s">
        <v>85</v>
      </c>
      <c r="G15" s="63" t="s">
        <v>86</v>
      </c>
      <c r="H15" s="111" t="s">
        <v>134</v>
      </c>
      <c r="N15" s="8" t="s">
        <v>18</v>
      </c>
      <c r="T15" s="115">
        <f>PRODUCT(T13:T14)</f>
        <v>0.67094017094017089</v>
      </c>
      <c r="U15" s="7" t="s">
        <v>139</v>
      </c>
      <c r="V15" s="116"/>
      <c r="W15" s="117" t="s">
        <v>140</v>
      </c>
      <c r="AB15" s="8" t="s">
        <v>18</v>
      </c>
      <c r="AC15" s="10"/>
      <c r="AD15" s="81" t="s">
        <v>107</v>
      </c>
      <c r="AE15" s="82">
        <v>1</v>
      </c>
      <c r="AF15" s="83">
        <f>F12</f>
        <v>0.65</v>
      </c>
      <c r="AG15" s="83">
        <f>F16</f>
        <v>0.75</v>
      </c>
      <c r="AH15" s="84">
        <f>F22</f>
        <v>20</v>
      </c>
      <c r="AI15" s="82">
        <f ca="1">AF7</f>
        <v>1400</v>
      </c>
      <c r="AJ15" s="30">
        <f ca="1">(AL6*AF15*AG15+AH15)*AI15</f>
        <v>795812.5</v>
      </c>
      <c r="AK15" s="10" t="s">
        <v>108</v>
      </c>
      <c r="AL15" s="10"/>
      <c r="AM15" s="10"/>
      <c r="AN15" s="10"/>
      <c r="AO15" s="10"/>
    </row>
    <row r="16" spans="1:41" x14ac:dyDescent="0.25">
      <c r="C16" s="29" t="s">
        <v>89</v>
      </c>
      <c r="D16" s="64"/>
      <c r="E16" s="30"/>
      <c r="F16" s="72">
        <v>0.75</v>
      </c>
      <c r="G16" s="73">
        <v>0.85</v>
      </c>
      <c r="H16" s="112">
        <v>3700</v>
      </c>
      <c r="N16" s="8" t="s">
        <v>18</v>
      </c>
      <c r="AB16" s="8" t="s">
        <v>18</v>
      </c>
      <c r="AC16" s="10"/>
      <c r="AD16" s="81" t="s">
        <v>109</v>
      </c>
      <c r="AE16" s="82">
        <v>1</v>
      </c>
      <c r="AF16" s="83">
        <f>F13</f>
        <v>1</v>
      </c>
      <c r="AG16" s="83">
        <f>AG15</f>
        <v>0.75</v>
      </c>
      <c r="AH16" s="84">
        <f>AH15</f>
        <v>20</v>
      </c>
      <c r="AI16" s="82">
        <f ca="1">AF8</f>
        <v>1900</v>
      </c>
      <c r="AJ16" s="30">
        <f ca="1">(AL6*AF16*AG16+AH16)*AI16</f>
        <v>1641125</v>
      </c>
      <c r="AK16" s="10"/>
      <c r="AL16" s="10"/>
      <c r="AM16" s="10"/>
      <c r="AN16" s="10"/>
      <c r="AO16" s="10"/>
    </row>
    <row r="17" spans="3:41" x14ac:dyDescent="0.25">
      <c r="C17" s="38" t="s">
        <v>92</v>
      </c>
      <c r="D17" s="68"/>
      <c r="E17" s="39"/>
      <c r="F17" s="74">
        <v>1</v>
      </c>
      <c r="G17" s="75">
        <v>0.85</v>
      </c>
      <c r="H17" s="113">
        <v>8000</v>
      </c>
      <c r="N17" s="8" t="s">
        <v>18</v>
      </c>
      <c r="O17" s="118" t="s">
        <v>118</v>
      </c>
      <c r="P17" s="6" t="s">
        <v>141</v>
      </c>
      <c r="T17" s="51" t="s">
        <v>65</v>
      </c>
      <c r="AB17" s="8" t="s">
        <v>18</v>
      </c>
      <c r="AC17" s="10"/>
      <c r="AD17" s="81" t="s">
        <v>107</v>
      </c>
      <c r="AE17" s="82">
        <v>2</v>
      </c>
      <c r="AF17" s="83">
        <f>AF15</f>
        <v>0.65</v>
      </c>
      <c r="AG17" s="83">
        <f>F17</f>
        <v>1</v>
      </c>
      <c r="AH17" s="84">
        <f>AH15</f>
        <v>20</v>
      </c>
      <c r="AI17" s="82">
        <f ca="1">AG7</f>
        <v>3100</v>
      </c>
      <c r="AJ17" s="30">
        <f ca="1">(AL6*AF17*AG17+AH17)*AI17</f>
        <v>2328875</v>
      </c>
      <c r="AK17" s="10"/>
      <c r="AL17" s="10"/>
      <c r="AM17" s="10"/>
      <c r="AN17" s="10"/>
      <c r="AO17" s="10"/>
    </row>
    <row r="18" spans="3:41" x14ac:dyDescent="0.25">
      <c r="H18" s="10"/>
      <c r="N18" s="8" t="s">
        <v>18</v>
      </c>
      <c r="AB18" s="8" t="s">
        <v>18</v>
      </c>
      <c r="AC18" s="10"/>
      <c r="AD18" s="79" t="s">
        <v>109</v>
      </c>
      <c r="AE18" s="28">
        <v>2</v>
      </c>
      <c r="AF18" s="89">
        <f>AF16</f>
        <v>1</v>
      </c>
      <c r="AG18" s="89">
        <f>AG17</f>
        <v>1</v>
      </c>
      <c r="AH18" s="14">
        <f>AH15</f>
        <v>20</v>
      </c>
      <c r="AI18" s="28">
        <f ca="1">AG8</f>
        <v>3600</v>
      </c>
      <c r="AJ18" s="39">
        <f ca="1">(AL6*AF18*AG18+AH18)*AI18</f>
        <v>4122000</v>
      </c>
      <c r="AK18" s="10"/>
      <c r="AL18" s="10"/>
      <c r="AM18" s="10"/>
      <c r="AN18" s="10"/>
      <c r="AO18" s="10"/>
    </row>
    <row r="19" spans="3:41" x14ac:dyDescent="0.25">
      <c r="C19" s="13" t="s">
        <v>106</v>
      </c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8" t="s">
        <v>18</v>
      </c>
      <c r="P19" s="51" t="s">
        <v>65</v>
      </c>
      <c r="Q19" s="8" t="s">
        <v>32</v>
      </c>
      <c r="R19" s="119" t="s">
        <v>142</v>
      </c>
      <c r="S19" s="51"/>
      <c r="T19" s="8"/>
      <c r="U19" s="11" t="s">
        <v>31</v>
      </c>
      <c r="V19" s="120" t="s">
        <v>143</v>
      </c>
      <c r="W19" s="120"/>
      <c r="X19" s="8"/>
      <c r="AB19" s="8" t="s">
        <v>18</v>
      </c>
      <c r="AC19" s="10"/>
      <c r="AD19" s="38"/>
      <c r="AE19" s="39"/>
      <c r="AF19" s="68"/>
      <c r="AG19" s="68"/>
      <c r="AH19" s="90"/>
      <c r="AI19" s="28">
        <f ca="1">SUM(AI15:AI18)</f>
        <v>10000</v>
      </c>
      <c r="AJ19" s="28">
        <f ca="1">SUM(AJ15:AJ18)</f>
        <v>8887812.5</v>
      </c>
      <c r="AK19" s="91" t="s">
        <v>112</v>
      </c>
      <c r="AL19" s="50" t="s">
        <v>113</v>
      </c>
      <c r="AM19" s="92"/>
      <c r="AN19" s="11" t="s">
        <v>32</v>
      </c>
      <c r="AO19" s="93">
        <f ca="1">AJ19/AI19</f>
        <v>888.78125</v>
      </c>
    </row>
    <row r="20" spans="3:41" x14ac:dyDescent="0.25">
      <c r="C20" s="10"/>
      <c r="D20" s="10"/>
      <c r="E20" s="10"/>
      <c r="F20" s="10"/>
      <c r="G20" s="12"/>
      <c r="H20" s="10"/>
      <c r="I20" s="10"/>
      <c r="J20" s="10"/>
      <c r="K20" s="10"/>
      <c r="L20" s="10"/>
      <c r="M20" s="12"/>
      <c r="N20" s="8" t="s">
        <v>18</v>
      </c>
      <c r="Q20" s="8" t="s">
        <v>32</v>
      </c>
      <c r="R20" s="121">
        <f>F7</f>
        <v>734.85683760683764</v>
      </c>
      <c r="U20" s="11" t="s">
        <v>31</v>
      </c>
      <c r="V20" s="122">
        <f>1+J5</f>
        <v>1.1299999999999999</v>
      </c>
      <c r="AB20" s="8" t="s">
        <v>18</v>
      </c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3:41" x14ac:dyDescent="0.25">
      <c r="C21" s="60"/>
      <c r="D21" s="61"/>
      <c r="E21" s="44"/>
      <c r="F21" s="62" t="s">
        <v>85</v>
      </c>
      <c r="G21" s="63" t="s">
        <v>86</v>
      </c>
      <c r="H21" s="10"/>
      <c r="I21" s="10"/>
      <c r="J21" s="10"/>
      <c r="K21" s="10"/>
      <c r="L21" s="10"/>
      <c r="M21" s="12"/>
      <c r="N21" s="8" t="s">
        <v>18</v>
      </c>
      <c r="Q21" s="8" t="s">
        <v>32</v>
      </c>
      <c r="R21" s="123">
        <f>R20*V20</f>
        <v>830.38822649572649</v>
      </c>
      <c r="AB21" s="8" t="s">
        <v>18</v>
      </c>
      <c r="AC21" s="10"/>
      <c r="AD21" s="10" t="s">
        <v>114</v>
      </c>
      <c r="AE21" s="10"/>
      <c r="AF21" s="10"/>
      <c r="AG21" s="11" t="s">
        <v>32</v>
      </c>
      <c r="AH21" s="93">
        <f ca="1">AO19</f>
        <v>888.78125</v>
      </c>
      <c r="AI21" s="11" t="s">
        <v>31</v>
      </c>
      <c r="AJ21" s="52">
        <f>1+J5</f>
        <v>1.1299999999999999</v>
      </c>
      <c r="AK21" s="94" t="s">
        <v>115</v>
      </c>
      <c r="AL21" s="95" t="s">
        <v>116</v>
      </c>
      <c r="AM21" s="96">
        <f>J5</f>
        <v>0.13</v>
      </c>
      <c r="AN21" s="97" t="s">
        <v>117</v>
      </c>
      <c r="AO21" s="10"/>
    </row>
    <row r="22" spans="3:41" x14ac:dyDescent="0.25">
      <c r="C22" s="38" t="s">
        <v>106</v>
      </c>
      <c r="D22" s="68"/>
      <c r="E22" s="39"/>
      <c r="F22" s="87">
        <v>20</v>
      </c>
      <c r="G22" s="88">
        <v>30</v>
      </c>
      <c r="H22" s="10"/>
      <c r="I22" s="10"/>
      <c r="J22" s="10"/>
      <c r="K22" s="10"/>
      <c r="L22" s="10"/>
      <c r="M22" s="12"/>
      <c r="N22" s="8" t="s">
        <v>18</v>
      </c>
      <c r="AB22" s="8" t="s">
        <v>18</v>
      </c>
      <c r="AC22" s="10"/>
      <c r="AD22" s="10"/>
      <c r="AE22" s="10"/>
      <c r="AF22" s="10"/>
      <c r="AG22" s="11" t="s">
        <v>32</v>
      </c>
      <c r="AH22" s="52">
        <f ca="1">AH21*AJ21</f>
        <v>1004.3228124999999</v>
      </c>
      <c r="AI22" s="71"/>
      <c r="AJ22" s="10"/>
      <c r="AL22" s="10"/>
      <c r="AM22" s="10"/>
      <c r="AN22" s="10"/>
      <c r="AO22" s="10"/>
    </row>
    <row r="23" spans="3:41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24" t="s">
        <v>123</v>
      </c>
      <c r="P23" s="6" t="s">
        <v>144</v>
      </c>
      <c r="T23" s="12"/>
      <c r="Z23" s="10"/>
      <c r="AA23" s="10"/>
      <c r="AB23" s="8" t="s">
        <v>18</v>
      </c>
      <c r="AC23" s="12"/>
    </row>
    <row r="24" spans="3:41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Y24" s="10"/>
      <c r="Z24" s="10"/>
      <c r="AA24" s="10"/>
      <c r="AB24" s="8" t="s">
        <v>18</v>
      </c>
      <c r="AC24" s="12"/>
    </row>
    <row r="25" spans="3:41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P25" s="51" t="s">
        <v>145</v>
      </c>
      <c r="Q25" s="8" t="s">
        <v>32</v>
      </c>
      <c r="R25" s="57" t="s">
        <v>146</v>
      </c>
      <c r="S25" s="51" t="s">
        <v>65</v>
      </c>
      <c r="T25" s="8" t="s">
        <v>62</v>
      </c>
      <c r="U25" s="11" t="s">
        <v>71</v>
      </c>
      <c r="V25" s="125" t="s">
        <v>147</v>
      </c>
      <c r="W25" s="125" t="s">
        <v>47</v>
      </c>
      <c r="X25" s="117" t="s">
        <v>140</v>
      </c>
      <c r="Y25" s="10"/>
      <c r="Z25" s="10"/>
      <c r="AA25" s="10"/>
      <c r="AB25" s="8" t="s">
        <v>18</v>
      </c>
      <c r="AC25" s="12"/>
    </row>
    <row r="26" spans="3:41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Q26" s="8" t="s">
        <v>32</v>
      </c>
      <c r="R26" s="57" t="s">
        <v>146</v>
      </c>
      <c r="S26" s="53">
        <f>R21</f>
        <v>830.38822649572649</v>
      </c>
      <c r="T26" s="8" t="s">
        <v>62</v>
      </c>
      <c r="U26" s="11">
        <f>G22</f>
        <v>30</v>
      </c>
      <c r="V26" s="125" t="s">
        <v>147</v>
      </c>
      <c r="W26" s="125" t="s">
        <v>47</v>
      </c>
      <c r="X26" s="126">
        <f>T15</f>
        <v>0.67094017094017089</v>
      </c>
      <c r="Y26" s="10"/>
      <c r="Z26" s="10"/>
      <c r="AA26" s="10"/>
      <c r="AB26" s="8" t="s">
        <v>18</v>
      </c>
      <c r="AC26" s="10"/>
    </row>
    <row r="27" spans="3:41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10"/>
      <c r="Q27" s="8" t="s">
        <v>32</v>
      </c>
      <c r="R27" s="127">
        <f>(S26-U26)/X26</f>
        <v>1192.9353184713377</v>
      </c>
      <c r="S27" s="37" t="s">
        <v>128</v>
      </c>
      <c r="T27" s="10"/>
      <c r="U27" s="10"/>
      <c r="V27" s="10"/>
      <c r="W27" s="10"/>
      <c r="X27" s="10"/>
      <c r="Y27" s="10"/>
      <c r="Z27" s="10"/>
      <c r="AA27" s="10"/>
      <c r="AB27" s="8" t="s">
        <v>18</v>
      </c>
      <c r="AC27" s="10"/>
    </row>
    <row r="28" spans="3:41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8" t="s">
        <v>18</v>
      </c>
      <c r="AC28" s="10"/>
    </row>
    <row r="29" spans="3:4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8" t="s">
        <v>18</v>
      </c>
      <c r="AC29" s="10"/>
    </row>
    <row r="30" spans="3:41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8" t="s">
        <v>18</v>
      </c>
      <c r="AC30" s="10"/>
    </row>
    <row r="31" spans="3:41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8" t="s">
        <v>18</v>
      </c>
      <c r="AC31" s="10"/>
    </row>
    <row r="32" spans="3:41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8" t="s">
        <v>18</v>
      </c>
      <c r="AC32" s="10"/>
    </row>
    <row r="33" spans="14:28" x14ac:dyDescent="0.25">
      <c r="N33" s="8" t="s">
        <v>18</v>
      </c>
      <c r="AB33" s="8" t="s">
        <v>18</v>
      </c>
    </row>
    <row r="34" spans="14:28" x14ac:dyDescent="0.25">
      <c r="N34" s="8" t="s">
        <v>18</v>
      </c>
      <c r="AB34" s="8" t="s">
        <v>18</v>
      </c>
    </row>
    <row r="35" spans="14:28" x14ac:dyDescent="0.25">
      <c r="N35" s="8" t="s">
        <v>18</v>
      </c>
      <c r="AB35" s="8" t="s">
        <v>18</v>
      </c>
    </row>
    <row r="36" spans="14:28" x14ac:dyDescent="0.25">
      <c r="N36" s="8" t="s">
        <v>18</v>
      </c>
      <c r="AB36" s="8" t="s">
        <v>18</v>
      </c>
    </row>
    <row r="37" spans="14:28" x14ac:dyDescent="0.25">
      <c r="N37" s="8" t="s">
        <v>18</v>
      </c>
      <c r="AB37" s="8" t="s">
        <v>18</v>
      </c>
    </row>
    <row r="38" spans="14:28" x14ac:dyDescent="0.25">
      <c r="N38" s="8" t="s">
        <v>18</v>
      </c>
      <c r="AB38" s="8" t="s">
        <v>18</v>
      </c>
    </row>
    <row r="39" spans="14:28" x14ac:dyDescent="0.25">
      <c r="N39" s="8" t="s">
        <v>18</v>
      </c>
      <c r="AB39" s="8" t="s">
        <v>18</v>
      </c>
    </row>
    <row r="40" spans="14:28" x14ac:dyDescent="0.25">
      <c r="N40" s="8" t="s">
        <v>18</v>
      </c>
      <c r="AB40" s="8" t="s">
        <v>18</v>
      </c>
    </row>
    <row r="41" spans="14:28" x14ac:dyDescent="0.25">
      <c r="N41" s="8" t="s">
        <v>18</v>
      </c>
      <c r="AB41" s="8" t="s">
        <v>18</v>
      </c>
    </row>
    <row r="42" spans="14:28" x14ac:dyDescent="0.25">
      <c r="N42" s="8" t="s">
        <v>18</v>
      </c>
      <c r="AB42" s="8" t="s">
        <v>18</v>
      </c>
    </row>
    <row r="43" spans="14:28" x14ac:dyDescent="0.25">
      <c r="N43" s="8" t="s">
        <v>18</v>
      </c>
      <c r="AB43" s="8" t="s">
        <v>18</v>
      </c>
    </row>
    <row r="44" spans="14:28" x14ac:dyDescent="0.25">
      <c r="N44" s="8" t="s">
        <v>18</v>
      </c>
      <c r="AB44" s="8" t="s">
        <v>18</v>
      </c>
    </row>
    <row r="45" spans="14:28" x14ac:dyDescent="0.25">
      <c r="N45" s="8" t="s">
        <v>18</v>
      </c>
      <c r="AB45" s="8" t="s">
        <v>18</v>
      </c>
    </row>
    <row r="46" spans="14:28" x14ac:dyDescent="0.25">
      <c r="N46" s="8" t="s">
        <v>18</v>
      </c>
      <c r="AB46" s="8" t="s">
        <v>18</v>
      </c>
    </row>
    <row r="47" spans="14:28" x14ac:dyDescent="0.25">
      <c r="N47" s="8" t="s">
        <v>18</v>
      </c>
      <c r="AB47" s="8" t="s">
        <v>18</v>
      </c>
    </row>
    <row r="48" spans="14:28" x14ac:dyDescent="0.25">
      <c r="N48" s="8" t="s">
        <v>18</v>
      </c>
      <c r="AB48" s="8" t="s">
        <v>18</v>
      </c>
    </row>
    <row r="49" spans="14:28" x14ac:dyDescent="0.25">
      <c r="N49" s="8" t="s">
        <v>18</v>
      </c>
      <c r="AB49" s="8" t="s">
        <v>18</v>
      </c>
    </row>
    <row r="50" spans="14:28" x14ac:dyDescent="0.25">
      <c r="N50" s="8" t="s">
        <v>18</v>
      </c>
      <c r="AB50" s="8" t="s">
        <v>18</v>
      </c>
    </row>
    <row r="51" spans="14:28" x14ac:dyDescent="0.25">
      <c r="N51" s="8" t="s">
        <v>18</v>
      </c>
      <c r="AB51" s="8" t="s">
        <v>18</v>
      </c>
    </row>
    <row r="52" spans="14:28" x14ac:dyDescent="0.25">
      <c r="N52" s="8" t="s">
        <v>18</v>
      </c>
      <c r="AB52" s="8" t="s">
        <v>18</v>
      </c>
    </row>
    <row r="53" spans="14:28" x14ac:dyDescent="0.25">
      <c r="N53" s="8" t="s">
        <v>18</v>
      </c>
      <c r="AB53" s="8" t="s">
        <v>18</v>
      </c>
    </row>
    <row r="54" spans="14:28" x14ac:dyDescent="0.25">
      <c r="N54" s="8" t="s">
        <v>18</v>
      </c>
      <c r="AB54" s="8" t="s">
        <v>18</v>
      </c>
    </row>
    <row r="55" spans="14:28" x14ac:dyDescent="0.25">
      <c r="N55" s="8" t="s">
        <v>18</v>
      </c>
      <c r="AB55" s="8" t="s">
        <v>18</v>
      </c>
    </row>
    <row r="56" spans="14:28" x14ac:dyDescent="0.25">
      <c r="N56" s="8" t="s">
        <v>18</v>
      </c>
      <c r="AB56" s="8" t="s">
        <v>18</v>
      </c>
    </row>
    <row r="57" spans="14:28" x14ac:dyDescent="0.25">
      <c r="N57" s="8" t="s">
        <v>18</v>
      </c>
      <c r="AB57" s="8" t="s">
        <v>18</v>
      </c>
    </row>
    <row r="58" spans="14:28" x14ac:dyDescent="0.25">
      <c r="N58" s="8" t="s">
        <v>18</v>
      </c>
      <c r="AB58" s="8" t="s">
        <v>18</v>
      </c>
    </row>
    <row r="59" spans="14:28" x14ac:dyDescent="0.25">
      <c r="N59" s="8" t="s">
        <v>18</v>
      </c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theme="1"/>
  </sheetPr>
  <dimension ref="A1:AO59"/>
  <sheetViews>
    <sheetView zoomScale="90" zoomScaleNormal="90" workbookViewId="0"/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35" width="9.140625" style="6"/>
    <col min="36" max="36" width="10.7109375" style="6" customWidth="1"/>
    <col min="37" max="16384" width="9.140625" style="6"/>
  </cols>
  <sheetData>
    <row r="1" spans="1:41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B1" s="8" t="s">
        <v>18</v>
      </c>
    </row>
    <row r="2" spans="1:41" x14ac:dyDescent="0.25">
      <c r="A2" s="5" t="s">
        <v>19</v>
      </c>
      <c r="C2" s="6" t="s">
        <v>20</v>
      </c>
      <c r="N2" s="8" t="s">
        <v>18</v>
      </c>
      <c r="AB2" s="8" t="s">
        <v>18</v>
      </c>
      <c r="AC2" s="5" t="s">
        <v>132</v>
      </c>
    </row>
    <row r="3" spans="1:41" x14ac:dyDescent="0.25">
      <c r="A3" s="5" t="s">
        <v>21</v>
      </c>
      <c r="C3" s="6" t="s">
        <v>148</v>
      </c>
      <c r="N3" s="8" t="s">
        <v>18</v>
      </c>
      <c r="O3" s="58" t="s">
        <v>81</v>
      </c>
      <c r="P3" s="58"/>
      <c r="Q3" s="6" t="s">
        <v>82</v>
      </c>
      <c r="AB3" s="8" t="s">
        <v>18</v>
      </c>
    </row>
    <row r="4" spans="1:4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B4" s="8" t="s">
        <v>18</v>
      </c>
      <c r="AC4" s="13" t="s">
        <v>105</v>
      </c>
      <c r="AD4" s="10"/>
      <c r="AE4" s="10"/>
      <c r="AF4" s="10"/>
      <c r="AG4" s="10"/>
    </row>
    <row r="5" spans="1:41" x14ac:dyDescent="0.25">
      <c r="A5" s="13" t="s">
        <v>24</v>
      </c>
      <c r="C5" s="10" t="s">
        <v>83</v>
      </c>
      <c r="D5" s="10"/>
      <c r="E5" s="10"/>
      <c r="F5" s="10"/>
      <c r="G5" s="10"/>
      <c r="H5" s="10"/>
      <c r="I5" s="10"/>
      <c r="J5" s="59">
        <v>0.08</v>
      </c>
      <c r="K5" s="10"/>
      <c r="L5" s="10"/>
      <c r="M5" s="12"/>
      <c r="N5" s="8" t="s">
        <v>18</v>
      </c>
      <c r="P5" s="60" t="s">
        <v>84</v>
      </c>
      <c r="Q5" s="44"/>
      <c r="R5" s="62" t="s">
        <v>85</v>
      </c>
      <c r="S5" s="63" t="s">
        <v>86</v>
      </c>
      <c r="T5" s="129" t="s">
        <v>149</v>
      </c>
      <c r="U5" s="10"/>
      <c r="V5" s="60" t="s">
        <v>87</v>
      </c>
      <c r="W5" s="44"/>
      <c r="X5" s="62" t="s">
        <v>85</v>
      </c>
      <c r="Y5" s="63" t="s">
        <v>86</v>
      </c>
      <c r="Z5" s="129" t="s">
        <v>149</v>
      </c>
      <c r="AA5" s="10"/>
      <c r="AB5" s="8" t="s">
        <v>18</v>
      </c>
      <c r="AC5" s="10"/>
      <c r="AD5" s="10"/>
      <c r="AE5" s="10"/>
      <c r="AF5" s="10"/>
      <c r="AG5" s="10"/>
    </row>
    <row r="6" spans="1:41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P6" s="29" t="s">
        <v>150</v>
      </c>
      <c r="Q6" s="30"/>
      <c r="R6" s="65">
        <f>F12</f>
        <v>0.7</v>
      </c>
      <c r="S6" s="66">
        <f>G12/G13</f>
        <v>0.54166666666666663</v>
      </c>
      <c r="T6" s="130">
        <f>S6/R6</f>
        <v>0.77380952380952384</v>
      </c>
      <c r="U6" s="10"/>
      <c r="V6" s="29" t="s">
        <v>89</v>
      </c>
      <c r="W6" s="30"/>
      <c r="X6" s="65">
        <f>F16</f>
        <v>0.65</v>
      </c>
      <c r="Y6" s="66">
        <f>G16/G17</f>
        <v>0.9375</v>
      </c>
      <c r="Z6" s="130">
        <f>Y6/X6</f>
        <v>1.4423076923076923</v>
      </c>
      <c r="AA6" s="10"/>
      <c r="AB6" s="8" t="s">
        <v>18</v>
      </c>
      <c r="AC6" s="60" t="s">
        <v>84</v>
      </c>
      <c r="AD6" s="61"/>
      <c r="AE6" s="44"/>
      <c r="AF6" s="62" t="s">
        <v>110</v>
      </c>
      <c r="AG6" s="63" t="s">
        <v>111</v>
      </c>
      <c r="AI6" s="60" t="s">
        <v>90</v>
      </c>
      <c r="AJ6" s="106"/>
      <c r="AK6" s="107"/>
      <c r="AL6" s="108">
        <f ca="1">RANDBETWEEN(150,300)*5</f>
        <v>1330</v>
      </c>
    </row>
    <row r="7" spans="1:41" x14ac:dyDescent="0.25">
      <c r="A7" s="13" t="s">
        <v>35</v>
      </c>
      <c r="B7" s="12"/>
      <c r="C7" s="10" t="s">
        <v>90</v>
      </c>
      <c r="D7" s="10"/>
      <c r="E7" s="67">
        <v>885</v>
      </c>
      <c r="G7" s="10" t="s">
        <v>133</v>
      </c>
      <c r="H7" s="10"/>
      <c r="J7" s="109">
        <v>723.8447727272727</v>
      </c>
      <c r="K7" s="12"/>
      <c r="L7" s="12"/>
      <c r="M7" s="12"/>
      <c r="N7" s="8" t="s">
        <v>18</v>
      </c>
      <c r="P7" s="38" t="s">
        <v>151</v>
      </c>
      <c r="Q7" s="39"/>
      <c r="R7" s="69">
        <f>F13</f>
        <v>1</v>
      </c>
      <c r="S7" s="70">
        <f>G13/G13</f>
        <v>1</v>
      </c>
      <c r="T7" s="131">
        <f>S7/R7</f>
        <v>1</v>
      </c>
      <c r="U7" s="10"/>
      <c r="V7" s="38" t="s">
        <v>92</v>
      </c>
      <c r="W7" s="39"/>
      <c r="X7" s="69">
        <f>F17</f>
        <v>1</v>
      </c>
      <c r="Y7" s="70">
        <f>G17/G17</f>
        <v>1</v>
      </c>
      <c r="Z7" s="131">
        <f>Y7/X7</f>
        <v>1</v>
      </c>
      <c r="AA7" s="10"/>
      <c r="AB7" s="8" t="s">
        <v>18</v>
      </c>
      <c r="AC7" s="29" t="s">
        <v>88</v>
      </c>
      <c r="AD7" s="64"/>
      <c r="AE7" s="30"/>
      <c r="AF7" s="85">
        <f ca="1">RANDBETWEEN(10,20)*100</f>
        <v>1600</v>
      </c>
      <c r="AG7" s="86">
        <f ca="1">RANDBETWEEN(30,50)*100</f>
        <v>3100</v>
      </c>
    </row>
    <row r="8" spans="1:41" x14ac:dyDescent="0.25">
      <c r="A8" s="12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18</v>
      </c>
      <c r="O8" s="10"/>
      <c r="P8" s="132" t="s">
        <v>152</v>
      </c>
      <c r="Q8" s="44"/>
      <c r="R8" s="133">
        <f>SUMPRODUCT(R6:R7,H12:H13)/SUM(H12:H13)</f>
        <v>0.88272727272727269</v>
      </c>
      <c r="S8" s="134">
        <f>SUMPRODUCT(S6:S7,H12:H13)/SUM(H12:H13)</f>
        <v>0.8208333333333333</v>
      </c>
      <c r="T8" s="128"/>
      <c r="U8" s="10"/>
      <c r="V8" s="132" t="s">
        <v>152</v>
      </c>
      <c r="W8" s="44"/>
      <c r="X8" s="133">
        <f>SUMPRODUCT(X6:X7,H16:H17)/SUM(H16:H17)</f>
        <v>0.90772727272727272</v>
      </c>
      <c r="Y8" s="134">
        <f>SUMPRODUCT(Y6:Y7,H16:H17)/SUM(H16:H17)</f>
        <v>0.98352272727272727</v>
      </c>
      <c r="AA8" s="10"/>
      <c r="AB8" s="8" t="s">
        <v>18</v>
      </c>
      <c r="AC8" s="38" t="s">
        <v>91</v>
      </c>
      <c r="AD8" s="68"/>
      <c r="AE8" s="39"/>
      <c r="AF8" s="87">
        <f ca="1">RANDBETWEEN(10,20)*100</f>
        <v>2000</v>
      </c>
      <c r="AG8" s="88">
        <f ca="1">RANDBETWEEN(30,50)*100</f>
        <v>3000</v>
      </c>
    </row>
    <row r="9" spans="1:41" x14ac:dyDescent="0.25">
      <c r="A9" s="12"/>
      <c r="B9" s="12"/>
      <c r="C9" s="5" t="s">
        <v>94</v>
      </c>
      <c r="H9" s="10"/>
      <c r="I9" s="10"/>
      <c r="J9" s="10"/>
      <c r="K9" s="12"/>
      <c r="L9" s="12"/>
      <c r="M9" s="12"/>
      <c r="N9" s="8" t="s">
        <v>18</v>
      </c>
      <c r="O9" s="10"/>
      <c r="P9" s="10"/>
      <c r="Q9" s="10"/>
      <c r="R9" s="10"/>
      <c r="S9" s="10"/>
      <c r="U9" s="10"/>
      <c r="V9" s="10"/>
      <c r="W9" s="10"/>
      <c r="X9" s="10"/>
      <c r="Y9" s="10"/>
      <c r="AA9" s="10"/>
      <c r="AB9" s="8" t="s">
        <v>18</v>
      </c>
      <c r="AC9" s="12"/>
    </row>
    <row r="10" spans="1:41" x14ac:dyDescent="0.25">
      <c r="A10" s="12"/>
      <c r="B10" s="12"/>
      <c r="H10" s="10"/>
      <c r="I10" s="10"/>
      <c r="J10" s="10"/>
      <c r="K10" s="12"/>
      <c r="L10" s="12"/>
      <c r="M10" s="12"/>
      <c r="N10" s="8" t="s">
        <v>18</v>
      </c>
      <c r="AB10" s="8" t="s">
        <v>18</v>
      </c>
      <c r="AC10" s="16" t="s">
        <v>22</v>
      </c>
      <c r="AD10" s="10" t="s">
        <v>95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0"/>
    </row>
    <row r="11" spans="1:41" x14ac:dyDescent="0.25">
      <c r="A11" s="13"/>
      <c r="B11" s="12"/>
      <c r="C11" s="60" t="s">
        <v>84</v>
      </c>
      <c r="D11" s="61"/>
      <c r="E11" s="44"/>
      <c r="F11" s="62" t="s">
        <v>85</v>
      </c>
      <c r="G11" s="63" t="s">
        <v>86</v>
      </c>
      <c r="H11" s="111" t="s">
        <v>134</v>
      </c>
      <c r="N11" s="8" t="s">
        <v>18</v>
      </c>
      <c r="O11" s="9" t="s">
        <v>22</v>
      </c>
      <c r="P11" s="10" t="s">
        <v>153</v>
      </c>
      <c r="Q11" s="10"/>
      <c r="R11" s="10"/>
      <c r="S11" s="10"/>
      <c r="T11" s="10"/>
      <c r="U11" s="10"/>
      <c r="V11" s="10"/>
      <c r="W11" s="10"/>
      <c r="X11" s="135" t="s">
        <v>154</v>
      </c>
      <c r="Y11" s="10"/>
      <c r="Z11" s="10"/>
      <c r="AA11" s="10"/>
      <c r="AB11" s="8" t="s">
        <v>18</v>
      </c>
      <c r="AC11" s="10"/>
      <c r="AD11" s="10" t="s">
        <v>96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1:41" x14ac:dyDescent="0.25">
      <c r="A12" s="12"/>
      <c r="B12" s="12"/>
      <c r="C12" s="29" t="s">
        <v>88</v>
      </c>
      <c r="D12" s="64"/>
      <c r="E12" s="30"/>
      <c r="F12" s="72">
        <v>0.7</v>
      </c>
      <c r="G12" s="73">
        <v>0.64999999999999991</v>
      </c>
      <c r="H12" s="112">
        <v>4300</v>
      </c>
      <c r="N12" s="8" t="s">
        <v>18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8" t="s">
        <v>18</v>
      </c>
    </row>
    <row r="13" spans="1:41" x14ac:dyDescent="0.25">
      <c r="A13" s="12"/>
      <c r="B13" s="12"/>
      <c r="C13" s="38" t="s">
        <v>91</v>
      </c>
      <c r="D13" s="68"/>
      <c r="E13" s="39"/>
      <c r="F13" s="74">
        <v>1</v>
      </c>
      <c r="G13" s="75">
        <v>1.2</v>
      </c>
      <c r="H13" s="113">
        <v>6700</v>
      </c>
      <c r="N13" s="8" t="s">
        <v>18</v>
      </c>
      <c r="P13" s="6" t="s">
        <v>155</v>
      </c>
      <c r="Q13" s="10" t="s">
        <v>156</v>
      </c>
      <c r="R13" s="10"/>
      <c r="S13" s="10"/>
      <c r="T13" s="10"/>
      <c r="U13" s="11" t="s">
        <v>32</v>
      </c>
      <c r="V13" s="136">
        <f>S8</f>
        <v>0.8208333333333333</v>
      </c>
      <c r="W13" s="34" t="s">
        <v>47</v>
      </c>
      <c r="X13" s="136">
        <f>R8</f>
        <v>0.88272727272727269</v>
      </c>
      <c r="Y13" s="11" t="s">
        <v>32</v>
      </c>
      <c r="Z13" s="137">
        <f>V13/X13</f>
        <v>0.92988328184002744</v>
      </c>
      <c r="AA13" s="10"/>
      <c r="AB13" s="8" t="s">
        <v>18</v>
      </c>
      <c r="AC13" s="10"/>
      <c r="AD13" s="76"/>
      <c r="AE13" s="77"/>
      <c r="AF13" s="20" t="s">
        <v>85</v>
      </c>
      <c r="AG13" s="20" t="s">
        <v>85</v>
      </c>
      <c r="AH13" s="20" t="s">
        <v>85</v>
      </c>
      <c r="AI13" s="77" t="s">
        <v>97</v>
      </c>
      <c r="AJ13" s="78" t="s">
        <v>85</v>
      </c>
      <c r="AK13" s="11"/>
      <c r="AL13" s="11"/>
      <c r="AM13" s="11"/>
      <c r="AN13" s="11"/>
      <c r="AO13" s="114"/>
    </row>
    <row r="14" spans="1:41" x14ac:dyDescent="0.25">
      <c r="A14" s="12"/>
      <c r="B14" s="12"/>
      <c r="C14" s="12"/>
      <c r="D14" s="12"/>
      <c r="E14" s="12"/>
      <c r="F14" s="12"/>
      <c r="G14" s="12"/>
      <c r="H14" s="51"/>
      <c r="I14" s="12"/>
      <c r="J14" s="12"/>
      <c r="K14" s="12"/>
      <c r="L14" s="12"/>
      <c r="M14" s="12"/>
      <c r="N14" s="8" t="s">
        <v>18</v>
      </c>
      <c r="P14" s="6" t="s">
        <v>157</v>
      </c>
      <c r="Q14" s="10" t="s">
        <v>156</v>
      </c>
      <c r="R14" s="10"/>
      <c r="S14" s="10"/>
      <c r="T14" s="10"/>
      <c r="U14" s="11" t="s">
        <v>32</v>
      </c>
      <c r="V14" s="136">
        <f>Y8</f>
        <v>0.98352272727272727</v>
      </c>
      <c r="W14" s="34" t="s">
        <v>47</v>
      </c>
      <c r="X14" s="136">
        <f>X8</f>
        <v>0.90772727272727272</v>
      </c>
      <c r="Y14" s="11" t="s">
        <v>32</v>
      </c>
      <c r="Z14" s="137">
        <f>V14/X14</f>
        <v>1.0835002503755633</v>
      </c>
      <c r="AA14" s="10"/>
      <c r="AB14" s="8" t="s">
        <v>18</v>
      </c>
      <c r="AC14" s="10"/>
      <c r="AD14" s="79" t="s">
        <v>98</v>
      </c>
      <c r="AE14" s="28" t="s">
        <v>99</v>
      </c>
      <c r="AF14" s="14" t="s">
        <v>100</v>
      </c>
      <c r="AG14" s="14" t="s">
        <v>101</v>
      </c>
      <c r="AH14" s="14" t="s">
        <v>102</v>
      </c>
      <c r="AI14" s="80" t="s">
        <v>103</v>
      </c>
      <c r="AJ14" s="80" t="s">
        <v>104</v>
      </c>
      <c r="AK14" s="11"/>
      <c r="AL14" s="11"/>
      <c r="AM14" s="11"/>
      <c r="AN14" s="11"/>
      <c r="AO14" s="11"/>
    </row>
    <row r="15" spans="1:41" x14ac:dyDescent="0.25">
      <c r="C15" s="60" t="s">
        <v>87</v>
      </c>
      <c r="D15" s="61"/>
      <c r="E15" s="44"/>
      <c r="F15" s="62" t="s">
        <v>85</v>
      </c>
      <c r="G15" s="63" t="s">
        <v>86</v>
      </c>
      <c r="H15" s="111" t="s">
        <v>134</v>
      </c>
      <c r="N15" s="8" t="s">
        <v>18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8">
        <f>PRODUCT(Z13:Z14)</f>
        <v>1.0075287686937202</v>
      </c>
      <c r="AA15" s="135" t="s">
        <v>158</v>
      </c>
      <c r="AB15" s="8" t="s">
        <v>18</v>
      </c>
      <c r="AC15" s="10"/>
      <c r="AD15" s="81" t="s">
        <v>107</v>
      </c>
      <c r="AE15" s="82">
        <v>1</v>
      </c>
      <c r="AF15" s="83">
        <f>F12</f>
        <v>0.7</v>
      </c>
      <c r="AG15" s="83">
        <f>F16</f>
        <v>0.65</v>
      </c>
      <c r="AH15" s="84">
        <f>F22</f>
        <v>15</v>
      </c>
      <c r="AI15" s="82">
        <f ca="1">AF7</f>
        <v>1600</v>
      </c>
      <c r="AJ15" s="30">
        <f ca="1">(AL6*AF15*AG15+AH15)*AI15</f>
        <v>992240</v>
      </c>
      <c r="AK15" s="10" t="s">
        <v>108</v>
      </c>
      <c r="AL15" s="10"/>
      <c r="AM15" s="10"/>
      <c r="AN15" s="10"/>
      <c r="AO15" s="10"/>
    </row>
    <row r="16" spans="1:41" x14ac:dyDescent="0.25">
      <c r="C16" s="29" t="s">
        <v>89</v>
      </c>
      <c r="D16" s="64"/>
      <c r="E16" s="30"/>
      <c r="F16" s="72">
        <v>0.65</v>
      </c>
      <c r="G16" s="73">
        <v>0.75</v>
      </c>
      <c r="H16" s="112">
        <v>2900</v>
      </c>
      <c r="N16" s="8" t="s">
        <v>18</v>
      </c>
      <c r="AB16" s="8" t="s">
        <v>18</v>
      </c>
      <c r="AC16" s="10"/>
      <c r="AD16" s="81" t="s">
        <v>109</v>
      </c>
      <c r="AE16" s="82">
        <v>1</v>
      </c>
      <c r="AF16" s="83">
        <f>F13</f>
        <v>1</v>
      </c>
      <c r="AG16" s="83">
        <f>AG15</f>
        <v>0.65</v>
      </c>
      <c r="AH16" s="84">
        <f>AH15</f>
        <v>15</v>
      </c>
      <c r="AI16" s="82">
        <f ca="1">AF8</f>
        <v>2000</v>
      </c>
      <c r="AJ16" s="30">
        <f ca="1">(AL6*AF16*AG16+AH16)*AI16</f>
        <v>1759000</v>
      </c>
      <c r="AK16" s="10"/>
      <c r="AL16" s="10"/>
      <c r="AM16" s="10"/>
      <c r="AN16" s="10"/>
      <c r="AO16" s="10"/>
    </row>
    <row r="17" spans="3:41" x14ac:dyDescent="0.25">
      <c r="C17" s="38" t="s">
        <v>92</v>
      </c>
      <c r="D17" s="68"/>
      <c r="E17" s="39"/>
      <c r="F17" s="74">
        <v>1</v>
      </c>
      <c r="G17" s="75">
        <v>0.8</v>
      </c>
      <c r="H17" s="113">
        <v>8100</v>
      </c>
      <c r="N17" s="8" t="s">
        <v>18</v>
      </c>
      <c r="O17" s="118" t="s">
        <v>118</v>
      </c>
      <c r="P17" s="6" t="s">
        <v>141</v>
      </c>
      <c r="T17" s="51" t="s">
        <v>65</v>
      </c>
      <c r="AB17" s="8" t="s">
        <v>18</v>
      </c>
      <c r="AC17" s="10"/>
      <c r="AD17" s="81" t="s">
        <v>107</v>
      </c>
      <c r="AE17" s="82">
        <v>2</v>
      </c>
      <c r="AF17" s="83">
        <f>AF15</f>
        <v>0.7</v>
      </c>
      <c r="AG17" s="83">
        <f>F17</f>
        <v>1</v>
      </c>
      <c r="AH17" s="84">
        <f>AH15</f>
        <v>15</v>
      </c>
      <c r="AI17" s="82">
        <f ca="1">AG7</f>
        <v>3100</v>
      </c>
      <c r="AJ17" s="30">
        <f ca="1">(AL6*AF17*AG17+AH17)*AI17</f>
        <v>2932599.9999999995</v>
      </c>
      <c r="AK17" s="10"/>
      <c r="AL17" s="10"/>
      <c r="AM17" s="10"/>
      <c r="AN17" s="10"/>
      <c r="AO17" s="10"/>
    </row>
    <row r="18" spans="3:41" x14ac:dyDescent="0.25">
      <c r="H18" s="10"/>
      <c r="N18" s="8" t="s">
        <v>18</v>
      </c>
      <c r="AB18" s="8" t="s">
        <v>18</v>
      </c>
      <c r="AC18" s="10"/>
      <c r="AD18" s="79" t="s">
        <v>109</v>
      </c>
      <c r="AE18" s="28">
        <v>2</v>
      </c>
      <c r="AF18" s="89">
        <f>AF16</f>
        <v>1</v>
      </c>
      <c r="AG18" s="89">
        <f>AG17</f>
        <v>1</v>
      </c>
      <c r="AH18" s="14">
        <f>AH15</f>
        <v>15</v>
      </c>
      <c r="AI18" s="28">
        <f ca="1">AG8</f>
        <v>3000</v>
      </c>
      <c r="AJ18" s="39">
        <f ca="1">(AL6*AF18*AG18+AH18)*AI18</f>
        <v>4035000</v>
      </c>
      <c r="AK18" s="10"/>
      <c r="AL18" s="10"/>
      <c r="AM18" s="10"/>
      <c r="AN18" s="10"/>
      <c r="AO18" s="10"/>
    </row>
    <row r="19" spans="3:41" x14ac:dyDescent="0.25">
      <c r="C19" s="13" t="s">
        <v>106</v>
      </c>
      <c r="D19" s="10"/>
      <c r="E19" s="10"/>
      <c r="F19" s="10"/>
      <c r="G19" s="12"/>
      <c r="H19" s="10"/>
      <c r="I19" s="10"/>
      <c r="J19" s="10"/>
      <c r="K19" s="10"/>
      <c r="L19" s="139"/>
      <c r="M19" s="10"/>
      <c r="N19" s="8" t="s">
        <v>18</v>
      </c>
      <c r="P19" s="51" t="s">
        <v>65</v>
      </c>
      <c r="Q19" s="8" t="s">
        <v>32</v>
      </c>
      <c r="R19" s="119" t="s">
        <v>142</v>
      </c>
      <c r="S19" s="51"/>
      <c r="T19" s="8"/>
      <c r="U19" s="11" t="s">
        <v>31</v>
      </c>
      <c r="V19" s="120" t="s">
        <v>143</v>
      </c>
      <c r="W19" s="120"/>
      <c r="X19" s="8"/>
      <c r="AB19" s="8" t="s">
        <v>18</v>
      </c>
      <c r="AC19" s="10"/>
      <c r="AD19" s="38"/>
      <c r="AE19" s="39"/>
      <c r="AF19" s="68"/>
      <c r="AG19" s="68"/>
      <c r="AH19" s="90"/>
      <c r="AI19" s="28">
        <f ca="1">SUM(AI15:AI18)</f>
        <v>9700</v>
      </c>
      <c r="AJ19" s="28">
        <f ca="1">SUM(AJ15:AJ18)</f>
        <v>9718840</v>
      </c>
      <c r="AK19" s="91" t="s">
        <v>112</v>
      </c>
      <c r="AL19" s="50" t="s">
        <v>113</v>
      </c>
      <c r="AM19" s="92"/>
      <c r="AN19" s="11" t="s">
        <v>32</v>
      </c>
      <c r="AO19" s="93">
        <f ca="1">AJ19/AI19</f>
        <v>1001.9422680412371</v>
      </c>
    </row>
    <row r="20" spans="3:41" x14ac:dyDescent="0.25">
      <c r="C20" s="10"/>
      <c r="D20" s="10"/>
      <c r="E20" s="10"/>
      <c r="F20" s="10"/>
      <c r="G20" s="12"/>
      <c r="H20" s="10"/>
      <c r="I20" s="10"/>
      <c r="J20" s="10"/>
      <c r="K20" s="10"/>
      <c r="L20" s="10"/>
      <c r="M20" s="12"/>
      <c r="N20" s="8" t="s">
        <v>18</v>
      </c>
      <c r="Q20" s="8" t="s">
        <v>32</v>
      </c>
      <c r="R20" s="121">
        <f>J7</f>
        <v>723.8447727272727</v>
      </c>
      <c r="U20" s="11" t="s">
        <v>31</v>
      </c>
      <c r="V20" s="122">
        <f>1+J5</f>
        <v>1.08</v>
      </c>
      <c r="AB20" s="8" t="s">
        <v>18</v>
      </c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3:41" x14ac:dyDescent="0.25">
      <c r="C21" s="60"/>
      <c r="D21" s="61"/>
      <c r="E21" s="44"/>
      <c r="F21" s="62" t="s">
        <v>85</v>
      </c>
      <c r="G21" s="63" t="s">
        <v>86</v>
      </c>
      <c r="H21" s="10"/>
      <c r="I21" s="10"/>
      <c r="J21" s="10"/>
      <c r="K21" s="10"/>
      <c r="L21" s="10"/>
      <c r="M21" s="12"/>
      <c r="N21" s="8" t="s">
        <v>18</v>
      </c>
      <c r="Q21" s="8" t="s">
        <v>32</v>
      </c>
      <c r="R21" s="123">
        <f>R20*V20</f>
        <v>781.75235454545452</v>
      </c>
      <c r="AB21" s="8" t="s">
        <v>18</v>
      </c>
      <c r="AC21" s="10"/>
      <c r="AD21" s="10" t="s">
        <v>114</v>
      </c>
      <c r="AE21" s="10"/>
      <c r="AF21" s="10"/>
      <c r="AG21" s="11" t="s">
        <v>32</v>
      </c>
      <c r="AH21" s="93">
        <f ca="1">AO19</f>
        <v>1001.9422680412371</v>
      </c>
      <c r="AI21" s="11" t="s">
        <v>31</v>
      </c>
      <c r="AJ21" s="52">
        <f>1+J5</f>
        <v>1.08</v>
      </c>
      <c r="AK21" s="94" t="s">
        <v>115</v>
      </c>
      <c r="AL21" s="95" t="s">
        <v>116</v>
      </c>
      <c r="AM21" s="96">
        <f>J5</f>
        <v>0.08</v>
      </c>
      <c r="AN21" s="97" t="s">
        <v>117</v>
      </c>
      <c r="AO21" s="10"/>
    </row>
    <row r="22" spans="3:41" x14ac:dyDescent="0.25">
      <c r="C22" s="38" t="s">
        <v>106</v>
      </c>
      <c r="D22" s="68"/>
      <c r="E22" s="39"/>
      <c r="F22" s="87">
        <v>15</v>
      </c>
      <c r="G22" s="88">
        <v>20</v>
      </c>
      <c r="H22" s="10"/>
      <c r="I22" s="10"/>
      <c r="J22" s="10"/>
      <c r="K22" s="10"/>
      <c r="L22" s="10"/>
      <c r="M22" s="12"/>
      <c r="N22" s="8" t="s">
        <v>18</v>
      </c>
      <c r="AB22" s="8" t="s">
        <v>18</v>
      </c>
      <c r="AC22" s="10"/>
      <c r="AD22" s="10"/>
      <c r="AE22" s="10"/>
      <c r="AF22" s="10"/>
      <c r="AG22" s="11" t="s">
        <v>32</v>
      </c>
      <c r="AH22" s="52">
        <f ca="1">AH21*AJ21</f>
        <v>1082.0976494845361</v>
      </c>
      <c r="AI22" s="71"/>
      <c r="AJ22" s="10"/>
      <c r="AL22" s="10"/>
      <c r="AM22" s="10"/>
      <c r="AN22" s="10"/>
      <c r="AO22" s="10"/>
    </row>
    <row r="23" spans="3:41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24" t="s">
        <v>63</v>
      </c>
      <c r="P23" s="6" t="s">
        <v>159</v>
      </c>
      <c r="T23" s="12"/>
      <c r="Z23" s="10"/>
      <c r="AA23" s="10"/>
      <c r="AB23" s="8" t="s">
        <v>18</v>
      </c>
      <c r="AC23" s="12"/>
    </row>
    <row r="24" spans="3:41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Y24" s="10"/>
      <c r="Z24" s="10"/>
      <c r="AA24" s="10"/>
      <c r="AB24" s="8" t="s">
        <v>18</v>
      </c>
      <c r="AC24" s="12"/>
    </row>
    <row r="25" spans="3:41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P25" s="51" t="s">
        <v>160</v>
      </c>
      <c r="Q25" s="8" t="s">
        <v>32</v>
      </c>
      <c r="R25" s="140" t="s">
        <v>161</v>
      </c>
      <c r="S25" s="51"/>
      <c r="T25" s="8"/>
      <c r="U25" s="11" t="s">
        <v>31</v>
      </c>
      <c r="V25" s="120" t="s">
        <v>162</v>
      </c>
      <c r="W25" s="125"/>
      <c r="X25" s="117"/>
      <c r="Y25" s="10"/>
      <c r="Z25" s="10"/>
      <c r="AA25" s="10"/>
      <c r="AB25" s="8" t="s">
        <v>18</v>
      </c>
      <c r="AC25" s="12"/>
    </row>
    <row r="26" spans="3:41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Q26" s="8" t="s">
        <v>32</v>
      </c>
      <c r="R26" s="141">
        <f>(R21-G22)/(J7-F22)</f>
        <v>1.0746391648126576</v>
      </c>
      <c r="S26" s="10"/>
      <c r="T26" s="10"/>
      <c r="U26" s="11" t="s">
        <v>31</v>
      </c>
      <c r="V26" s="141">
        <f>1/Z15</f>
        <v>0.99252749010484198</v>
      </c>
      <c r="W26" s="10"/>
      <c r="X26" s="10"/>
      <c r="Y26" s="10"/>
      <c r="Z26" s="10"/>
      <c r="AA26" s="10"/>
      <c r="AB26" s="8" t="s">
        <v>18</v>
      </c>
      <c r="AC26" s="10"/>
    </row>
    <row r="27" spans="3:41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10"/>
      <c r="Q27" s="8" t="s">
        <v>32</v>
      </c>
      <c r="R27" s="142">
        <f>R26*V26</f>
        <v>1.0666089130198708</v>
      </c>
      <c r="S27" s="10"/>
      <c r="T27" s="10"/>
      <c r="U27" s="10"/>
      <c r="V27" s="10"/>
      <c r="W27" s="10"/>
      <c r="X27" s="10"/>
      <c r="Y27" s="10"/>
      <c r="Z27" s="10"/>
      <c r="AA27" s="10"/>
      <c r="AB27" s="8" t="s">
        <v>18</v>
      </c>
      <c r="AC27" s="10"/>
    </row>
    <row r="28" spans="3:41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8" t="s">
        <v>18</v>
      </c>
      <c r="AC28" s="10"/>
    </row>
    <row r="29" spans="3:4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24" t="s">
        <v>69</v>
      </c>
      <c r="P29" s="6" t="s">
        <v>144</v>
      </c>
      <c r="T29" s="12"/>
      <c r="Y29" s="10"/>
      <c r="Z29" s="10"/>
      <c r="AA29" s="10"/>
      <c r="AB29" s="8" t="s">
        <v>18</v>
      </c>
      <c r="AC29" s="10"/>
    </row>
    <row r="30" spans="3:41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AB30" s="8" t="s">
        <v>18</v>
      </c>
      <c r="AC30" s="10"/>
    </row>
    <row r="31" spans="3:41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P31" s="51" t="s">
        <v>145</v>
      </c>
      <c r="Q31" s="8" t="s">
        <v>32</v>
      </c>
      <c r="R31" s="6" t="s">
        <v>163</v>
      </c>
      <c r="S31" s="8" t="s">
        <v>31</v>
      </c>
      <c r="T31" s="6" t="s">
        <v>164</v>
      </c>
      <c r="AB31" s="8" t="s">
        <v>18</v>
      </c>
      <c r="AC31" s="10"/>
    </row>
    <row r="32" spans="3:41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Q32" s="8" t="s">
        <v>32</v>
      </c>
      <c r="R32" s="50">
        <f>E7</f>
        <v>885</v>
      </c>
      <c r="S32" s="8" t="s">
        <v>31</v>
      </c>
      <c r="T32" s="141">
        <f>R27</f>
        <v>1.0666089130198708</v>
      </c>
      <c r="AB32" s="8" t="s">
        <v>18</v>
      </c>
      <c r="AC32" s="10"/>
    </row>
    <row r="33" spans="1:29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10"/>
      <c r="P33" s="10"/>
      <c r="Q33" s="8" t="s">
        <v>32</v>
      </c>
      <c r="R33" s="105">
        <f>R32*T32</f>
        <v>943.94888802258572</v>
      </c>
      <c r="AB33" s="8" t="s">
        <v>18</v>
      </c>
      <c r="AC33" s="10"/>
    </row>
    <row r="34" spans="1:29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AB34" s="8" t="s">
        <v>18</v>
      </c>
      <c r="AC34" s="10"/>
    </row>
    <row r="35" spans="1:29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8" t="s">
        <v>18</v>
      </c>
      <c r="AC35" s="10"/>
    </row>
    <row r="36" spans="1:29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8" t="s">
        <v>18</v>
      </c>
      <c r="AC36" s="10"/>
    </row>
    <row r="37" spans="1:29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8" t="s">
        <v>18</v>
      </c>
      <c r="AC37" s="10"/>
    </row>
    <row r="38" spans="1:29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8" t="s">
        <v>18</v>
      </c>
      <c r="AC38" s="10"/>
    </row>
    <row r="39" spans="1:2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8" t="s">
        <v>18</v>
      </c>
      <c r="AC39" s="10"/>
    </row>
    <row r="40" spans="1:29" x14ac:dyDescent="0.25">
      <c r="N40" s="8" t="s">
        <v>18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8" t="s">
        <v>18</v>
      </c>
      <c r="AC40" s="10"/>
    </row>
    <row r="41" spans="1:29" x14ac:dyDescent="0.25">
      <c r="N41" s="8" t="s">
        <v>18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8" t="s">
        <v>18</v>
      </c>
      <c r="AC41" s="10"/>
    </row>
    <row r="42" spans="1:29" x14ac:dyDescent="0.25">
      <c r="N42" s="8" t="s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8" t="s">
        <v>18</v>
      </c>
      <c r="AC42" s="10"/>
    </row>
    <row r="43" spans="1:29" x14ac:dyDescent="0.25">
      <c r="N43" s="8" t="s">
        <v>18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8" t="s">
        <v>18</v>
      </c>
      <c r="AC43" s="10"/>
    </row>
    <row r="44" spans="1:29" x14ac:dyDescent="0.25">
      <c r="N44" s="8" t="s">
        <v>18</v>
      </c>
      <c r="AB44" s="8" t="s">
        <v>18</v>
      </c>
    </row>
    <row r="45" spans="1:29" x14ac:dyDescent="0.25">
      <c r="N45" s="8" t="s">
        <v>18</v>
      </c>
      <c r="AB45" s="8" t="s">
        <v>18</v>
      </c>
    </row>
    <row r="46" spans="1:29" x14ac:dyDescent="0.25">
      <c r="N46" s="8" t="s">
        <v>18</v>
      </c>
      <c r="AB46" s="8" t="s">
        <v>18</v>
      </c>
    </row>
    <row r="47" spans="1:29" x14ac:dyDescent="0.25">
      <c r="N47" s="8" t="s">
        <v>18</v>
      </c>
      <c r="AB47" s="8" t="s">
        <v>18</v>
      </c>
    </row>
    <row r="48" spans="1:29" x14ac:dyDescent="0.25">
      <c r="N48" s="8" t="s">
        <v>18</v>
      </c>
      <c r="AB48" s="8" t="s">
        <v>18</v>
      </c>
    </row>
    <row r="49" spans="14:28" x14ac:dyDescent="0.25">
      <c r="N49" s="8" t="s">
        <v>18</v>
      </c>
      <c r="AB49" s="8" t="s">
        <v>18</v>
      </c>
    </row>
    <row r="50" spans="14:28" x14ac:dyDescent="0.25">
      <c r="N50" s="8" t="s">
        <v>18</v>
      </c>
      <c r="AB50" s="8" t="s">
        <v>18</v>
      </c>
    </row>
    <row r="51" spans="14:28" x14ac:dyDescent="0.25">
      <c r="N51" s="8" t="s">
        <v>18</v>
      </c>
      <c r="AB51" s="8" t="s">
        <v>18</v>
      </c>
    </row>
    <row r="52" spans="14:28" x14ac:dyDescent="0.25">
      <c r="N52" s="8" t="s">
        <v>18</v>
      </c>
      <c r="AB52" s="8" t="s">
        <v>18</v>
      </c>
    </row>
    <row r="53" spans="14:28" x14ac:dyDescent="0.25">
      <c r="N53" s="8" t="s">
        <v>18</v>
      </c>
      <c r="AB53" s="8" t="s">
        <v>18</v>
      </c>
    </row>
    <row r="54" spans="14:28" x14ac:dyDescent="0.25">
      <c r="N54" s="8" t="s">
        <v>18</v>
      </c>
      <c r="AB54" s="8" t="s">
        <v>18</v>
      </c>
    </row>
    <row r="55" spans="14:28" x14ac:dyDescent="0.25">
      <c r="N55" s="8" t="s">
        <v>18</v>
      </c>
      <c r="AB55" s="8" t="s">
        <v>18</v>
      </c>
    </row>
    <row r="56" spans="14:28" x14ac:dyDescent="0.25">
      <c r="N56" s="8" t="s">
        <v>18</v>
      </c>
      <c r="AB56" s="8" t="s">
        <v>18</v>
      </c>
    </row>
    <row r="57" spans="14:28" x14ac:dyDescent="0.25">
      <c r="N57" s="8" t="s">
        <v>18</v>
      </c>
      <c r="AB57" s="8" t="s">
        <v>18</v>
      </c>
    </row>
    <row r="58" spans="14:28" x14ac:dyDescent="0.25">
      <c r="N58" s="8" t="s">
        <v>18</v>
      </c>
      <c r="AB58" s="8" t="s">
        <v>18</v>
      </c>
    </row>
    <row r="59" spans="14:28" x14ac:dyDescent="0.25">
      <c r="N59" s="8" t="s">
        <v>18</v>
      </c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7109375" style="6" customWidth="1"/>
    <col min="14" max="19" width="9.140625" style="6" customWidth="1"/>
    <col min="20" max="20" width="10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8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B1" s="8" t="s">
        <v>18</v>
      </c>
    </row>
    <row r="2" spans="1:28" x14ac:dyDescent="0.25">
      <c r="A2" s="5" t="s">
        <v>19</v>
      </c>
      <c r="C2" s="6" t="s">
        <v>20</v>
      </c>
      <c r="N2" s="8" t="s">
        <v>18</v>
      </c>
      <c r="AB2" s="8" t="s">
        <v>18</v>
      </c>
    </row>
    <row r="3" spans="1:28" x14ac:dyDescent="0.25">
      <c r="A3" s="5" t="s">
        <v>21</v>
      </c>
      <c r="C3" s="6" t="s">
        <v>165</v>
      </c>
      <c r="N3" s="8" t="s">
        <v>18</v>
      </c>
      <c r="O3" s="9" t="s">
        <v>22</v>
      </c>
      <c r="P3" s="6" t="s">
        <v>166</v>
      </c>
      <c r="AB3" s="8" t="s">
        <v>18</v>
      </c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B4" s="8" t="s">
        <v>18</v>
      </c>
    </row>
    <row r="5" spans="1:28" x14ac:dyDescent="0.25">
      <c r="A5" s="13" t="s">
        <v>24</v>
      </c>
      <c r="C5" s="10" t="s">
        <v>167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P5" s="125" t="s">
        <v>168</v>
      </c>
      <c r="Q5" s="125" t="s">
        <v>169</v>
      </c>
      <c r="R5" s="125" t="s">
        <v>170</v>
      </c>
      <c r="S5" s="125" t="s">
        <v>171</v>
      </c>
      <c r="T5" s="125" t="s">
        <v>172</v>
      </c>
      <c r="U5" s="125" t="s">
        <v>173</v>
      </c>
      <c r="V5" s="125" t="s">
        <v>174</v>
      </c>
      <c r="W5" s="125" t="s">
        <v>175</v>
      </c>
      <c r="X5" s="125" t="s">
        <v>176</v>
      </c>
      <c r="Y5" s="10"/>
      <c r="Z5" s="10"/>
      <c r="AA5" s="10"/>
      <c r="AB5" s="8" t="s">
        <v>18</v>
      </c>
    </row>
    <row r="6" spans="1:2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43" t="s">
        <v>177</v>
      </c>
      <c r="Q6" s="62" t="s">
        <v>104</v>
      </c>
      <c r="R6" s="62" t="s">
        <v>85</v>
      </c>
      <c r="S6" s="63" t="s">
        <v>86</v>
      </c>
      <c r="T6" s="144" t="s">
        <v>178</v>
      </c>
      <c r="U6" s="145" t="s">
        <v>179</v>
      </c>
      <c r="V6" s="62" t="s">
        <v>180</v>
      </c>
      <c r="W6" s="63" t="s">
        <v>181</v>
      </c>
      <c r="X6" s="63" t="s">
        <v>182</v>
      </c>
      <c r="Y6" s="10"/>
      <c r="Z6" s="10"/>
      <c r="AA6" s="10"/>
      <c r="AB6" s="8" t="s">
        <v>18</v>
      </c>
    </row>
    <row r="7" spans="1:28" x14ac:dyDescent="0.25">
      <c r="C7" s="146" t="s">
        <v>183</v>
      </c>
      <c r="D7" s="147"/>
      <c r="E7" s="147"/>
      <c r="F7" s="147"/>
      <c r="G7" s="147"/>
      <c r="H7" s="148"/>
      <c r="I7" s="149">
        <v>0.09</v>
      </c>
      <c r="J7" s="10"/>
      <c r="K7" s="10"/>
      <c r="L7" s="10"/>
      <c r="M7" s="12"/>
      <c r="N7" s="8" t="s">
        <v>18</v>
      </c>
      <c r="O7" s="10"/>
      <c r="P7" s="150" t="s">
        <v>184</v>
      </c>
      <c r="Q7" s="151">
        <f t="shared" ref="Q7:S9" si="0">D14</f>
        <v>122000</v>
      </c>
      <c r="R7" s="152">
        <f t="shared" si="0"/>
        <v>0.69</v>
      </c>
      <c r="S7" s="153">
        <f t="shared" si="0"/>
        <v>0.8899999999999999</v>
      </c>
      <c r="T7" s="154">
        <f>S7/R7-1</f>
        <v>0.28985507246376807</v>
      </c>
      <c r="U7" s="155">
        <f>1/(1+T10)</f>
        <v>0.95580076739022057</v>
      </c>
      <c r="V7" s="156">
        <f>I7</f>
        <v>0.09</v>
      </c>
      <c r="W7" s="157">
        <f>(1+T7)*U7*(1+V7)-1</f>
        <v>0.34380047021051174</v>
      </c>
      <c r="X7" s="82">
        <f>Q7*(1+W7)</f>
        <v>163943.65736568242</v>
      </c>
      <c r="Y7" s="11"/>
      <c r="Z7" s="10"/>
      <c r="AA7" s="10"/>
      <c r="AB7" s="8" t="s">
        <v>18</v>
      </c>
    </row>
    <row r="8" spans="1:28" x14ac:dyDescent="0.25">
      <c r="A8" s="13"/>
      <c r="B8" s="12"/>
      <c r="C8" s="158" t="s">
        <v>185</v>
      </c>
      <c r="D8" s="159"/>
      <c r="E8" s="159"/>
      <c r="F8" s="159"/>
      <c r="G8" s="159"/>
      <c r="H8" s="160"/>
      <c r="I8" s="161">
        <v>0.15</v>
      </c>
      <c r="J8" s="10"/>
      <c r="K8" s="12"/>
      <c r="L8" s="12"/>
      <c r="M8" s="12"/>
      <c r="N8" s="8" t="s">
        <v>18</v>
      </c>
      <c r="O8" s="10"/>
      <c r="P8" s="150" t="s">
        <v>186</v>
      </c>
      <c r="Q8" s="151">
        <f t="shared" si="0"/>
        <v>740000</v>
      </c>
      <c r="R8" s="152">
        <f t="shared" si="0"/>
        <v>1</v>
      </c>
      <c r="S8" s="153">
        <f t="shared" si="0"/>
        <v>1</v>
      </c>
      <c r="T8" s="154">
        <f>S8/R8-1</f>
        <v>0</v>
      </c>
      <c r="U8" s="155">
        <f>1/(1+T10)</f>
        <v>0.95580076739022057</v>
      </c>
      <c r="V8" s="156">
        <f>I7</f>
        <v>0.09</v>
      </c>
      <c r="W8" s="157">
        <f>(1+T8)*U8*(1+V8)-1</f>
        <v>4.1822836455340573E-2</v>
      </c>
      <c r="X8" s="82">
        <f>Q8*(1+W8)</f>
        <v>770948.89897695207</v>
      </c>
      <c r="Y8" s="10"/>
      <c r="Z8" s="10"/>
      <c r="AA8" s="10"/>
      <c r="AB8" s="8" t="s">
        <v>18</v>
      </c>
    </row>
    <row r="9" spans="1:28" x14ac:dyDescent="0.25">
      <c r="A9" s="12"/>
      <c r="B9" s="12"/>
      <c r="J9" s="10"/>
      <c r="K9" s="12"/>
      <c r="L9" s="12"/>
      <c r="M9" s="12"/>
      <c r="N9" s="8" t="s">
        <v>18</v>
      </c>
      <c r="O9" s="10"/>
      <c r="P9" s="162" t="s">
        <v>187</v>
      </c>
      <c r="Q9" s="163">
        <f t="shared" si="0"/>
        <v>188000</v>
      </c>
      <c r="R9" s="164">
        <f t="shared" si="0"/>
        <v>1.1399999999999999</v>
      </c>
      <c r="S9" s="165">
        <f t="shared" si="0"/>
        <v>1.22</v>
      </c>
      <c r="T9" s="166">
        <f>S9/R9-1</f>
        <v>7.0175438596491224E-2</v>
      </c>
      <c r="U9" s="167">
        <f>1/(1+T10)</f>
        <v>0.95580076739022057</v>
      </c>
      <c r="V9" s="168">
        <f>I7</f>
        <v>0.09</v>
      </c>
      <c r="W9" s="169">
        <f>(1+T9)*U9*(1+V9)-1</f>
        <v>0.11493321094343467</v>
      </c>
      <c r="X9" s="28">
        <f>Q9*(1+W9)</f>
        <v>209607.44365736571</v>
      </c>
      <c r="Y9" s="10"/>
      <c r="Z9" s="10"/>
      <c r="AA9" s="10"/>
      <c r="AB9" s="8" t="s">
        <v>18</v>
      </c>
    </row>
    <row r="10" spans="1:28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62" t="s">
        <v>188</v>
      </c>
      <c r="Q10" s="170">
        <f>SUM(Q7:Q9)</f>
        <v>1050000</v>
      </c>
      <c r="R10" s="171" t="s">
        <v>189</v>
      </c>
      <c r="S10" s="172" t="s">
        <v>189</v>
      </c>
      <c r="T10" s="173">
        <f>SUMPRODUCT(T7:T9,Q7:Q9)/SUM(Q7:Q9)</f>
        <v>4.6243144092114337E-2</v>
      </c>
      <c r="U10" s="174">
        <f>1/(1+T10)</f>
        <v>0.95580076739022057</v>
      </c>
      <c r="V10" s="168">
        <f>I7</f>
        <v>0.09</v>
      </c>
      <c r="W10" s="175">
        <f>(1+T10)*U10*(1+V10)-1</f>
        <v>8.9999999999999858E-2</v>
      </c>
      <c r="X10" s="80">
        <f>Q10*(1+W10)</f>
        <v>1144499.9999999998</v>
      </c>
      <c r="Y10" s="10"/>
      <c r="Z10" s="10"/>
      <c r="AA10" s="10"/>
      <c r="AB10" s="8" t="s">
        <v>18</v>
      </c>
    </row>
    <row r="11" spans="1:28" x14ac:dyDescent="0.25">
      <c r="A11" s="13" t="s">
        <v>35</v>
      </c>
      <c r="B11" s="12"/>
      <c r="C11" s="13" t="s">
        <v>190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0"/>
      <c r="S11" s="10"/>
      <c r="T11" s="176" t="s">
        <v>191</v>
      </c>
      <c r="U11" s="10"/>
      <c r="V11" s="10"/>
      <c r="W11" s="10"/>
      <c r="X11" s="10"/>
      <c r="Y11" s="10"/>
      <c r="Z11" s="10"/>
      <c r="AA11" s="10"/>
      <c r="AB11" s="8" t="s">
        <v>18</v>
      </c>
    </row>
    <row r="12" spans="1:28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18</v>
      </c>
      <c r="O12" s="10"/>
      <c r="P12" s="125" t="s">
        <v>172</v>
      </c>
      <c r="Q12" s="10" t="s">
        <v>192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8" t="s">
        <v>18</v>
      </c>
    </row>
    <row r="13" spans="1:28" x14ac:dyDescent="0.25">
      <c r="A13" s="12"/>
      <c r="B13" s="12"/>
      <c r="C13" s="143" t="s">
        <v>177</v>
      </c>
      <c r="D13" s="62" t="s">
        <v>104</v>
      </c>
      <c r="E13" s="62" t="s">
        <v>85</v>
      </c>
      <c r="F13" s="63" t="s">
        <v>86</v>
      </c>
      <c r="G13" s="10"/>
      <c r="H13" s="10"/>
      <c r="I13" s="10"/>
      <c r="J13" s="10"/>
      <c r="K13" s="12"/>
      <c r="L13" s="12"/>
      <c r="M13" s="12"/>
      <c r="N13" s="8" t="s">
        <v>18</v>
      </c>
      <c r="O13" s="10"/>
      <c r="P13" s="11" t="s">
        <v>193</v>
      </c>
      <c r="Q13" s="10" t="s">
        <v>194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8" t="s">
        <v>18</v>
      </c>
    </row>
    <row r="14" spans="1:28" x14ac:dyDescent="0.25">
      <c r="A14" s="12"/>
      <c r="B14" s="12"/>
      <c r="C14" s="150" t="s">
        <v>184</v>
      </c>
      <c r="D14" s="151">
        <v>122000</v>
      </c>
      <c r="E14" s="152">
        <v>0.69</v>
      </c>
      <c r="F14" s="153">
        <v>0.8899999999999999</v>
      </c>
      <c r="G14" s="10"/>
      <c r="H14" s="10"/>
      <c r="I14" s="10"/>
      <c r="J14" s="10"/>
      <c r="K14" s="12"/>
      <c r="L14" s="12"/>
      <c r="M14" s="12"/>
      <c r="N14" s="8" t="s">
        <v>18</v>
      </c>
      <c r="O14" s="10"/>
      <c r="P14" s="177" t="s">
        <v>173</v>
      </c>
      <c r="Q14" s="61" t="s">
        <v>195</v>
      </c>
      <c r="R14" s="61"/>
      <c r="S14" s="178" t="s">
        <v>196</v>
      </c>
      <c r="T14" s="61"/>
      <c r="U14" s="178" t="s">
        <v>197</v>
      </c>
      <c r="V14" s="44"/>
      <c r="W14" s="10"/>
      <c r="X14" s="10"/>
      <c r="Y14" s="10"/>
      <c r="Z14" s="10"/>
      <c r="AA14" s="10"/>
      <c r="AB14" s="8" t="s">
        <v>18</v>
      </c>
    </row>
    <row r="15" spans="1:28" x14ac:dyDescent="0.25">
      <c r="C15" s="150" t="s">
        <v>186</v>
      </c>
      <c r="D15" s="151">
        <v>740000</v>
      </c>
      <c r="E15" s="152">
        <v>1</v>
      </c>
      <c r="F15" s="153">
        <v>1</v>
      </c>
      <c r="G15" s="10"/>
      <c r="H15" s="10"/>
      <c r="I15" s="10"/>
      <c r="J15" s="10"/>
      <c r="K15" s="10"/>
      <c r="L15" s="10"/>
      <c r="M15" s="12"/>
      <c r="N15" s="8" t="s">
        <v>18</v>
      </c>
      <c r="O15" s="10"/>
      <c r="P15" s="125" t="s">
        <v>174</v>
      </c>
      <c r="Q15" s="10" t="s">
        <v>198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8" t="s">
        <v>18</v>
      </c>
    </row>
    <row r="16" spans="1:28" x14ac:dyDescent="0.25">
      <c r="C16" s="162" t="s">
        <v>187</v>
      </c>
      <c r="D16" s="163">
        <v>188000</v>
      </c>
      <c r="E16" s="164">
        <v>1.1399999999999999</v>
      </c>
      <c r="F16" s="165">
        <v>1.22</v>
      </c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125" t="s">
        <v>175</v>
      </c>
      <c r="Q16" s="10" t="s">
        <v>199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8" t="s">
        <v>18</v>
      </c>
    </row>
    <row r="17" spans="3:28" x14ac:dyDescent="0.25">
      <c r="C17" s="162" t="s">
        <v>188</v>
      </c>
      <c r="D17" s="170">
        <v>1050000</v>
      </c>
      <c r="E17" s="171" t="s">
        <v>189</v>
      </c>
      <c r="F17" s="172" t="s">
        <v>189</v>
      </c>
      <c r="G17" s="10"/>
      <c r="H17" s="10"/>
      <c r="I17" s="10"/>
      <c r="J17" s="10"/>
      <c r="K17" s="10"/>
      <c r="L17" s="10"/>
      <c r="M17" s="12"/>
      <c r="N17" s="8" t="s">
        <v>18</v>
      </c>
      <c r="O17" s="10"/>
      <c r="P17" s="125" t="s">
        <v>176</v>
      </c>
      <c r="Q17" s="10" t="s">
        <v>200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 t="s">
        <v>18</v>
      </c>
    </row>
    <row r="18" spans="3:28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8" t="s">
        <v>18</v>
      </c>
    </row>
    <row r="19" spans="3:28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18</v>
      </c>
      <c r="O19" s="25" t="s">
        <v>41</v>
      </c>
      <c r="P19" s="10" t="s">
        <v>201</v>
      </c>
      <c r="Q19" s="10"/>
      <c r="R19" s="10"/>
      <c r="S19" s="10"/>
      <c r="T19" s="10"/>
      <c r="U19" s="10"/>
      <c r="V19" s="10"/>
      <c r="W19" s="179">
        <f>I8</f>
        <v>0.15</v>
      </c>
      <c r="X19" s="10" t="s">
        <v>202</v>
      </c>
      <c r="Y19" s="10"/>
      <c r="Z19" s="10"/>
      <c r="AA19" s="10"/>
      <c r="AB19" s="8" t="s">
        <v>18</v>
      </c>
    </row>
    <row r="20" spans="3:28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8" t="s">
        <v>18</v>
      </c>
    </row>
    <row r="21" spans="3:28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92" t="s">
        <v>203</v>
      </c>
      <c r="Q21" s="11" t="s">
        <v>31</v>
      </c>
      <c r="R21" s="180" t="s">
        <v>179</v>
      </c>
      <c r="S21" s="11" t="s">
        <v>31</v>
      </c>
      <c r="T21" s="11" t="s">
        <v>204</v>
      </c>
      <c r="U21" s="11" t="s">
        <v>32</v>
      </c>
      <c r="V21" s="52" t="s">
        <v>205</v>
      </c>
      <c r="W21" s="10"/>
      <c r="X21" s="10"/>
      <c r="Y21" s="10"/>
      <c r="Z21" s="10"/>
      <c r="AA21" s="10"/>
      <c r="AB21" s="8" t="s">
        <v>18</v>
      </c>
    </row>
    <row r="22" spans="3:28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6" t="str">
        <f>"R / "&amp;R7</f>
        <v>R / 0.69</v>
      </c>
      <c r="Q22" s="11" t="s">
        <v>31</v>
      </c>
      <c r="R22" s="181">
        <f>U10</f>
        <v>0.95580076739022057</v>
      </c>
      <c r="S22" s="11" t="s">
        <v>31</v>
      </c>
      <c r="T22" s="52">
        <f>1+I7</f>
        <v>1.0900000000000001</v>
      </c>
      <c r="U22" s="11" t="s">
        <v>32</v>
      </c>
      <c r="V22" s="52">
        <f>1+I8</f>
        <v>1.1499999999999999</v>
      </c>
      <c r="W22" s="182" t="s">
        <v>206</v>
      </c>
      <c r="X22" s="43" t="s">
        <v>207</v>
      </c>
      <c r="Y22" s="62" t="s">
        <v>32</v>
      </c>
      <c r="Z22" s="183">
        <f>V22/(R22*T22)*R7</f>
        <v>0.76164581177714907</v>
      </c>
      <c r="AA22" s="10"/>
      <c r="AB22" s="8" t="s">
        <v>18</v>
      </c>
    </row>
    <row r="23" spans="3:2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3" t="s">
        <v>208</v>
      </c>
      <c r="AA23" s="10"/>
      <c r="AB23" s="8" t="s">
        <v>18</v>
      </c>
    </row>
    <row r="24" spans="3:2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28"/>
      <c r="AA24" s="10"/>
      <c r="AB24" s="8" t="s">
        <v>18</v>
      </c>
    </row>
    <row r="25" spans="3:2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25" t="s">
        <v>54</v>
      </c>
      <c r="P25" s="10" t="s">
        <v>209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8" t="s">
        <v>18</v>
      </c>
    </row>
    <row r="26" spans="3:28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8" t="s">
        <v>18</v>
      </c>
    </row>
    <row r="27" spans="3:28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92"/>
      <c r="Q27" s="92" t="s">
        <v>210</v>
      </c>
      <c r="R27" s="11" t="s">
        <v>32</v>
      </c>
      <c r="S27" s="34" t="s">
        <v>176</v>
      </c>
      <c r="T27" s="11" t="s">
        <v>31</v>
      </c>
      <c r="U27" s="11" t="s">
        <v>207</v>
      </c>
      <c r="V27" s="34" t="s">
        <v>47</v>
      </c>
      <c r="W27" s="34" t="s">
        <v>171</v>
      </c>
      <c r="X27" s="10"/>
      <c r="Y27" s="10"/>
      <c r="Z27" s="10"/>
      <c r="AA27" s="10"/>
      <c r="AB27" s="8" t="s">
        <v>18</v>
      </c>
    </row>
    <row r="28" spans="3:28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1" t="s">
        <v>32</v>
      </c>
      <c r="S28" s="11">
        <f>X7</f>
        <v>163943.65736568242</v>
      </c>
      <c r="T28" s="11" t="s">
        <v>31</v>
      </c>
      <c r="U28" s="114">
        <f>Z22</f>
        <v>0.76164581177714907</v>
      </c>
      <c r="V28" s="184" t="s">
        <v>47</v>
      </c>
      <c r="W28" s="114">
        <f>S7</f>
        <v>0.8899999999999999</v>
      </c>
      <c r="X28" s="10"/>
      <c r="Y28" s="10"/>
      <c r="Z28" s="10"/>
      <c r="AA28" s="10"/>
      <c r="AB28" s="8" t="s">
        <v>18</v>
      </c>
    </row>
    <row r="29" spans="3:28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1" t="s">
        <v>32</v>
      </c>
      <c r="S29" s="185">
        <f>S28*U28/W28</f>
        <v>140299.99999999997</v>
      </c>
      <c r="T29" s="10"/>
      <c r="U29" s="10"/>
      <c r="V29" s="10"/>
      <c r="W29" s="10"/>
      <c r="X29" s="10"/>
      <c r="Y29" s="10"/>
      <c r="Z29" s="10"/>
      <c r="AA29" s="10"/>
      <c r="AB29" s="8" t="s">
        <v>18</v>
      </c>
    </row>
    <row r="30" spans="3:28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8" t="s">
        <v>18</v>
      </c>
    </row>
    <row r="31" spans="3:28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 t="s">
        <v>211</v>
      </c>
      <c r="R31" s="11" t="s">
        <v>32</v>
      </c>
      <c r="S31" s="11">
        <f>S28</f>
        <v>163943.65736568242</v>
      </c>
      <c r="T31" s="11" t="s">
        <v>62</v>
      </c>
      <c r="U31" s="185">
        <f>S29</f>
        <v>140299.99999999997</v>
      </c>
      <c r="V31" s="11" t="s">
        <v>32</v>
      </c>
      <c r="W31" s="98">
        <f>S31-U31</f>
        <v>23643.657365682448</v>
      </c>
      <c r="X31" s="71" t="s">
        <v>212</v>
      </c>
      <c r="Y31" s="10"/>
      <c r="Z31" s="10"/>
      <c r="AA31" s="10"/>
      <c r="AB31" s="8" t="s">
        <v>18</v>
      </c>
    </row>
    <row r="32" spans="3:28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8" t="s">
        <v>18</v>
      </c>
    </row>
    <row r="33" spans="1:28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48" t="s">
        <v>63</v>
      </c>
      <c r="P33" s="10" t="s">
        <v>213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8" t="s">
        <v>18</v>
      </c>
    </row>
    <row r="34" spans="1:28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8" t="s">
        <v>18</v>
      </c>
    </row>
    <row r="35" spans="1:28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92" t="s">
        <v>214</v>
      </c>
      <c r="R35" s="11" t="s">
        <v>32</v>
      </c>
      <c r="S35" s="11">
        <f>X8</f>
        <v>770948.89897695207</v>
      </c>
      <c r="T35" s="11" t="s">
        <v>59</v>
      </c>
      <c r="U35" s="11">
        <f>X9</f>
        <v>209607.44365736571</v>
      </c>
      <c r="V35" s="11" t="s">
        <v>32</v>
      </c>
      <c r="W35" s="186">
        <f>S35+U35</f>
        <v>980556.34263431781</v>
      </c>
      <c r="X35" s="10"/>
      <c r="Y35" s="10"/>
      <c r="Z35" s="10"/>
      <c r="AA35" s="10"/>
      <c r="AB35" s="8" t="s">
        <v>18</v>
      </c>
    </row>
    <row r="36" spans="1:28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U36" s="10"/>
      <c r="V36" s="10"/>
      <c r="W36" s="10"/>
      <c r="X36" s="10"/>
      <c r="Y36" s="10"/>
      <c r="Z36" s="10"/>
      <c r="AA36" s="10"/>
      <c r="AB36" s="8" t="s">
        <v>18</v>
      </c>
    </row>
    <row r="37" spans="1:28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92" t="s">
        <v>215</v>
      </c>
      <c r="R37" s="11" t="s">
        <v>32</v>
      </c>
      <c r="S37" s="98">
        <f>W31</f>
        <v>23643.657365682448</v>
      </c>
      <c r="T37" s="34" t="s">
        <v>47</v>
      </c>
      <c r="U37" s="187">
        <f>W35</f>
        <v>980556.34263431781</v>
      </c>
      <c r="V37" s="11" t="s">
        <v>32</v>
      </c>
      <c r="W37" s="188">
        <f>S37/U37</f>
        <v>2.4112492406262429E-2</v>
      </c>
      <c r="X37" s="71" t="s">
        <v>216</v>
      </c>
      <c r="Y37" s="10"/>
      <c r="Z37" s="10"/>
      <c r="AA37" s="10"/>
      <c r="AB37" s="8" t="s">
        <v>18</v>
      </c>
    </row>
    <row r="38" spans="1:28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8" t="s">
        <v>18</v>
      </c>
    </row>
    <row r="39" spans="1: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48" t="s">
        <v>69</v>
      </c>
      <c r="P39" s="10" t="s">
        <v>217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8" t="s">
        <v>18</v>
      </c>
    </row>
    <row r="40" spans="1:28" x14ac:dyDescent="0.25">
      <c r="N40" s="8" t="s">
        <v>18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8" t="s">
        <v>18</v>
      </c>
    </row>
    <row r="41" spans="1:28" x14ac:dyDescent="0.25">
      <c r="N41" s="8" t="s">
        <v>18</v>
      </c>
      <c r="O41" s="10"/>
      <c r="P41" s="10"/>
      <c r="Q41" s="10"/>
      <c r="R41" s="92" t="s">
        <v>218</v>
      </c>
      <c r="S41" s="11" t="s">
        <v>32</v>
      </c>
      <c r="T41" s="189" t="s">
        <v>207</v>
      </c>
      <c r="U41" s="34" t="s">
        <v>47</v>
      </c>
      <c r="V41" s="50" t="s">
        <v>219</v>
      </c>
      <c r="W41" s="11"/>
      <c r="Y41" s="10"/>
      <c r="Z41" s="10"/>
      <c r="AA41" s="10"/>
      <c r="AB41" s="8" t="s">
        <v>18</v>
      </c>
    </row>
    <row r="42" spans="1:28" x14ac:dyDescent="0.25">
      <c r="N42" s="8" t="s">
        <v>18</v>
      </c>
      <c r="O42" s="10"/>
      <c r="P42" s="10"/>
      <c r="Q42" s="10"/>
      <c r="R42" s="10"/>
      <c r="S42" s="11" t="s">
        <v>32</v>
      </c>
      <c r="T42" s="190">
        <f>Z22</f>
        <v>0.76164581177714907</v>
      </c>
      <c r="U42" s="34" t="s">
        <v>47</v>
      </c>
      <c r="V42" s="191">
        <f>1+W37</f>
        <v>1.0241124924062623</v>
      </c>
      <c r="W42" s="10"/>
      <c r="X42" s="10"/>
      <c r="Y42" s="10"/>
      <c r="Z42" s="10"/>
      <c r="AA42" s="10"/>
      <c r="AB42" s="8" t="s">
        <v>18</v>
      </c>
    </row>
    <row r="43" spans="1:28" x14ac:dyDescent="0.25">
      <c r="N43" s="8" t="s">
        <v>18</v>
      </c>
      <c r="O43" s="10"/>
      <c r="P43" s="10"/>
      <c r="Q43" s="10"/>
      <c r="R43" s="10"/>
      <c r="S43" s="11" t="s">
        <v>32</v>
      </c>
      <c r="T43" s="192">
        <f>T42/V42</f>
        <v>0.74371303682428525</v>
      </c>
      <c r="U43" s="71" t="s">
        <v>220</v>
      </c>
      <c r="V43" s="10"/>
      <c r="W43" s="10"/>
      <c r="X43" s="10"/>
      <c r="Y43" s="10"/>
      <c r="Z43" s="10"/>
      <c r="AA43" s="10"/>
      <c r="AB43" s="8" t="s">
        <v>18</v>
      </c>
    </row>
    <row r="44" spans="1:28" x14ac:dyDescent="0.25">
      <c r="N44" s="8" t="s">
        <v>18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8" t="s">
        <v>18</v>
      </c>
    </row>
    <row r="45" spans="1:28" x14ac:dyDescent="0.25">
      <c r="N45" s="8" t="s">
        <v>18</v>
      </c>
      <c r="O45" s="10"/>
      <c r="P45" s="10"/>
      <c r="Q45" s="56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8" t="s">
        <v>18</v>
      </c>
    </row>
    <row r="46" spans="1:28" x14ac:dyDescent="0.25">
      <c r="N46" s="8" t="s">
        <v>18</v>
      </c>
      <c r="O46" s="10"/>
      <c r="P46" s="55" t="s">
        <v>129</v>
      </c>
      <c r="Q46" s="56" t="s">
        <v>221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8" t="s">
        <v>18</v>
      </c>
    </row>
    <row r="47" spans="1:28" x14ac:dyDescent="0.25">
      <c r="N47" s="8" t="s">
        <v>18</v>
      </c>
      <c r="AB47" s="8" t="s">
        <v>18</v>
      </c>
    </row>
    <row r="48" spans="1:28" x14ac:dyDescent="0.25">
      <c r="N48" s="8" t="s">
        <v>18</v>
      </c>
      <c r="AB48" s="8" t="s">
        <v>18</v>
      </c>
    </row>
    <row r="49" spans="14:28" x14ac:dyDescent="0.25">
      <c r="N49" s="8" t="s">
        <v>18</v>
      </c>
      <c r="AB49" s="8" t="s">
        <v>18</v>
      </c>
    </row>
    <row r="50" spans="14:28" x14ac:dyDescent="0.25">
      <c r="N50" s="8" t="s">
        <v>18</v>
      </c>
      <c r="AB50" s="8" t="s">
        <v>18</v>
      </c>
    </row>
    <row r="51" spans="14:28" x14ac:dyDescent="0.25">
      <c r="N51" s="8" t="s">
        <v>18</v>
      </c>
      <c r="AB51" s="8" t="s">
        <v>18</v>
      </c>
    </row>
    <row r="52" spans="14:28" x14ac:dyDescent="0.25">
      <c r="N52" s="8" t="s">
        <v>18</v>
      </c>
      <c r="AB52" s="8" t="s">
        <v>18</v>
      </c>
    </row>
    <row r="53" spans="14:28" x14ac:dyDescent="0.25">
      <c r="N53" s="8" t="s">
        <v>18</v>
      </c>
      <c r="AB53" s="8" t="s">
        <v>18</v>
      </c>
    </row>
    <row r="54" spans="14:28" x14ac:dyDescent="0.25">
      <c r="N54" s="8" t="s">
        <v>18</v>
      </c>
      <c r="AB54" s="8" t="s">
        <v>18</v>
      </c>
    </row>
    <row r="55" spans="14:28" x14ac:dyDescent="0.25">
      <c r="N55" s="8" t="s">
        <v>18</v>
      </c>
      <c r="AB55" s="8" t="s">
        <v>18</v>
      </c>
    </row>
    <row r="56" spans="14:28" x14ac:dyDescent="0.25">
      <c r="N56" s="8" t="s">
        <v>18</v>
      </c>
      <c r="AB56" s="8" t="s">
        <v>18</v>
      </c>
    </row>
    <row r="57" spans="14:28" x14ac:dyDescent="0.25">
      <c r="N57" s="8" t="s">
        <v>18</v>
      </c>
      <c r="AB57" s="8" t="s">
        <v>18</v>
      </c>
    </row>
    <row r="58" spans="14:28" x14ac:dyDescent="0.25">
      <c r="N58" s="8" t="s">
        <v>18</v>
      </c>
      <c r="AB58" s="8" t="s">
        <v>18</v>
      </c>
    </row>
    <row r="59" spans="14:28" x14ac:dyDescent="0.25">
      <c r="N59" s="8" t="s">
        <v>18</v>
      </c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5.28515625" style="6" customWidth="1"/>
    <col min="2" max="2" width="4.7109375" style="6" customWidth="1"/>
    <col min="3" max="7" width="9.140625" style="6" customWidth="1"/>
    <col min="8" max="8" width="9.7109375" style="6" customWidth="1"/>
    <col min="9" max="9" width="9.140625" style="6"/>
    <col min="10" max="12" width="9.140625" style="6" customWidth="1"/>
    <col min="13" max="13" width="8.7109375" style="6" customWidth="1"/>
    <col min="14" max="19" width="9.140625" style="6" customWidth="1"/>
    <col min="20" max="20" width="10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8" x14ac:dyDescent="0.25">
      <c r="A1" s="5" t="s">
        <v>15</v>
      </c>
      <c r="C1" t="s">
        <v>16</v>
      </c>
      <c r="D1" s="7"/>
      <c r="E1" s="7"/>
      <c r="L1" s="205" t="s">
        <v>17</v>
      </c>
      <c r="M1" s="205"/>
      <c r="N1" s="8" t="s">
        <v>18</v>
      </c>
      <c r="AB1" s="8" t="s">
        <v>18</v>
      </c>
    </row>
    <row r="2" spans="1:28" x14ac:dyDescent="0.25">
      <c r="A2" s="5" t="s">
        <v>19</v>
      </c>
      <c r="C2" s="6" t="s">
        <v>20</v>
      </c>
      <c r="N2" s="8" t="s">
        <v>18</v>
      </c>
      <c r="AB2" s="8" t="s">
        <v>18</v>
      </c>
    </row>
    <row r="3" spans="1:28" x14ac:dyDescent="0.25">
      <c r="A3" s="5" t="s">
        <v>21</v>
      </c>
      <c r="C3" s="6" t="s">
        <v>222</v>
      </c>
      <c r="N3" s="8" t="s">
        <v>18</v>
      </c>
      <c r="O3" s="9" t="s">
        <v>22</v>
      </c>
      <c r="P3" s="6" t="s">
        <v>223</v>
      </c>
      <c r="AB3" s="8" t="s">
        <v>18</v>
      </c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18</v>
      </c>
      <c r="AB4" s="8" t="s">
        <v>18</v>
      </c>
    </row>
    <row r="5" spans="1:28" x14ac:dyDescent="0.25">
      <c r="A5" s="13" t="s">
        <v>24</v>
      </c>
      <c r="C5" s="10" t="s">
        <v>167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18</v>
      </c>
      <c r="O5" s="10"/>
      <c r="P5" s="125" t="s">
        <v>168</v>
      </c>
      <c r="Q5" s="125" t="s">
        <v>169</v>
      </c>
      <c r="R5" s="125" t="s">
        <v>170</v>
      </c>
      <c r="S5" s="125" t="s">
        <v>171</v>
      </c>
      <c r="T5" s="125" t="s">
        <v>172</v>
      </c>
      <c r="U5" s="125" t="s">
        <v>173</v>
      </c>
      <c r="V5" s="125" t="s">
        <v>174</v>
      </c>
      <c r="W5" s="125" t="s">
        <v>175</v>
      </c>
      <c r="X5" s="125" t="s">
        <v>176</v>
      </c>
      <c r="Y5" s="10"/>
      <c r="Z5" s="10"/>
      <c r="AA5" s="10"/>
      <c r="AB5" s="8" t="s">
        <v>18</v>
      </c>
    </row>
    <row r="6" spans="1:2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18</v>
      </c>
      <c r="O6" s="10"/>
      <c r="P6" s="143" t="s">
        <v>177</v>
      </c>
      <c r="Q6" s="62" t="s">
        <v>104</v>
      </c>
      <c r="R6" s="62" t="s">
        <v>85</v>
      </c>
      <c r="S6" s="63" t="s">
        <v>86</v>
      </c>
      <c r="T6" s="144" t="s">
        <v>178</v>
      </c>
      <c r="U6" s="145" t="s">
        <v>179</v>
      </c>
      <c r="V6" s="62" t="s">
        <v>180</v>
      </c>
      <c r="W6" s="63" t="s">
        <v>181</v>
      </c>
      <c r="X6" s="63" t="s">
        <v>182</v>
      </c>
      <c r="Y6" s="10"/>
      <c r="Z6" s="10"/>
      <c r="AA6" s="10"/>
      <c r="AB6" s="8" t="s">
        <v>18</v>
      </c>
    </row>
    <row r="7" spans="1:28" x14ac:dyDescent="0.25">
      <c r="C7" s="146" t="s">
        <v>183</v>
      </c>
      <c r="D7" s="147"/>
      <c r="E7" s="147"/>
      <c r="F7" s="147"/>
      <c r="G7" s="147"/>
      <c r="H7" s="148"/>
      <c r="I7" s="149">
        <v>0.05</v>
      </c>
      <c r="J7" s="10"/>
      <c r="K7" s="10"/>
      <c r="L7" s="10"/>
      <c r="M7" s="12"/>
      <c r="N7" s="8" t="s">
        <v>18</v>
      </c>
      <c r="O7" s="10"/>
      <c r="P7" s="150" t="s">
        <v>184</v>
      </c>
      <c r="Q7" s="151">
        <f t="shared" ref="Q7:S9" si="0">D14</f>
        <v>590000</v>
      </c>
      <c r="R7" s="152">
        <f t="shared" si="0"/>
        <v>0.89</v>
      </c>
      <c r="S7" s="153">
        <f t="shared" si="0"/>
        <v>0.78</v>
      </c>
      <c r="T7" s="154">
        <f>S7/R7-1</f>
        <v>-0.1235955056179775</v>
      </c>
      <c r="U7" s="155">
        <f>1/(1+T10)</f>
        <v>1.0930225532107736</v>
      </c>
      <c r="V7" s="156">
        <f>I7</f>
        <v>0.05</v>
      </c>
      <c r="W7" s="157">
        <f>(1+T7)*U7*(1+V7)-1</f>
        <v>5.8263719995770291E-3</v>
      </c>
      <c r="X7" s="82">
        <f>Q7*(1+W7)</f>
        <v>593437.55947975046</v>
      </c>
      <c r="Y7" s="11"/>
      <c r="Z7" s="10"/>
      <c r="AA7" s="10"/>
      <c r="AB7" s="8" t="s">
        <v>18</v>
      </c>
    </row>
    <row r="8" spans="1:28" x14ac:dyDescent="0.25">
      <c r="A8" s="13"/>
      <c r="B8" s="12"/>
      <c r="C8" s="158" t="s">
        <v>185</v>
      </c>
      <c r="D8" s="159"/>
      <c r="E8" s="159"/>
      <c r="F8" s="159"/>
      <c r="G8" s="159"/>
      <c r="H8" s="160"/>
      <c r="I8" s="161">
        <v>0.1</v>
      </c>
      <c r="J8" s="10"/>
      <c r="K8" s="12"/>
      <c r="L8" s="12"/>
      <c r="M8" s="12"/>
      <c r="N8" s="8" t="s">
        <v>18</v>
      </c>
      <c r="O8" s="10"/>
      <c r="P8" s="150" t="s">
        <v>186</v>
      </c>
      <c r="Q8" s="151">
        <f t="shared" si="0"/>
        <v>320000</v>
      </c>
      <c r="R8" s="152">
        <f t="shared" si="0"/>
        <v>1</v>
      </c>
      <c r="S8" s="153">
        <f t="shared" si="0"/>
        <v>1</v>
      </c>
      <c r="T8" s="154">
        <f>S8/R8-1</f>
        <v>0</v>
      </c>
      <c r="U8" s="155">
        <f>1/(1+T10)</f>
        <v>1.0930225532107736</v>
      </c>
      <c r="V8" s="156">
        <f>I7</f>
        <v>0.05</v>
      </c>
      <c r="W8" s="157">
        <f>(1+T8)*U8*(1+V8)-1</f>
        <v>0.14767368087131238</v>
      </c>
      <c r="X8" s="82">
        <f>Q8*(1+W8)</f>
        <v>367255.57787881995</v>
      </c>
      <c r="Y8" s="71" t="s">
        <v>224</v>
      </c>
      <c r="Z8" s="10"/>
      <c r="AA8" s="10"/>
      <c r="AB8" s="8" t="s">
        <v>18</v>
      </c>
    </row>
    <row r="9" spans="1:28" x14ac:dyDescent="0.25">
      <c r="A9" s="12"/>
      <c r="B9" s="12"/>
      <c r="J9" s="10"/>
      <c r="K9" s="12"/>
      <c r="L9" s="12"/>
      <c r="M9" s="12"/>
      <c r="N9" s="8" t="s">
        <v>18</v>
      </c>
      <c r="O9" s="10"/>
      <c r="P9" s="162" t="s">
        <v>187</v>
      </c>
      <c r="Q9" s="163">
        <f t="shared" si="0"/>
        <v>174000</v>
      </c>
      <c r="R9" s="164">
        <f t="shared" si="0"/>
        <v>1.35</v>
      </c>
      <c r="S9" s="165">
        <f t="shared" si="0"/>
        <v>1.2000000000000002</v>
      </c>
      <c r="T9" s="166">
        <f>S9/R9-1</f>
        <v>-0.11111111111111105</v>
      </c>
      <c r="U9" s="167">
        <f>1/(1+T10)</f>
        <v>1.0930225532107736</v>
      </c>
      <c r="V9" s="168">
        <f>I7</f>
        <v>0.05</v>
      </c>
      <c r="W9" s="169">
        <f>(1+T9)*U9*(1+V9)-1</f>
        <v>2.015438299672212E-2</v>
      </c>
      <c r="X9" s="28">
        <f>Q9*(1+W9)</f>
        <v>177506.86264142965</v>
      </c>
      <c r="Y9" s="10"/>
      <c r="Z9" s="10"/>
      <c r="AA9" s="10"/>
      <c r="AB9" s="8" t="s">
        <v>18</v>
      </c>
    </row>
    <row r="10" spans="1:28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18</v>
      </c>
      <c r="O10" s="10"/>
      <c r="P10" s="162" t="s">
        <v>188</v>
      </c>
      <c r="Q10" s="170">
        <f>SUM(Q7:Q9)</f>
        <v>1084000</v>
      </c>
      <c r="R10" s="171" t="s">
        <v>189</v>
      </c>
      <c r="S10" s="172" t="s">
        <v>189</v>
      </c>
      <c r="T10" s="173">
        <f>SUMPRODUCT(T7:T9,Q7:Q9)/SUM(Q7:Q9)</f>
        <v>-8.5105794878173477E-2</v>
      </c>
      <c r="U10" s="174">
        <f>1/(1+T10)</f>
        <v>1.0930225532107736</v>
      </c>
      <c r="V10" s="168">
        <f>I7</f>
        <v>0.05</v>
      </c>
      <c r="W10" s="175">
        <f>(1+T10)*U10*(1+V10)-1</f>
        <v>5.0000000000000044E-2</v>
      </c>
      <c r="X10" s="80">
        <f>Q10*(1+W10)</f>
        <v>1138200</v>
      </c>
      <c r="Y10" s="10"/>
      <c r="Z10" s="10"/>
      <c r="AA10" s="10"/>
      <c r="AB10" s="8" t="s">
        <v>18</v>
      </c>
    </row>
    <row r="11" spans="1:28" x14ac:dyDescent="0.25">
      <c r="A11" s="13" t="s">
        <v>35</v>
      </c>
      <c r="B11" s="12"/>
      <c r="C11" s="13" t="s">
        <v>190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18</v>
      </c>
      <c r="O11" s="10"/>
      <c r="P11" s="10"/>
      <c r="Q11" s="10"/>
      <c r="R11" s="10"/>
      <c r="S11" s="10"/>
      <c r="T11" s="176" t="s">
        <v>191</v>
      </c>
      <c r="U11" s="10"/>
      <c r="V11" s="10"/>
      <c r="W11" s="10"/>
      <c r="X11" s="10"/>
      <c r="Y11" s="10"/>
      <c r="Z11" s="10"/>
      <c r="AA11" s="10"/>
      <c r="AB11" s="8" t="s">
        <v>18</v>
      </c>
    </row>
    <row r="12" spans="1:28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18</v>
      </c>
      <c r="O12" s="10"/>
      <c r="P12" s="125" t="s">
        <v>172</v>
      </c>
      <c r="Q12" s="10" t="s">
        <v>192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8" t="s">
        <v>18</v>
      </c>
    </row>
    <row r="13" spans="1:28" x14ac:dyDescent="0.25">
      <c r="A13" s="12"/>
      <c r="B13" s="12"/>
      <c r="C13" s="143" t="s">
        <v>177</v>
      </c>
      <c r="D13" s="62" t="s">
        <v>104</v>
      </c>
      <c r="E13" s="62" t="s">
        <v>85</v>
      </c>
      <c r="F13" s="63" t="s">
        <v>86</v>
      </c>
      <c r="G13" s="10"/>
      <c r="H13" s="10"/>
      <c r="I13" s="10"/>
      <c r="J13" s="10"/>
      <c r="K13" s="12"/>
      <c r="L13" s="12"/>
      <c r="M13" s="12"/>
      <c r="N13" s="8" t="s">
        <v>18</v>
      </c>
      <c r="O13" s="10"/>
      <c r="P13" s="11" t="s">
        <v>193</v>
      </c>
      <c r="Q13" s="10" t="s">
        <v>194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8" t="s">
        <v>18</v>
      </c>
    </row>
    <row r="14" spans="1:28" x14ac:dyDescent="0.25">
      <c r="A14" s="12"/>
      <c r="B14" s="12"/>
      <c r="C14" s="150" t="s">
        <v>184</v>
      </c>
      <c r="D14" s="151">
        <v>590000</v>
      </c>
      <c r="E14" s="152">
        <v>0.89</v>
      </c>
      <c r="F14" s="153">
        <v>0.78</v>
      </c>
      <c r="G14" s="10"/>
      <c r="H14" s="10"/>
      <c r="I14" s="10"/>
      <c r="J14" s="10"/>
      <c r="K14" s="12"/>
      <c r="L14" s="12"/>
      <c r="M14" s="12"/>
      <c r="N14" s="8" t="s">
        <v>18</v>
      </c>
      <c r="O14" s="10"/>
      <c r="P14" s="177" t="s">
        <v>173</v>
      </c>
      <c r="Q14" s="61" t="s">
        <v>195</v>
      </c>
      <c r="R14" s="61"/>
      <c r="S14" s="178" t="s">
        <v>196</v>
      </c>
      <c r="T14" s="61"/>
      <c r="U14" s="178" t="s">
        <v>197</v>
      </c>
      <c r="V14" s="44"/>
      <c r="W14" s="10"/>
      <c r="X14" s="10"/>
      <c r="Y14" s="10"/>
      <c r="Z14" s="10"/>
      <c r="AA14" s="10"/>
      <c r="AB14" s="8" t="s">
        <v>18</v>
      </c>
    </row>
    <row r="15" spans="1:28" x14ac:dyDescent="0.25">
      <c r="C15" s="150" t="s">
        <v>186</v>
      </c>
      <c r="D15" s="151">
        <v>320000</v>
      </c>
      <c r="E15" s="152">
        <v>1</v>
      </c>
      <c r="F15" s="153">
        <v>1</v>
      </c>
      <c r="G15" s="10"/>
      <c r="H15" s="10"/>
      <c r="I15" s="10"/>
      <c r="J15" s="10"/>
      <c r="K15" s="10"/>
      <c r="L15" s="10"/>
      <c r="M15" s="12"/>
      <c r="N15" s="8" t="s">
        <v>18</v>
      </c>
      <c r="O15" s="10"/>
      <c r="P15" s="125" t="s">
        <v>174</v>
      </c>
      <c r="Q15" s="10" t="s">
        <v>198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8" t="s">
        <v>18</v>
      </c>
    </row>
    <row r="16" spans="1:28" x14ac:dyDescent="0.25">
      <c r="C16" s="162" t="s">
        <v>187</v>
      </c>
      <c r="D16" s="163">
        <v>174000</v>
      </c>
      <c r="E16" s="164">
        <v>1.35</v>
      </c>
      <c r="F16" s="165">
        <v>1.2000000000000002</v>
      </c>
      <c r="G16" s="10"/>
      <c r="H16" s="10"/>
      <c r="I16" s="10"/>
      <c r="J16" s="10"/>
      <c r="K16" s="10"/>
      <c r="L16" s="10"/>
      <c r="M16" s="12"/>
      <c r="N16" s="8" t="s">
        <v>18</v>
      </c>
      <c r="O16" s="10"/>
      <c r="P16" s="125" t="s">
        <v>175</v>
      </c>
      <c r="Q16" s="10" t="s">
        <v>199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8" t="s">
        <v>18</v>
      </c>
    </row>
    <row r="17" spans="3:28" x14ac:dyDescent="0.25">
      <c r="C17" s="162" t="s">
        <v>188</v>
      </c>
      <c r="D17" s="170">
        <v>1084000</v>
      </c>
      <c r="E17" s="171" t="s">
        <v>189</v>
      </c>
      <c r="F17" s="172" t="s">
        <v>189</v>
      </c>
      <c r="G17" s="10"/>
      <c r="H17" s="10"/>
      <c r="I17" s="10"/>
      <c r="J17" s="10"/>
      <c r="K17" s="10"/>
      <c r="L17" s="10"/>
      <c r="M17" s="12"/>
      <c r="N17" s="8" t="s">
        <v>18</v>
      </c>
      <c r="O17" s="10"/>
      <c r="P17" s="125" t="s">
        <v>176</v>
      </c>
      <c r="Q17" s="10" t="s">
        <v>200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8" t="s">
        <v>18</v>
      </c>
    </row>
    <row r="18" spans="3:28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8" t="s">
        <v>18</v>
      </c>
    </row>
    <row r="19" spans="3:28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18</v>
      </c>
      <c r="O19" s="25" t="s">
        <v>118</v>
      </c>
      <c r="P19" s="10" t="s">
        <v>225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8" t="s">
        <v>18</v>
      </c>
    </row>
    <row r="20" spans="3:28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18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8" t="s">
        <v>18</v>
      </c>
    </row>
    <row r="21" spans="3:28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18</v>
      </c>
      <c r="O21" s="10"/>
      <c r="P21" s="10"/>
      <c r="Q21" s="92" t="s">
        <v>226</v>
      </c>
      <c r="R21" s="11" t="s">
        <v>32</v>
      </c>
      <c r="S21" s="104" t="s">
        <v>227</v>
      </c>
      <c r="T21" s="10"/>
      <c r="U21" s="34" t="s">
        <v>47</v>
      </c>
      <c r="V21" s="10" t="s">
        <v>228</v>
      </c>
      <c r="W21" s="10"/>
      <c r="X21" s="10"/>
      <c r="Y21" s="10"/>
      <c r="Z21" s="10"/>
      <c r="AA21" s="10"/>
      <c r="AB21" s="8" t="s">
        <v>18</v>
      </c>
    </row>
    <row r="22" spans="3:28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18</v>
      </c>
      <c r="O22" s="10"/>
      <c r="P22" s="10"/>
      <c r="Q22" s="10"/>
      <c r="R22" s="11" t="s">
        <v>32</v>
      </c>
      <c r="S22" s="193">
        <f>1+I8</f>
        <v>1.1000000000000001</v>
      </c>
      <c r="T22" s="10"/>
      <c r="U22" s="34" t="s">
        <v>47</v>
      </c>
      <c r="V22" s="194">
        <f>1+W8</f>
        <v>1.1476736808713124</v>
      </c>
      <c r="W22" s="10"/>
      <c r="X22" s="10"/>
      <c r="Y22" s="10"/>
      <c r="Z22" s="10"/>
      <c r="AA22" s="10"/>
      <c r="AB22" s="8" t="s">
        <v>18</v>
      </c>
    </row>
    <row r="23" spans="3:2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18</v>
      </c>
      <c r="O23" s="10"/>
      <c r="P23" s="10"/>
      <c r="Q23" s="10"/>
      <c r="R23" s="11" t="s">
        <v>32</v>
      </c>
      <c r="S23" s="195">
        <f>S22/V22</f>
        <v>0.95846059584191345</v>
      </c>
      <c r="T23" s="71" t="s">
        <v>229</v>
      </c>
      <c r="U23" s="10"/>
      <c r="V23" s="10"/>
      <c r="W23" s="10"/>
      <c r="X23" s="10"/>
      <c r="Y23" s="10"/>
      <c r="Z23" s="10"/>
      <c r="AA23" s="10"/>
      <c r="AB23" s="8" t="s">
        <v>18</v>
      </c>
    </row>
    <row r="24" spans="3:2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18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8" t="s">
        <v>18</v>
      </c>
    </row>
    <row r="25" spans="3:2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18</v>
      </c>
      <c r="O25" s="25" t="s">
        <v>54</v>
      </c>
      <c r="P25" s="10" t="s">
        <v>230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8" t="s">
        <v>18</v>
      </c>
    </row>
    <row r="26" spans="3:28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8" t="s">
        <v>18</v>
      </c>
    </row>
    <row r="27" spans="3:28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18</v>
      </c>
      <c r="O27" s="10"/>
      <c r="P27" s="92"/>
      <c r="Q27" s="92" t="s">
        <v>231</v>
      </c>
      <c r="R27" s="11" t="s">
        <v>32</v>
      </c>
      <c r="S27" s="196" t="s">
        <v>176</v>
      </c>
      <c r="T27" s="11" t="s">
        <v>31</v>
      </c>
      <c r="U27" s="50" t="s">
        <v>232</v>
      </c>
      <c r="V27" s="34"/>
      <c r="W27" s="34"/>
      <c r="X27" s="10"/>
      <c r="Y27" s="10"/>
      <c r="Z27" s="10"/>
      <c r="AA27" s="10"/>
      <c r="AB27" s="8" t="s">
        <v>18</v>
      </c>
    </row>
    <row r="28" spans="3:28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18</v>
      </c>
      <c r="O28" s="10"/>
      <c r="P28" s="10"/>
      <c r="Q28" s="10"/>
      <c r="R28" s="11" t="s">
        <v>32</v>
      </c>
      <c r="S28" s="50">
        <f>X8</f>
        <v>367255.57787881995</v>
      </c>
      <c r="T28" s="11" t="s">
        <v>31</v>
      </c>
      <c r="U28" s="194">
        <f>S23</f>
        <v>0.95846059584191345</v>
      </c>
      <c r="V28" s="10"/>
      <c r="W28" s="10"/>
      <c r="X28" s="10"/>
      <c r="Y28" s="10"/>
      <c r="Z28" s="10"/>
      <c r="AA28" s="10"/>
      <c r="AB28" s="8" t="s">
        <v>18</v>
      </c>
    </row>
    <row r="29" spans="3:28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18</v>
      </c>
      <c r="O29" s="10"/>
      <c r="P29" s="10"/>
      <c r="Q29" s="10"/>
      <c r="R29" s="11" t="s">
        <v>32</v>
      </c>
      <c r="S29" s="197">
        <f>S28*U28</f>
        <v>352000</v>
      </c>
      <c r="T29" s="10"/>
      <c r="U29" s="10"/>
      <c r="V29" s="10"/>
      <c r="W29" s="10"/>
      <c r="X29" s="10"/>
      <c r="Y29" s="10"/>
      <c r="Z29" s="10"/>
      <c r="AA29" s="10"/>
      <c r="AB29" s="8" t="s">
        <v>18</v>
      </c>
    </row>
    <row r="30" spans="3:28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18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8" t="s">
        <v>18</v>
      </c>
    </row>
    <row r="31" spans="3:28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18</v>
      </c>
      <c r="O31" s="10"/>
      <c r="P31" s="10"/>
      <c r="Q31" s="10" t="s">
        <v>211</v>
      </c>
      <c r="R31" s="11" t="s">
        <v>32</v>
      </c>
      <c r="S31" s="11">
        <f>S28</f>
        <v>367255.57787881995</v>
      </c>
      <c r="T31" s="11" t="s">
        <v>62</v>
      </c>
      <c r="U31" s="185">
        <f>S29</f>
        <v>352000</v>
      </c>
      <c r="V31" s="11" t="s">
        <v>32</v>
      </c>
      <c r="W31" s="98">
        <f>S31-U31</f>
        <v>15255.577878819953</v>
      </c>
      <c r="X31" s="71" t="s">
        <v>212</v>
      </c>
      <c r="Y31" s="10"/>
      <c r="Z31" s="10"/>
      <c r="AA31" s="10"/>
      <c r="AB31" s="8" t="s">
        <v>18</v>
      </c>
    </row>
    <row r="32" spans="3:28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18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8" t="s">
        <v>18</v>
      </c>
    </row>
    <row r="33" spans="1:28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18</v>
      </c>
      <c r="O33" s="48" t="s">
        <v>63</v>
      </c>
      <c r="P33" s="10" t="s">
        <v>233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8" t="s">
        <v>18</v>
      </c>
    </row>
    <row r="34" spans="1:28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18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8" t="s">
        <v>18</v>
      </c>
    </row>
    <row r="35" spans="1:28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18</v>
      </c>
      <c r="O35" s="10"/>
      <c r="P35" s="10"/>
      <c r="Q35" s="92" t="s">
        <v>234</v>
      </c>
      <c r="R35" s="11" t="s">
        <v>32</v>
      </c>
      <c r="S35" s="11">
        <f>X7</f>
        <v>593437.55947975046</v>
      </c>
      <c r="T35" s="11" t="s">
        <v>59</v>
      </c>
      <c r="U35" s="11">
        <f>X9</f>
        <v>177506.86264142965</v>
      </c>
      <c r="V35" s="11" t="s">
        <v>32</v>
      </c>
      <c r="W35" s="186">
        <f>S35+U35</f>
        <v>770944.42212118011</v>
      </c>
      <c r="X35" s="10"/>
      <c r="Y35" s="10"/>
      <c r="Z35" s="10"/>
      <c r="AA35" s="10"/>
      <c r="AB35" s="8" t="s">
        <v>18</v>
      </c>
    </row>
    <row r="36" spans="1:28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18</v>
      </c>
      <c r="O36" s="10"/>
      <c r="P36" s="10"/>
      <c r="U36" s="10"/>
      <c r="V36" s="10"/>
      <c r="W36" s="10"/>
      <c r="X36" s="10"/>
      <c r="Y36" s="10"/>
      <c r="Z36" s="10"/>
      <c r="AA36" s="10"/>
      <c r="AB36" s="8" t="s">
        <v>18</v>
      </c>
    </row>
    <row r="37" spans="1:28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18</v>
      </c>
      <c r="O37" s="10"/>
      <c r="P37" s="10"/>
      <c r="Q37" s="92" t="s">
        <v>235</v>
      </c>
      <c r="R37" s="11" t="s">
        <v>32</v>
      </c>
      <c r="S37" s="98">
        <f>W31</f>
        <v>15255.577878819953</v>
      </c>
      <c r="T37" s="34" t="s">
        <v>47</v>
      </c>
      <c r="U37" s="187">
        <f>W35</f>
        <v>770944.42212118011</v>
      </c>
      <c r="V37" s="11" t="s">
        <v>32</v>
      </c>
      <c r="W37" s="188">
        <f>S37/U37</f>
        <v>1.9788168175399318E-2</v>
      </c>
      <c r="X37" s="71" t="s">
        <v>236</v>
      </c>
      <c r="Y37" s="10"/>
      <c r="Z37" s="10"/>
      <c r="AA37" s="10"/>
      <c r="AB37" s="8" t="s">
        <v>18</v>
      </c>
    </row>
    <row r="38" spans="1:28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18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8" t="s">
        <v>18</v>
      </c>
    </row>
    <row r="39" spans="1: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18</v>
      </c>
      <c r="O39" s="48" t="s">
        <v>69</v>
      </c>
      <c r="P39" s="10" t="s">
        <v>237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8" t="s">
        <v>18</v>
      </c>
    </row>
    <row r="40" spans="1:28" x14ac:dyDescent="0.25">
      <c r="N40" s="8" t="s">
        <v>18</v>
      </c>
      <c r="W40" s="10"/>
      <c r="X40" s="10"/>
      <c r="Y40" s="10"/>
      <c r="Z40" s="10"/>
      <c r="AA40" s="10"/>
      <c r="AB40" s="8" t="s">
        <v>18</v>
      </c>
    </row>
    <row r="41" spans="1:28" x14ac:dyDescent="0.25">
      <c r="N41" s="8" t="s">
        <v>18</v>
      </c>
      <c r="P41" s="11"/>
      <c r="Q41" s="11" t="s">
        <v>238</v>
      </c>
      <c r="R41" s="11"/>
      <c r="S41" s="11" t="s">
        <v>239</v>
      </c>
      <c r="T41" s="11"/>
      <c r="U41" s="11" t="s">
        <v>240</v>
      </c>
      <c r="V41" s="11"/>
      <c r="W41" s="11" t="s">
        <v>241</v>
      </c>
      <c r="X41" s="10"/>
      <c r="Y41" s="10"/>
      <c r="Z41" s="10"/>
      <c r="AA41" s="10"/>
      <c r="AB41" s="8" t="s">
        <v>18</v>
      </c>
    </row>
    <row r="42" spans="1:28" x14ac:dyDescent="0.25">
      <c r="N42" s="8" t="s">
        <v>18</v>
      </c>
      <c r="P42" s="14" t="s">
        <v>242</v>
      </c>
      <c r="Q42" s="14" t="s">
        <v>86</v>
      </c>
      <c r="R42" s="14"/>
      <c r="S42" s="14" t="s">
        <v>164</v>
      </c>
      <c r="T42" s="14"/>
      <c r="U42" s="14" t="s">
        <v>164</v>
      </c>
      <c r="V42" s="14"/>
      <c r="W42" s="14" t="s">
        <v>243</v>
      </c>
      <c r="X42" s="10"/>
      <c r="Y42" s="10"/>
      <c r="Z42" s="10"/>
      <c r="AA42" s="10"/>
      <c r="AB42" s="8" t="s">
        <v>18</v>
      </c>
    </row>
    <row r="43" spans="1:28" x14ac:dyDescent="0.25">
      <c r="N43" s="8" t="s">
        <v>18</v>
      </c>
      <c r="P43" s="11" t="s">
        <v>184</v>
      </c>
      <c r="Q43" s="52">
        <f>S7</f>
        <v>0.78</v>
      </c>
      <c r="R43" s="11" t="s">
        <v>31</v>
      </c>
      <c r="S43" s="198">
        <f>1+W37</f>
        <v>1.0197881681753993</v>
      </c>
      <c r="T43" s="34" t="s">
        <v>47</v>
      </c>
      <c r="U43" s="190">
        <f>S23</f>
        <v>0.95846059584191345</v>
      </c>
      <c r="V43" s="11" t="s">
        <v>32</v>
      </c>
      <c r="W43" s="192">
        <f>Q43*S43/U43</f>
        <v>0.82990868339047386</v>
      </c>
      <c r="X43" s="71" t="s">
        <v>244</v>
      </c>
      <c r="Y43" s="10"/>
      <c r="Z43" s="10"/>
      <c r="AA43" s="10"/>
      <c r="AB43" s="8" t="s">
        <v>18</v>
      </c>
    </row>
    <row r="44" spans="1:28" x14ac:dyDescent="0.25">
      <c r="N44" s="8" t="s">
        <v>18</v>
      </c>
      <c r="P44" s="11" t="s">
        <v>186</v>
      </c>
      <c r="Q44" s="52">
        <f>S8</f>
        <v>1</v>
      </c>
      <c r="R44" s="10"/>
      <c r="S44" s="10"/>
      <c r="T44" s="10"/>
      <c r="U44" s="10"/>
      <c r="V44" s="10"/>
      <c r="W44" s="192">
        <v>1</v>
      </c>
      <c r="X44" s="71" t="s">
        <v>245</v>
      </c>
      <c r="Y44" s="10"/>
      <c r="Z44" s="10"/>
      <c r="AA44" s="10"/>
      <c r="AB44" s="8" t="s">
        <v>18</v>
      </c>
    </row>
    <row r="45" spans="1:28" x14ac:dyDescent="0.25">
      <c r="N45" s="8" t="s">
        <v>18</v>
      </c>
      <c r="O45" s="10"/>
      <c r="P45" s="11" t="s">
        <v>187</v>
      </c>
      <c r="Q45" s="52">
        <f>S9</f>
        <v>1.2000000000000002</v>
      </c>
      <c r="R45" s="11" t="s">
        <v>31</v>
      </c>
      <c r="S45" s="198">
        <f>1+W37</f>
        <v>1.0197881681753993</v>
      </c>
      <c r="T45" s="34" t="s">
        <v>47</v>
      </c>
      <c r="U45" s="190">
        <f>S23</f>
        <v>0.95846059584191345</v>
      </c>
      <c r="V45" s="11" t="s">
        <v>32</v>
      </c>
      <c r="W45" s="192">
        <f>Q45*S45/U45</f>
        <v>1.2767825898314984</v>
      </c>
      <c r="X45" s="71" t="s">
        <v>246</v>
      </c>
      <c r="Y45" s="10"/>
      <c r="Z45" s="10"/>
      <c r="AA45" s="10"/>
      <c r="AB45" s="8" t="s">
        <v>18</v>
      </c>
    </row>
    <row r="46" spans="1:28" x14ac:dyDescent="0.25">
      <c r="N46" s="8" t="s">
        <v>18</v>
      </c>
      <c r="O46" s="10"/>
      <c r="P46" s="55"/>
      <c r="Q46" s="56"/>
      <c r="R46" s="10"/>
      <c r="S46" s="10"/>
      <c r="T46" s="10"/>
      <c r="U46" s="10"/>
      <c r="V46" s="10"/>
      <c r="W46" s="199" t="s">
        <v>247</v>
      </c>
      <c r="X46" s="10"/>
      <c r="Y46" s="10"/>
      <c r="Z46" s="10"/>
      <c r="AA46" s="10"/>
      <c r="AB46" s="8" t="s">
        <v>18</v>
      </c>
    </row>
    <row r="47" spans="1:28" x14ac:dyDescent="0.25">
      <c r="N47" s="8" t="s">
        <v>18</v>
      </c>
      <c r="W47" s="199" t="s">
        <v>248</v>
      </c>
      <c r="AB47" s="8" t="s">
        <v>18</v>
      </c>
    </row>
    <row r="48" spans="1:28" x14ac:dyDescent="0.25">
      <c r="N48" s="8" t="s">
        <v>18</v>
      </c>
      <c r="W48" s="200" t="s">
        <v>18</v>
      </c>
      <c r="AB48" s="8" t="s">
        <v>18</v>
      </c>
    </row>
    <row r="49" spans="14:28" x14ac:dyDescent="0.25">
      <c r="N49" s="8" t="s">
        <v>18</v>
      </c>
      <c r="W49" s="200" t="s">
        <v>18</v>
      </c>
      <c r="AB49" s="8" t="s">
        <v>18</v>
      </c>
    </row>
    <row r="50" spans="14:28" x14ac:dyDescent="0.25">
      <c r="N50" s="8" t="s">
        <v>18</v>
      </c>
      <c r="W50" s="7" t="s">
        <v>249</v>
      </c>
      <c r="AB50" s="8" t="s">
        <v>18</v>
      </c>
    </row>
    <row r="51" spans="14:28" x14ac:dyDescent="0.25">
      <c r="N51" s="8" t="s">
        <v>18</v>
      </c>
      <c r="AB51" s="8" t="s">
        <v>18</v>
      </c>
    </row>
    <row r="52" spans="14:28" x14ac:dyDescent="0.25">
      <c r="N52" s="8" t="s">
        <v>18</v>
      </c>
      <c r="AB52" s="8" t="s">
        <v>18</v>
      </c>
    </row>
    <row r="53" spans="14:28" x14ac:dyDescent="0.25">
      <c r="N53" s="8" t="s">
        <v>18</v>
      </c>
      <c r="AB53" s="8" t="s">
        <v>18</v>
      </c>
    </row>
    <row r="54" spans="14:28" x14ac:dyDescent="0.25">
      <c r="N54" s="8" t="s">
        <v>18</v>
      </c>
      <c r="AB54" s="8" t="s">
        <v>18</v>
      </c>
    </row>
    <row r="55" spans="14:28" x14ac:dyDescent="0.25">
      <c r="N55" s="8" t="s">
        <v>18</v>
      </c>
      <c r="AB55" s="8" t="s">
        <v>18</v>
      </c>
    </row>
    <row r="56" spans="14:28" x14ac:dyDescent="0.25">
      <c r="N56" s="8" t="s">
        <v>18</v>
      </c>
      <c r="AB56" s="8" t="s">
        <v>18</v>
      </c>
    </row>
    <row r="57" spans="14:28" x14ac:dyDescent="0.25">
      <c r="N57" s="8" t="s">
        <v>18</v>
      </c>
      <c r="AB57" s="8" t="s">
        <v>18</v>
      </c>
    </row>
    <row r="58" spans="14:28" x14ac:dyDescent="0.25">
      <c r="N58" s="8" t="s">
        <v>18</v>
      </c>
      <c r="AB58" s="8" t="s">
        <v>18</v>
      </c>
    </row>
    <row r="59" spans="14:28" x14ac:dyDescent="0.25">
      <c r="N59" s="8" t="s">
        <v>18</v>
      </c>
      <c r="AB59" s="8" t="s">
        <v>18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W-14-B1</vt:lpstr>
      <vt:lpstr>W-14-B2</vt:lpstr>
      <vt:lpstr>W-14-B3</vt:lpstr>
      <vt:lpstr>W-14-B4</vt:lpstr>
      <vt:lpstr>W-14-G</vt:lpstr>
      <vt:lpstr>W-14-G2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2021-02-04T15:36:10Z</dcterms:created>
  <dcterms:modified xsi:type="dcterms:W3CDTF">2021-10-19T00:34:51Z</dcterms:modified>
</cp:coreProperties>
</file>