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 5\Excel Demos\Pricing-Appendix\"/>
    </mc:Choice>
  </mc:AlternateContent>
  <bookViews>
    <workbookView xWindow="0" yWindow="0" windowWidth="24000" windowHeight="9735"/>
  </bookViews>
  <sheets>
    <sheet name="TOC" sheetId="7" r:id="rId1"/>
    <sheet name="B-Home" sheetId="2" r:id="rId2"/>
    <sheet name="D-WC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4" l="1"/>
  <c r="U56" i="4" l="1"/>
  <c r="W51" i="4"/>
  <c r="T51" i="4"/>
  <c r="U43" i="4"/>
  <c r="V42" i="4" s="1"/>
  <c r="T43" i="4"/>
  <c r="S43" i="4"/>
  <c r="R43" i="4"/>
  <c r="Q43" i="4"/>
  <c r="P43" i="4"/>
  <c r="T42" i="4"/>
  <c r="S42" i="4"/>
  <c r="U42" i="4" s="1"/>
  <c r="V41" i="4" s="1"/>
  <c r="R42" i="4"/>
  <c r="Q42" i="4"/>
  <c r="P42" i="4"/>
  <c r="U41" i="4"/>
  <c r="T41" i="4"/>
  <c r="S41" i="4"/>
  <c r="R41" i="4"/>
  <c r="Q41" i="4"/>
  <c r="P41" i="4"/>
  <c r="V21" i="4"/>
  <c r="S21" i="4"/>
  <c r="R21" i="4"/>
  <c r="T20" i="4" s="1"/>
  <c r="Q21" i="4"/>
  <c r="P21" i="4"/>
  <c r="V20" i="4"/>
  <c r="S20" i="4"/>
  <c r="R20" i="4"/>
  <c r="T19" i="4" s="1"/>
  <c r="Q20" i="4"/>
  <c r="P20" i="4"/>
  <c r="V19" i="4"/>
  <c r="S19" i="4"/>
  <c r="R19" i="4"/>
  <c r="Q19" i="4"/>
  <c r="P19" i="4"/>
  <c r="T10" i="4"/>
  <c r="W7" i="4"/>
  <c r="V7" i="4"/>
  <c r="Q8" i="4" s="1"/>
  <c r="Q7" i="4"/>
  <c r="W41" i="4" l="1"/>
  <c r="W42" i="4" s="1"/>
  <c r="W43" i="4" s="1"/>
  <c r="X43" i="4" s="1"/>
  <c r="W10" i="4"/>
  <c r="U19" i="4" s="1"/>
  <c r="U20" i="4" s="1"/>
  <c r="U21" i="4" s="1"/>
  <c r="W21" i="4" s="1"/>
  <c r="U10" i="4"/>
  <c r="AA8" i="2"/>
  <c r="Y8" i="2"/>
  <c r="Y9" i="2" s="1"/>
  <c r="Y43" i="4" l="1"/>
  <c r="X41" i="4"/>
  <c r="X42" i="4"/>
  <c r="Y42" i="4" s="1"/>
  <c r="W20" i="4"/>
  <c r="W19" i="4"/>
  <c r="R20" i="2"/>
  <c r="R19" i="2"/>
  <c r="R18" i="2"/>
  <c r="R17" i="2"/>
  <c r="R16" i="2"/>
  <c r="X44" i="4" l="1"/>
  <c r="Y41" i="4"/>
  <c r="W22" i="4"/>
  <c r="V40" i="2"/>
  <c r="Z40" i="2"/>
  <c r="Y5" i="2"/>
  <c r="R52" i="2"/>
  <c r="S40" i="2"/>
  <c r="Q26" i="2"/>
  <c r="Y44" i="4" l="1"/>
  <c r="R51" i="4" s="1"/>
  <c r="Q52" i="4" s="1"/>
  <c r="U59" i="4" s="1"/>
  <c r="R41" i="2"/>
  <c r="Y6" i="2" s="1"/>
  <c r="T35" i="2"/>
  <c r="O16" i="2"/>
  <c r="V33" i="2"/>
  <c r="V26" i="2"/>
  <c r="X35" i="2" l="1"/>
  <c r="V35" i="2"/>
  <c r="R35" i="2"/>
  <c r="O17" i="2"/>
  <c r="Z35" i="2" l="1"/>
  <c r="T26" i="2" s="1"/>
  <c r="Q27" i="2" s="1"/>
  <c r="Y4" i="2" s="1"/>
  <c r="O18" i="2"/>
  <c r="O19" i="2" l="1"/>
  <c r="R51" i="2" l="1"/>
  <c r="O20" i="2"/>
  <c r="R45" i="2"/>
  <c r="P45" i="2"/>
  <c r="P37" i="2"/>
  <c r="R39" i="2"/>
  <c r="Z39" i="2"/>
  <c r="V39" i="2"/>
  <c r="Y30" i="2" l="1"/>
  <c r="W30" i="2"/>
  <c r="P18" i="2"/>
  <c r="P19" i="2"/>
  <c r="P15" i="2"/>
  <c r="P20" i="2"/>
  <c r="P16" i="2"/>
  <c r="P17" i="2"/>
  <c r="Q14" i="2"/>
  <c r="Y29" i="2" l="1"/>
  <c r="Q16" i="2"/>
  <c r="R46" i="2"/>
  <c r="Y31" i="2"/>
  <c r="W31" i="2"/>
  <c r="P33" i="2"/>
  <c r="Q19" i="2" l="1"/>
  <c r="Q17" i="2"/>
  <c r="Q20" i="2"/>
  <c r="Q18" i="2"/>
  <c r="S16" i="2"/>
  <c r="U16" i="2"/>
  <c r="S17" i="2" l="1"/>
  <c r="U17" i="2"/>
  <c r="S18" i="2"/>
  <c r="U18" i="2"/>
  <c r="U20" i="2"/>
  <c r="S20" i="2"/>
  <c r="U19" i="2"/>
  <c r="S19" i="2"/>
  <c r="S21" i="2" l="1"/>
  <c r="Y3" i="2" s="1"/>
  <c r="R53" i="2"/>
  <c r="Y7" i="2" s="1"/>
  <c r="U52" i="2"/>
</calcChain>
</file>

<file path=xl/sharedStrings.xml><?xml version="1.0" encoding="utf-8"?>
<sst xmlns="http://schemas.openxmlformats.org/spreadsheetml/2006/main" count="485" uniqueCount="229">
  <si>
    <t>Reading:</t>
  </si>
  <si>
    <t>Return to TOC</t>
  </si>
  <si>
    <t>|</t>
  </si>
  <si>
    <t>Model:</t>
  </si>
  <si>
    <t>Problem Type:</t>
  </si>
  <si>
    <t>Find</t>
  </si>
  <si>
    <t>Given</t>
  </si>
  <si>
    <t>Werner Appendix B: Homeowners</t>
  </si>
  <si>
    <t>Text Example</t>
  </si>
  <si>
    <t>Pure Premium Rate Indication for Homeowners</t>
  </si>
  <si>
    <t>Step 1</t>
  </si>
  <si>
    <t>projected……..</t>
  </si>
  <si>
    <t>ultimate…………</t>
  </si>
  <si>
    <t>non-cat………</t>
  </si>
  <si>
    <t>pure premium</t>
  </si>
  <si>
    <t>=</t>
  </si>
  <si>
    <t>Step 2a</t>
  </si>
  <si>
    <t>non-modeled…</t>
  </si>
  <si>
    <t>cat……………..</t>
  </si>
  <si>
    <t>Calculate the indicated rate given the following information:</t>
  </si>
  <si>
    <t>Step 2b</t>
  </si>
  <si>
    <t>modeled………..</t>
  </si>
  <si>
    <t xml:space="preserve"> (given)</t>
  </si>
  <si>
    <t>Step 3</t>
  </si>
  <si>
    <t>net…………………</t>
  </si>
  <si>
    <t>reins………….</t>
  </si>
  <si>
    <t>effective date</t>
  </si>
  <si>
    <t>term</t>
  </si>
  <si>
    <t>Step 4</t>
  </si>
  <si>
    <t>fixed………………</t>
  </si>
  <si>
    <t>expense……..</t>
  </si>
  <si>
    <t>year</t>
  </si>
  <si>
    <t>month</t>
  </si>
  <si>
    <t>day</t>
  </si>
  <si>
    <t>months</t>
  </si>
  <si>
    <t>ren</t>
  </si>
  <si>
    <r>
      <t xml:space="preserve">total </t>
    </r>
    <r>
      <rPr>
        <b/>
        <i/>
        <sz val="11"/>
        <color theme="1"/>
        <rFont val="Calibri"/>
        <family val="2"/>
        <scheme val="minor"/>
      </rPr>
      <t xml:space="preserve">====&gt; </t>
    </r>
    <r>
      <rPr>
        <i/>
        <sz val="11"/>
        <color theme="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</si>
  <si>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rgb="FFFF0000"/>
        <rFont val="Calibri"/>
        <family val="2"/>
        <scheme val="minor"/>
      </rPr>
      <t>&lt;==</t>
    </r>
    <r>
      <rPr>
        <sz val="11"/>
        <color rgb="FFFF0000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final answer</t>
    </r>
  </si>
  <si>
    <t>V: variable expense</t>
  </si>
  <si>
    <t>non-modeled cat-to-AIY ratio</t>
  </si>
  <si>
    <t>Q: profit provision</t>
  </si>
  <si>
    <r>
      <t xml:space="preserve"> calculate projected </t>
    </r>
    <r>
      <rPr>
        <u/>
        <sz val="11"/>
        <color theme="1"/>
        <rFont val="Calibri"/>
        <family val="2"/>
        <scheme val="minor"/>
      </rPr>
      <t>ultimate non-cat</t>
    </r>
    <r>
      <rPr>
        <sz val="11"/>
        <color theme="1"/>
        <rFont val="Calibri"/>
        <family val="2"/>
        <scheme val="minor"/>
      </rPr>
      <t xml:space="preserve"> pure premium</t>
    </r>
  </si>
  <si>
    <t>E(F): fixed expenses</t>
  </si>
  <si>
    <t>* assume the net per-exposure cost of reinsurance</t>
  </si>
  <si>
    <t>trend periods</t>
  </si>
  <si>
    <t>non-cat</t>
  </si>
  <si>
    <t>historical loss trend</t>
  </si>
  <si>
    <t>from CY</t>
  </si>
  <si>
    <t>ultimate</t>
  </si>
  <si>
    <r>
      <t xml:space="preserve">non-cat ultimate </t>
    </r>
    <r>
      <rPr>
        <b/>
        <sz val="11"/>
        <color rgb="FF0070C0"/>
        <rFont val="Calibri"/>
        <family val="2"/>
        <scheme val="minor"/>
      </rPr>
      <t>LOSS</t>
    </r>
  </si>
  <si>
    <t>projected loss trend</t>
  </si>
  <si>
    <t>to eff. per.</t>
  </si>
  <si>
    <t>LOSS</t>
  </si>
  <si>
    <t>Pure Pr.</t>
  </si>
  <si>
    <t>= (non-cat rptd loss &amp; ALAE) x LDF x ULAE x trends</t>
  </si>
  <si>
    <t>fixed expense trend</t>
  </si>
  <si>
    <t>* modeled cat pure premium</t>
  </si>
  <si>
    <t>exposure trend</t>
  </si>
  <si>
    <t>* projected</t>
  </si>
  <si>
    <t>rpt loss</t>
  </si>
  <si>
    <t>ULAE</t>
  </si>
  <si>
    <t>AIY / EE</t>
  </si>
  <si>
    <t>CY</t>
  </si>
  <si>
    <t>EE</t>
  </si>
  <si>
    <t>&amp; ALAE</t>
  </si>
  <si>
    <t>LDF</t>
  </si>
  <si>
    <t>factor</t>
  </si>
  <si>
    <t>exp fit</t>
  </si>
  <si>
    <r>
      <t xml:space="preserve">average of column </t>
    </r>
    <r>
      <rPr>
        <b/>
        <i/>
        <sz val="11"/>
        <color rgb="FFFF0000"/>
        <rFont val="Calibri"/>
        <family val="2"/>
        <scheme val="minor"/>
      </rPr>
      <t xml:space="preserve">==&gt; </t>
    </r>
    <r>
      <rPr>
        <i/>
        <sz val="11"/>
        <color rgb="FFFF0000"/>
        <rFont val="Calibri"/>
        <family val="2"/>
        <scheme val="minor"/>
      </rPr>
      <t xml:space="preserve"> </t>
    </r>
  </si>
  <si>
    <r>
      <t xml:space="preserve"> calculate projected </t>
    </r>
    <r>
      <rPr>
        <u/>
        <sz val="11"/>
        <color theme="1"/>
        <rFont val="Calibri"/>
        <family val="2"/>
        <scheme val="minor"/>
      </rPr>
      <t>non-modeled cat</t>
    </r>
    <r>
      <rPr>
        <sz val="11"/>
        <color theme="1"/>
        <rFont val="Calibri"/>
        <family val="2"/>
        <scheme val="minor"/>
      </rPr>
      <t xml:space="preserve"> pure premium</t>
    </r>
  </si>
  <si>
    <t>cat-to-AIY-ratio</t>
  </si>
  <si>
    <t>x</t>
  </si>
  <si>
    <t>AIY-to-EE</t>
  </si>
  <si>
    <t>ULAE factor</t>
  </si>
  <si>
    <r>
      <t xml:space="preserve"> </t>
    </r>
    <r>
      <rPr>
        <b/>
        <sz val="11"/>
        <color rgb="FFFF0000"/>
        <rFont val="Calibri"/>
        <family val="2"/>
        <scheme val="minor"/>
      </rPr>
      <t>&lt;==</t>
    </r>
    <r>
      <rPr>
        <sz val="11"/>
        <color rgb="FFFF0000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final answer for Step 2a</t>
    </r>
  </si>
  <si>
    <t>side calc to get appropriate value for AIY-to-EE:</t>
  </si>
  <si>
    <t>AAD(eff. per.)</t>
  </si>
  <si>
    <t>The AAD (Average Accident Date) for the AIY-to-EE value must</t>
  </si>
  <si>
    <t>line up with the AAD of the effective period.</t>
  </si>
  <si>
    <t>AIY-to-EE is a weighted average of AIY-to-EE values for</t>
  </si>
  <si>
    <t>+</t>
  </si>
  <si>
    <t>net cost</t>
  </si>
  <si>
    <t>-</t>
  </si>
  <si>
    <t>/</t>
  </si>
  <si>
    <t>(</t>
  </si>
  <si>
    <t>)</t>
  </si>
  <si>
    <r>
      <t xml:space="preserve"> </t>
    </r>
    <r>
      <rPr>
        <b/>
        <sz val="11"/>
        <color rgb="FFFF0000"/>
        <rFont val="Calibri"/>
        <family val="2"/>
        <scheme val="minor"/>
      </rPr>
      <t>&lt;==</t>
    </r>
    <r>
      <rPr>
        <sz val="11"/>
        <color rgb="FFFF0000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final answer for Step 3</t>
    </r>
  </si>
  <si>
    <t xml:space="preserve"> trend fixed expenses using AWD (since most fixed expenses are incurred when policy is written)</t>
  </si>
  <si>
    <t>AWD(Eff. Per.)</t>
  </si>
  <si>
    <t>trend period</t>
  </si>
  <si>
    <t>projected fixed expense pure premium</t>
  </si>
  <si>
    <t>(1 + trend)^(trend period)</t>
  </si>
  <si>
    <r>
      <t xml:space="preserve"> </t>
    </r>
    <r>
      <rPr>
        <b/>
        <sz val="11"/>
        <color rgb="FFFF0000"/>
        <rFont val="Calibri"/>
        <family val="2"/>
        <scheme val="minor"/>
      </rPr>
      <t>&lt;==</t>
    </r>
    <r>
      <rPr>
        <sz val="11"/>
        <color rgb="FFFF0000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final answer for Step 4</t>
    </r>
  </si>
  <si>
    <t>2026 reinsurance cost</t>
  </si>
  <si>
    <t xml:space="preserve"> &lt;-- through 2026</t>
  </si>
  <si>
    <t>2026 reinsurance recoveries</t>
  </si>
  <si>
    <t xml:space="preserve">   for the effective period is the same as for CY 2026</t>
  </si>
  <si>
    <t>Werner Appendix D: Worker's Compensation</t>
  </si>
  <si>
    <t>Loss Ratio Rate Indication for WC</t>
  </si>
  <si>
    <t xml:space="preserve"> calculate the projected loss cost premium  (WC advisory loss costs)</t>
  </si>
  <si>
    <t>Calculate the final company rate change using both industry and company data.</t>
  </si>
  <si>
    <t>1a</t>
  </si>
  <si>
    <r>
      <t xml:space="preserve"> trend </t>
    </r>
    <r>
      <rPr>
        <u/>
        <sz val="11"/>
        <color theme="1"/>
        <rFont val="Calibri"/>
        <family val="2"/>
        <scheme val="minor"/>
      </rPr>
      <t>period</t>
    </r>
    <r>
      <rPr>
        <sz val="11"/>
        <color theme="1"/>
        <rFont val="Calibri"/>
        <family val="2"/>
        <scheme val="minor"/>
      </rPr>
      <t xml:space="preserve"> for 'step 2' in '2-step' trending</t>
    </r>
  </si>
  <si>
    <t>(AAD for latest available year)</t>
  </si>
  <si>
    <t>to</t>
  </si>
  <si>
    <t>(AAD of effective period)</t>
  </si>
  <si>
    <t>years</t>
  </si>
  <si>
    <t>effective date:</t>
  </si>
  <si>
    <t xml:space="preserve"> (year, month, day)</t>
  </si>
  <si>
    <t>rates in effect for</t>
  </si>
  <si>
    <r>
      <t xml:space="preserve"> trend </t>
    </r>
    <r>
      <rPr>
        <u/>
        <sz val="11"/>
        <color theme="1"/>
        <rFont val="Calibri"/>
        <family val="2"/>
        <scheme val="minor"/>
      </rPr>
      <t>factor</t>
    </r>
  </si>
  <si>
    <t xml:space="preserve">(     1   + </t>
  </si>
  <si>
    <t>policy term:</t>
  </si>
  <si>
    <t>1b</t>
  </si>
  <si>
    <r>
      <t xml:space="preserve"> calculate the '</t>
    </r>
    <r>
      <rPr>
        <u/>
        <sz val="11"/>
        <color theme="1"/>
        <rFont val="Calibri"/>
        <family val="2"/>
        <scheme val="minor"/>
      </rPr>
      <t>projected</t>
    </r>
    <r>
      <rPr>
        <sz val="11"/>
        <color theme="1"/>
        <rFont val="Calibri"/>
        <family val="2"/>
        <scheme val="minor"/>
      </rPr>
      <t xml:space="preserve"> loss cost premium'</t>
    </r>
  </si>
  <si>
    <t>industry</t>
  </si>
  <si>
    <t>annual</t>
  </si>
  <si>
    <t>Historical</t>
  </si>
  <si>
    <t>* loss cost premium is already at CRL (Current Rate Level)</t>
  </si>
  <si>
    <t>loss cost</t>
  </si>
  <si>
    <t>payroll</t>
  </si>
  <si>
    <t>Experience</t>
  </si>
  <si>
    <t>(1)</t>
  </si>
  <si>
    <t>(2)</t>
  </si>
  <si>
    <t>(3)</t>
  </si>
  <si>
    <t>(4)</t>
  </si>
  <si>
    <t>(5)</t>
  </si>
  <si>
    <t>(6)</t>
  </si>
  <si>
    <t>(7)</t>
  </si>
  <si>
    <t>AY</t>
  </si>
  <si>
    <t>premium</t>
  </si>
  <si>
    <t>change</t>
  </si>
  <si>
    <t>(this is the given information)</t>
  </si>
  <si>
    <t>expected</t>
  </si>
  <si>
    <t>Hist.</t>
  </si>
  <si>
    <t>future</t>
  </si>
  <si>
    <t>experience</t>
  </si>
  <si>
    <t>projected</t>
  </si>
  <si>
    <t>Exp.</t>
  </si>
  <si>
    <t>current</t>
  </si>
  <si>
    <t>wage level</t>
  </si>
  <si>
    <t>mod</t>
  </si>
  <si>
    <r>
      <t xml:space="preserve">Mod </t>
    </r>
    <r>
      <rPr>
        <sz val="10"/>
        <color rgb="FFFF0000"/>
        <rFont val="Calibri"/>
        <family val="2"/>
        <scheme val="minor"/>
      </rPr>
      <t>(HEM)</t>
    </r>
  </si>
  <si>
    <r>
      <t xml:space="preserve"> </t>
    </r>
    <r>
      <rPr>
        <b/>
        <i/>
        <sz val="11"/>
        <color rgb="FFFF0000"/>
        <rFont val="Calibri"/>
        <family val="2"/>
        <scheme val="minor"/>
      </rPr>
      <t>&lt;====</t>
    </r>
    <r>
      <rPr>
        <i/>
        <sz val="11"/>
        <color rgb="FFFF0000"/>
        <rFont val="Calibri"/>
        <family val="2"/>
        <scheme val="minor"/>
      </rPr>
      <t xml:space="preserve"> final answers to step 1</t>
    </r>
  </si>
  <si>
    <t xml:space="preserve"> = fee % change</t>
  </si>
  <si>
    <t xml:space="preserve"> = other % change</t>
  </si>
  <si>
    <t xml:space="preserve"> = EEM / (3)  =  EEM / HEM</t>
  </si>
  <si>
    <r>
      <t xml:space="preserve"> </t>
    </r>
    <r>
      <rPr>
        <b/>
        <sz val="11"/>
        <color rgb="FFFF0000"/>
        <rFont val="Calibri"/>
        <family val="2"/>
        <scheme val="minor"/>
      </rPr>
      <t>&lt;====</t>
    </r>
    <r>
      <rPr>
        <sz val="11"/>
        <color theme="1"/>
        <rFont val="Calibri"/>
        <family val="2"/>
        <scheme val="minor"/>
      </rPr>
      <t xml:space="preserve">  this is like 'on-leveling' the experience modification</t>
    </r>
  </si>
  <si>
    <t xml:space="preserve"> = (1) x (4) x (5) x (6)</t>
  </si>
  <si>
    <t xml:space="preserve"> use this fee % to calculate a weighted average</t>
  </si>
  <si>
    <t>Notes:</t>
  </si>
  <si>
    <t xml:space="preserve">  - column (4) is similar to 'step 1' in '2-step' trending</t>
  </si>
  <si>
    <t>Med Fee</t>
  </si>
  <si>
    <t>Other</t>
  </si>
  <si>
    <t xml:space="preserve">  - column (5) is similar to 'step 2' in '2-step' trending</t>
  </si>
  <si>
    <t>Rptd</t>
  </si>
  <si>
    <t>Med Loss</t>
  </si>
  <si>
    <t>Sched</t>
  </si>
  <si>
    <t>Medical</t>
  </si>
  <si>
    <t xml:space="preserve">  - column (6) is similar on-leveling premium except here we're 'on-leveling' the experience modification</t>
  </si>
  <si>
    <t>LDF to Ult</t>
  </si>
  <si>
    <t>Change</t>
  </si>
  <si>
    <t>Step 2</t>
  </si>
  <si>
    <t xml:space="preserve"> calculate the projected medical loss ratio</t>
  </si>
  <si>
    <t>(these are the calculated columns)</t>
  </si>
  <si>
    <t>(8)</t>
  </si>
  <si>
    <t>(9)</t>
  </si>
  <si>
    <t>information required for step 3 of solution: INDUSTRY &amp; COMPANY INDICATED RATE CHANGES</t>
  </si>
  <si>
    <t>combined</t>
  </si>
  <si>
    <t>factor to</t>
  </si>
  <si>
    <t>effect of</t>
  </si>
  <si>
    <t>Step 3a</t>
  </si>
  <si>
    <t>indemnity cost loss ratio:</t>
  </si>
  <si>
    <t>Step 3b</t>
  </si>
  <si>
    <t>V + Q:</t>
  </si>
  <si>
    <t>medical</t>
  </si>
  <si>
    <t>med cost</t>
  </si>
  <si>
    <t>LAE ratio to ult loss:</t>
  </si>
  <si>
    <t>expected loss cost difference:</t>
  </si>
  <si>
    <t>trends</t>
  </si>
  <si>
    <t>level</t>
  </si>
  <si>
    <t>trend</t>
  </si>
  <si>
    <t>loss</t>
  </si>
  <si>
    <t>LR</t>
  </si>
  <si>
    <t>current deviation:</t>
  </si>
  <si>
    <r>
      <t xml:space="preserve">totals </t>
    </r>
    <r>
      <rPr>
        <b/>
        <i/>
        <sz val="11"/>
        <color rgb="FFFF0000"/>
        <rFont val="Calibri"/>
        <family val="2"/>
        <scheme val="minor"/>
      </rPr>
      <t>==&gt;</t>
    </r>
  </si>
  <si>
    <r>
      <t xml:space="preserve"> </t>
    </r>
    <r>
      <rPr>
        <b/>
        <i/>
        <sz val="11"/>
        <color rgb="FFFF0000"/>
        <rFont val="Calibri"/>
        <family val="2"/>
        <scheme val="minor"/>
      </rPr>
      <t>&lt;====</t>
    </r>
    <r>
      <rPr>
        <i/>
        <sz val="11"/>
        <color rgb="FFFF0000"/>
        <rFont val="Calibri"/>
        <family val="2"/>
        <scheme val="minor"/>
      </rPr>
      <t xml:space="preserve">  final ans</t>
    </r>
  </si>
  <si>
    <t xml:space="preserve">              to step 2</t>
  </si>
  <si>
    <t>Here are some notes on STEP 2 of the solution that didn't fit on the solution page:</t>
  </si>
  <si>
    <t xml:space="preserve"> calculate the industry and company rate changes</t>
  </si>
  <si>
    <t xml:space="preserve"> = weighted average of (3) and (4) with weights m and (1-m)</t>
  </si>
  <si>
    <t>industry indicated rate change</t>
  </si>
  <si>
    <t>med LR</t>
  </si>
  <si>
    <t>indem LR</t>
  </si>
  <si>
    <t>)    x    (</t>
  </si>
  <si>
    <t>1    +</t>
  </si>
  <si>
    <t>LAE ratio</t>
  </si>
  <si>
    <t>)  -  1.0</t>
  </si>
  <si>
    <r>
      <t xml:space="preserve">  </t>
    </r>
    <r>
      <rPr>
        <b/>
        <i/>
        <sz val="11"/>
        <color rgb="FFFF0000"/>
        <rFont val="Calibri"/>
        <family val="2"/>
        <scheme val="minor"/>
      </rPr>
      <t>&lt;====</t>
    </r>
    <r>
      <rPr>
        <i/>
        <sz val="11"/>
        <color rgb="FFFF0000"/>
        <rFont val="Calibri"/>
        <family val="2"/>
        <scheme val="minor"/>
      </rPr>
      <t xml:space="preserve"> industry rate change (assumes V+Q = 0)</t>
    </r>
  </si>
  <si>
    <t xml:space="preserve"> = (1) x (2) x (6) x (7)</t>
  </si>
  <si>
    <t xml:space="preserve"> = (8) / (projected loss cost premium from Step 1b)</t>
  </si>
  <si>
    <t xml:space="preserve">proposed deviation from industry </t>
  </si>
  <si>
    <t>(expense &amp; profit adjustment) x (operational adjustment)</t>
  </si>
  <si>
    <t>1 / (1 - V - Q)  x  (1 + expected loss cost difference)</t>
  </si>
  <si>
    <t>company indicated rate change</t>
  </si>
  <si>
    <t>(proposed deviation) / (current deviation) x (1 + industry chg) - 1.0</t>
  </si>
  <si>
    <r>
      <t xml:space="preserve">  </t>
    </r>
    <r>
      <rPr>
        <b/>
        <i/>
        <sz val="11"/>
        <color rgb="FFFF0000"/>
        <rFont val="Calibri"/>
        <family val="2"/>
        <scheme val="minor"/>
      </rPr>
      <t>&lt;====</t>
    </r>
    <r>
      <rPr>
        <i/>
        <sz val="11"/>
        <color rgb="FFFF0000"/>
        <rFont val="Calibri"/>
        <family val="2"/>
        <scheme val="minor"/>
      </rPr>
      <t xml:space="preserve"> FINAL ANSWER!!</t>
    </r>
  </si>
  <si>
    <r>
      <t xml:space="preserve">information required for step 1 of solution: </t>
    </r>
    <r>
      <rPr>
        <b/>
        <sz val="11"/>
        <color rgb="FF9C6500"/>
        <rFont val="Calibri"/>
        <family val="2"/>
        <scheme val="minor"/>
      </rPr>
      <t>PROJECTED LOSS COST PREMIUM</t>
    </r>
  </si>
  <si>
    <r>
      <t xml:space="preserve">Mod </t>
    </r>
    <r>
      <rPr>
        <sz val="11"/>
        <color rgb="FFFF0000"/>
        <rFont val="Calibri"/>
        <family val="2"/>
        <scheme val="minor"/>
      </rPr>
      <t>(HEM)</t>
    </r>
  </si>
  <si>
    <r>
      <t xml:space="preserve">Projected Annual Wage Change </t>
    </r>
    <r>
      <rPr>
        <sz val="11"/>
        <color rgb="FFFF0000"/>
        <rFont val="Calibri"/>
        <family val="2"/>
        <scheme val="minor"/>
      </rPr>
      <t>(PAWC)</t>
    </r>
  </si>
  <si>
    <r>
      <t xml:space="preserve">Expected Experience Modification </t>
    </r>
    <r>
      <rPr>
        <sz val="11"/>
        <color rgb="FFFF0000"/>
        <rFont val="Calibri"/>
        <family val="2"/>
        <scheme val="minor"/>
      </rPr>
      <t>(EEM)</t>
    </r>
  </si>
  <si>
    <r>
      <t xml:space="preserve">information required for step 2 of solution: </t>
    </r>
    <r>
      <rPr>
        <b/>
        <sz val="11"/>
        <color theme="1"/>
        <rFont val="Calibri"/>
        <family val="2"/>
        <scheme val="minor"/>
      </rPr>
      <t>PROJECTED MEDICAL LOSS RATIO</t>
    </r>
  </si>
  <si>
    <r>
      <t xml:space="preserve">projected </t>
    </r>
    <r>
      <rPr>
        <sz val="11"/>
        <color rgb="FF00B0F0"/>
        <rFont val="Calibri"/>
        <family val="2"/>
        <scheme val="minor"/>
      </rPr>
      <t>medical fee schedule</t>
    </r>
    <r>
      <rPr>
        <sz val="11"/>
        <color theme="1"/>
        <rFont val="Calibri"/>
        <family val="2"/>
        <scheme val="minor"/>
      </rPr>
      <t xml:space="preserve"> change:</t>
    </r>
  </si>
  <si>
    <r>
      <t xml:space="preserve">projected </t>
    </r>
    <r>
      <rPr>
        <sz val="11"/>
        <color rgb="FFFF0000"/>
        <rFont val="Calibri"/>
        <family val="2"/>
        <scheme val="minor"/>
      </rPr>
      <t>other medical</t>
    </r>
    <r>
      <rPr>
        <sz val="11"/>
        <color theme="1"/>
        <rFont val="Calibri"/>
        <family val="2"/>
        <scheme val="minor"/>
      </rPr>
      <t xml:space="preserve"> change:</t>
    </r>
  </si>
  <si>
    <r>
      <t xml:space="preserve">portion of medical loss subject to fee schedule </t>
    </r>
    <r>
      <rPr>
        <sz val="11"/>
        <color rgb="FFFF0000"/>
        <rFont val="Calibri"/>
        <family val="2"/>
        <scheme val="minor"/>
      </rPr>
      <t>= m</t>
    </r>
  </si>
  <si>
    <t>Question</t>
  </si>
  <si>
    <t>Sheet</t>
  </si>
  <si>
    <t>Type</t>
  </si>
  <si>
    <t>B-Home</t>
  </si>
  <si>
    <t>D-WC</t>
  </si>
  <si>
    <t>Exam 5: Pricing - Appendix</t>
  </si>
  <si>
    <t xml:space="preserve">VPLR = </t>
  </si>
  <si>
    <r>
      <t xml:space="preserve">divide by VPLR </t>
    </r>
    <r>
      <rPr>
        <b/>
        <sz val="11"/>
        <color theme="1"/>
        <rFont val="Calibri"/>
        <family val="2"/>
        <scheme val="minor"/>
      </rPr>
      <t xml:space="preserve">====&gt; </t>
    </r>
  </si>
  <si>
    <r>
      <t>PAWC</t>
    </r>
    <r>
      <rPr>
        <sz val="11"/>
        <color rgb="FFFF0000"/>
        <rFont val="Calibri"/>
        <family val="2"/>
        <scheme val="minor"/>
      </rPr>
      <t>:</t>
    </r>
  </si>
  <si>
    <r>
      <t xml:space="preserve"> = (1.0 + </t>
    </r>
    <r>
      <rPr>
        <sz val="11"/>
        <color rgb="FFFF0000"/>
        <rFont val="Calibri"/>
        <family val="2"/>
        <scheme val="minor"/>
      </rPr>
      <t>(2)NextRow</t>
    </r>
    <r>
      <rPr>
        <sz val="11"/>
        <color theme="1"/>
        <rFont val="Calibri"/>
        <family val="2"/>
        <scheme val="minor"/>
      </rPr>
      <t>) x (</t>
    </r>
    <r>
      <rPr>
        <sz val="11"/>
        <color rgb="FFFF0000"/>
        <rFont val="Calibri"/>
        <family val="2"/>
        <scheme val="minor"/>
      </rPr>
      <t>4NextRow</t>
    </r>
    <r>
      <rPr>
        <sz val="11"/>
        <color theme="1"/>
        <rFont val="Calibri"/>
        <family val="2"/>
        <scheme val="minor"/>
      </rPr>
      <t>)  =  product of (1.0 + "lower" entries) from (2)</t>
    </r>
  </si>
  <si>
    <t xml:space="preserve"> = (1 + PAWC)^(trend period)</t>
  </si>
  <si>
    <r>
      <t xml:space="preserve"> </t>
    </r>
    <r>
      <rPr>
        <b/>
        <sz val="11"/>
        <color rgb="FFFF0000"/>
        <rFont val="Calibri"/>
        <family val="2"/>
        <scheme val="minor"/>
      </rPr>
      <t>&lt;====</t>
    </r>
    <r>
      <rPr>
        <sz val="11"/>
        <color theme="1"/>
        <rFont val="Calibri"/>
        <family val="2"/>
        <scheme val="minor"/>
      </rPr>
      <t xml:space="preserve">  trend factor from step 1a</t>
    </r>
  </si>
  <si>
    <t xml:space="preserve"> = product of (1.0 + "lower" entries) from (5)</t>
  </si>
  <si>
    <t xml:space="preserve"> = m x (1.0 + med % change)^(trend period)  +  (1 - m) x ( 1.0 + other % change)^(trend period)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</si>
</sst>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164" formatCode="0.0%"/>
    <numFmt numFmtId="165" formatCode="0.000"/>
    <numFmt numFmtId="166" formatCode="#,##0_ ;\-#,##0\ "/>
    <numFmt numFmtId="167" formatCode="#,##0.000"/>
    <numFmt numFmtId="168" formatCode="#,##0.0000"/>
    <numFmt numFmtId="169" formatCode="0.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8" fillId="0" borderId="0" applyNumberFormat="0" applyFill="0" applyBorder="0" applyAlignment="0" applyProtection="0"/>
  </cellStyleXfs>
  <cellXfs count="267">
    <xf numFmtId="0" fontId="0" fillId="0" borderId="0" xfId="0"/>
    <xf numFmtId="0" fontId="6" fillId="0" borderId="0" xfId="0" applyFont="1"/>
    <xf numFmtId="0" fontId="0" fillId="0" borderId="0" xfId="0" applyFont="1"/>
    <xf numFmtId="0" fontId="7" fillId="0" borderId="0" xfId="0" applyFont="1"/>
    <xf numFmtId="0" fontId="0" fillId="0" borderId="0" xfId="0" applyFont="1" applyAlignment="1">
      <alignment horizontal="center"/>
    </xf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3" fontId="6" fillId="0" borderId="0" xfId="0" applyNumberFormat="1" applyFont="1"/>
    <xf numFmtId="0" fontId="4" fillId="4" borderId="1" xfId="5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Continuous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4" fontId="4" fillId="4" borderId="1" xfId="5" applyNumberFormat="1" applyBorder="1"/>
    <xf numFmtId="0" fontId="0" fillId="5" borderId="0" xfId="6" applyFont="1" applyAlignment="1">
      <alignment horizontal="center"/>
    </xf>
    <xf numFmtId="0" fontId="0" fillId="0" borderId="0" xfId="0" applyFont="1" applyAlignment="1">
      <alignment horizontal="centerContinuous"/>
    </xf>
    <xf numFmtId="0" fontId="0" fillId="0" borderId="0" xfId="0" applyFont="1" applyAlignment="1">
      <alignment horizontal="left"/>
    </xf>
    <xf numFmtId="4" fontId="1" fillId="5" borderId="0" xfId="6" applyNumberFormat="1"/>
    <xf numFmtId="0" fontId="1" fillId="5" borderId="1" xfId="6" applyBorder="1" applyAlignment="1">
      <alignment horizontal="center"/>
    </xf>
    <xf numFmtId="3" fontId="0" fillId="0" borderId="1" xfId="0" applyNumberFormat="1" applyFont="1" applyBorder="1" applyAlignment="1">
      <alignment horizontal="centerContinuous"/>
    </xf>
    <xf numFmtId="3" fontId="0" fillId="0" borderId="1" xfId="0" applyNumberFormat="1" applyFont="1" applyBorder="1" applyAlignment="1">
      <alignment horizontal="left"/>
    </xf>
    <xf numFmtId="3" fontId="0" fillId="0" borderId="1" xfId="0" applyNumberFormat="1" applyFont="1" applyBorder="1"/>
    <xf numFmtId="4" fontId="1" fillId="5" borderId="1" xfId="6" applyNumberFormat="1" applyBorder="1"/>
    <xf numFmtId="3" fontId="9" fillId="0" borderId="0" xfId="0" applyNumberFormat="1" applyFont="1"/>
    <xf numFmtId="0" fontId="0" fillId="7" borderId="0" xfId="8" applyFont="1" applyAlignment="1">
      <alignment horizontal="center"/>
    </xf>
    <xf numFmtId="3" fontId="0" fillId="0" borderId="0" xfId="0" applyNumberFormat="1" applyFont="1" applyAlignment="1">
      <alignment horizontal="centerContinuous"/>
    </xf>
    <xf numFmtId="3" fontId="0" fillId="0" borderId="0" xfId="0" applyNumberFormat="1" applyFont="1" applyAlignment="1">
      <alignment horizontal="left"/>
    </xf>
    <xf numFmtId="4" fontId="0" fillId="8" borderId="0" xfId="0" applyNumberFormat="1" applyFont="1" applyFill="1"/>
    <xf numFmtId="0" fontId="0" fillId="0" borderId="2" xfId="0" applyBorder="1"/>
    <xf numFmtId="0" fontId="0" fillId="0" borderId="3" xfId="0" applyBorder="1"/>
    <xf numFmtId="0" fontId="0" fillId="8" borderId="4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5" xfId="0" applyFont="1" applyBorder="1"/>
    <xf numFmtId="0" fontId="0" fillId="9" borderId="0" xfId="0" applyFill="1" applyAlignment="1">
      <alignment horizontal="center"/>
    </xf>
    <xf numFmtId="0" fontId="1" fillId="6" borderId="1" xfId="7" applyBorder="1" applyAlignment="1">
      <alignment horizontal="center"/>
    </xf>
    <xf numFmtId="4" fontId="1" fillId="6" borderId="1" xfId="7" applyNumberFormat="1" applyBorder="1"/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right"/>
    </xf>
    <xf numFmtId="4" fontId="2" fillId="2" borderId="5" xfId="3" applyNumberFormat="1" applyBorder="1"/>
    <xf numFmtId="3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0" fillId="8" borderId="7" xfId="2" applyNumberFormat="1" applyFont="1" applyFill="1" applyBorder="1"/>
    <xf numFmtId="0" fontId="0" fillId="0" borderId="8" xfId="0" applyBorder="1"/>
    <xf numFmtId="165" fontId="0" fillId="8" borderId="7" xfId="0" applyNumberFormat="1" applyFill="1" applyBorder="1" applyAlignment="1">
      <alignment horizontal="right"/>
    </xf>
    <xf numFmtId="0" fontId="0" fillId="0" borderId="9" xfId="0" applyBorder="1"/>
    <xf numFmtId="0" fontId="0" fillId="0" borderId="10" xfId="0" applyBorder="1"/>
    <xf numFmtId="164" fontId="0" fillId="8" borderId="10" xfId="2" applyNumberFormat="1" applyFont="1" applyFill="1" applyBorder="1"/>
    <xf numFmtId="0" fontId="0" fillId="0" borderId="0" xfId="0" applyBorder="1"/>
    <xf numFmtId="0" fontId="0" fillId="0" borderId="10" xfId="0" applyFont="1" applyBorder="1"/>
    <xf numFmtId="3" fontId="0" fillId="8" borderId="10" xfId="0" applyNumberFormat="1" applyFill="1" applyBorder="1"/>
    <xf numFmtId="3" fontId="4" fillId="4" borderId="0" xfId="5" applyNumberFormat="1" applyAlignment="1">
      <alignment horizontal="center"/>
    </xf>
    <xf numFmtId="0" fontId="0" fillId="0" borderId="11" xfId="0" applyBorder="1"/>
    <xf numFmtId="0" fontId="0" fillId="0" borderId="12" xfId="0" applyBorder="1"/>
    <xf numFmtId="44" fontId="0" fillId="10" borderId="12" xfId="1" applyFont="1" applyFill="1" applyBorder="1"/>
    <xf numFmtId="0" fontId="9" fillId="0" borderId="0" xfId="0" applyFont="1"/>
    <xf numFmtId="0" fontId="0" fillId="0" borderId="1" xfId="0" applyBorder="1"/>
    <xf numFmtId="0" fontId="0" fillId="0" borderId="12" xfId="0" applyFont="1" applyBorder="1"/>
    <xf numFmtId="3" fontId="0" fillId="8" borderId="12" xfId="0" applyNumberFormat="1" applyFill="1" applyBorder="1"/>
    <xf numFmtId="3" fontId="0" fillId="0" borderId="13" xfId="0" applyNumberFormat="1" applyFont="1" applyBorder="1"/>
    <xf numFmtId="3" fontId="6" fillId="0" borderId="8" xfId="0" applyNumberFormat="1" applyFont="1" applyBorder="1" applyAlignment="1">
      <alignment horizontal="centerContinuous"/>
    </xf>
    <xf numFmtId="3" fontId="0" fillId="0" borderId="7" xfId="0" applyNumberFormat="1" applyFont="1" applyBorder="1" applyAlignment="1">
      <alignment horizontal="centerContinuous"/>
    </xf>
    <xf numFmtId="3" fontId="13" fillId="0" borderId="8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0" fontId="0" fillId="0" borderId="6" xfId="0" applyFont="1" applyBorder="1"/>
    <xf numFmtId="164" fontId="0" fillId="8" borderId="7" xfId="2" applyNumberFormat="1" applyFont="1" applyFill="1" applyBorder="1" applyAlignment="1">
      <alignment horizontal="center"/>
    </xf>
    <xf numFmtId="3" fontId="0" fillId="0" borderId="14" xfId="0" applyNumberFormat="1" applyFont="1" applyBorder="1"/>
    <xf numFmtId="3" fontId="14" fillId="0" borderId="0" xfId="0" applyNumberFormat="1" applyFont="1" applyBorder="1" applyAlignment="1">
      <alignment horizontal="center"/>
    </xf>
    <xf numFmtId="3" fontId="14" fillId="0" borderId="10" xfId="0" applyNumberFormat="1" applyFont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13" fillId="0" borderId="0" xfId="0" applyNumberFormat="1" applyFont="1"/>
    <xf numFmtId="3" fontId="0" fillId="0" borderId="0" xfId="0" quotePrefix="1" applyNumberFormat="1" applyFont="1"/>
    <xf numFmtId="0" fontId="0" fillId="0" borderId="11" xfId="0" applyFont="1" applyBorder="1"/>
    <xf numFmtId="164" fontId="0" fillId="8" borderId="12" xfId="2" applyNumberFormat="1" applyFont="1" applyFill="1" applyBorder="1" applyAlignment="1">
      <alignment horizontal="center"/>
    </xf>
    <xf numFmtId="3" fontId="0" fillId="0" borderId="15" xfId="0" applyNumberFormat="1" applyFont="1" applyBorder="1"/>
    <xf numFmtId="3" fontId="14" fillId="0" borderId="1" xfId="0" applyNumberFormat="1" applyFont="1" applyBorder="1" applyAlignment="1">
      <alignment horizontal="center"/>
    </xf>
    <xf numFmtId="3" fontId="14" fillId="0" borderId="12" xfId="0" applyNumberFormat="1" applyFont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0" fillId="0" borderId="1" xfId="0" quotePrefix="1" applyNumberFormat="1" applyFont="1" applyBorder="1"/>
    <xf numFmtId="0" fontId="0" fillId="0" borderId="9" xfId="0" applyFont="1" applyBorder="1"/>
    <xf numFmtId="0" fontId="9" fillId="0" borderId="10" xfId="0" applyFont="1" applyBorder="1"/>
    <xf numFmtId="164" fontId="0" fillId="10" borderId="10" xfId="2" applyNumberFormat="1" applyFont="1" applyFill="1" applyBorder="1" applyAlignment="1">
      <alignment horizontal="center"/>
    </xf>
    <xf numFmtId="0" fontId="0" fillId="0" borderId="2" xfId="0" applyFont="1" applyBorder="1"/>
    <xf numFmtId="0" fontId="0" fillId="0" borderId="4" xfId="0" applyFont="1" applyBorder="1"/>
    <xf numFmtId="3" fontId="0" fillId="0" borderId="3" xfId="0" applyNumberFormat="1" applyFont="1" applyBorder="1"/>
    <xf numFmtId="4" fontId="0" fillId="8" borderId="3" xfId="0" applyNumberFormat="1" applyFont="1" applyFill="1" applyBorder="1"/>
    <xf numFmtId="0" fontId="0" fillId="0" borderId="1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10" xfId="0" applyNumberFormat="1" applyFont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0" fontId="0" fillId="0" borderId="11" xfId="0" applyFont="1" applyFill="1" applyBorder="1"/>
    <xf numFmtId="164" fontId="0" fillId="10" borderId="12" xfId="2" applyNumberFormat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0" fillId="0" borderId="12" xfId="0" applyNumberFormat="1" applyFont="1" applyBorder="1" applyAlignment="1">
      <alignment horizontal="center"/>
    </xf>
    <xf numFmtId="4" fontId="0" fillId="0" borderId="12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3" fontId="7" fillId="0" borderId="0" xfId="0" applyNumberFormat="1" applyFont="1" applyAlignment="1">
      <alignment horizontal="right"/>
    </xf>
    <xf numFmtId="4" fontId="4" fillId="4" borderId="5" xfId="5" applyNumberFormat="1" applyBorder="1" applyAlignment="1">
      <alignment horizontal="center"/>
    </xf>
    <xf numFmtId="3" fontId="0" fillId="8" borderId="0" xfId="0" applyNumberFormat="1" applyFill="1" applyBorder="1" applyAlignment="1">
      <alignment horizontal="right"/>
    </xf>
    <xf numFmtId="2" fontId="0" fillId="8" borderId="0" xfId="0" applyNumberFormat="1" applyFill="1" applyBorder="1" applyAlignment="1">
      <alignment horizontal="center"/>
    </xf>
    <xf numFmtId="165" fontId="0" fillId="8" borderId="10" xfId="0" applyNumberFormat="1" applyFill="1" applyBorder="1" applyAlignment="1">
      <alignment horizontal="center"/>
    </xf>
    <xf numFmtId="166" fontId="0" fillId="8" borderId="10" xfId="1" applyNumberFormat="1" applyFont="1" applyFill="1" applyBorder="1" applyAlignment="1">
      <alignment horizontal="center"/>
    </xf>
    <xf numFmtId="3" fontId="1" fillId="5" borderId="0" xfId="6" applyNumberFormat="1" applyAlignment="1">
      <alignment horizontal="center"/>
    </xf>
    <xf numFmtId="167" fontId="0" fillId="0" borderId="0" xfId="0" applyNumberFormat="1" applyFont="1" applyAlignment="1">
      <alignment horizontal="left"/>
    </xf>
    <xf numFmtId="4" fontId="15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left"/>
    </xf>
    <xf numFmtId="3" fontId="0" fillId="0" borderId="0" xfId="0" applyNumberFormat="1" applyBorder="1" applyAlignment="1">
      <alignment horizontal="right"/>
    </xf>
    <xf numFmtId="4" fontId="1" fillId="5" borderId="0" xfId="6" applyNumberFormat="1" applyAlignment="1">
      <alignment horizontal="left"/>
    </xf>
    <xf numFmtId="166" fontId="17" fillId="8" borderId="10" xfId="1" applyNumberFormat="1" applyFont="1" applyFill="1" applyBorder="1" applyAlignment="1">
      <alignment horizontal="center"/>
    </xf>
    <xf numFmtId="3" fontId="2" fillId="2" borderId="0" xfId="3" applyNumberFormat="1"/>
    <xf numFmtId="3" fontId="0" fillId="0" borderId="1" xfId="0" applyNumberFormat="1" applyBorder="1" applyAlignment="1">
      <alignment horizontal="right"/>
    </xf>
    <xf numFmtId="166" fontId="18" fillId="8" borderId="12" xfId="1" applyNumberFormat="1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right"/>
    </xf>
    <xf numFmtId="3" fontId="0" fillId="0" borderId="0" xfId="0" applyNumberFormat="1" applyFont="1" applyAlignment="1">
      <alignment horizontal="right"/>
    </xf>
    <xf numFmtId="4" fontId="12" fillId="0" borderId="0" xfId="0" applyNumberFormat="1" applyFont="1" applyAlignment="1">
      <alignment horizontal="left"/>
    </xf>
    <xf numFmtId="4" fontId="12" fillId="0" borderId="0" xfId="0" applyNumberFormat="1" applyFont="1" applyAlignment="1">
      <alignment horizontal="center"/>
    </xf>
    <xf numFmtId="166" fontId="17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/>
    </xf>
    <xf numFmtId="4" fontId="15" fillId="0" borderId="0" xfId="0" applyNumberFormat="1" applyFont="1" applyAlignment="1">
      <alignment horizontal="center"/>
    </xf>
    <xf numFmtId="3" fontId="0" fillId="8" borderId="0" xfId="6" applyNumberFormat="1" applyFont="1" applyFill="1" applyAlignment="1">
      <alignment horizontal="center"/>
    </xf>
    <xf numFmtId="3" fontId="0" fillId="0" borderId="0" xfId="0" quotePrefix="1" applyNumberFormat="1" applyFont="1" applyAlignment="1">
      <alignment horizontal="center"/>
    </xf>
    <xf numFmtId="4" fontId="0" fillId="8" borderId="0" xfId="0" applyNumberFormat="1" applyFont="1" applyFill="1" applyAlignment="1">
      <alignment horizontal="left"/>
    </xf>
    <xf numFmtId="3" fontId="1" fillId="6" borderId="0" xfId="7" applyNumberFormat="1" applyAlignment="1">
      <alignment horizontal="center"/>
    </xf>
    <xf numFmtId="4" fontId="0" fillId="0" borderId="0" xfId="0" applyNumberFormat="1" applyFont="1" applyAlignment="1">
      <alignment horizontal="left"/>
    </xf>
    <xf numFmtId="4" fontId="1" fillId="6" borderId="0" xfId="7" applyNumberFormat="1" applyAlignment="1">
      <alignment horizontal="left"/>
    </xf>
    <xf numFmtId="0" fontId="4" fillId="4" borderId="2" xfId="5" applyBorder="1" applyAlignment="1">
      <alignment horizontal="center"/>
    </xf>
    <xf numFmtId="0" fontId="0" fillId="0" borderId="3" xfId="0" applyFont="1" applyBorder="1"/>
    <xf numFmtId="3" fontId="4" fillId="4" borderId="2" xfId="5" applyNumberFormat="1" applyBorder="1"/>
    <xf numFmtId="0" fontId="4" fillId="4" borderId="4" xfId="5" applyBorder="1"/>
    <xf numFmtId="0" fontId="4" fillId="4" borderId="3" xfId="5" applyBorder="1"/>
    <xf numFmtId="0" fontId="0" fillId="8" borderId="5" xfId="0" quotePrefix="1" applyNumberFormat="1" applyFont="1" applyFill="1" applyBorder="1" applyAlignment="1">
      <alignment horizontal="center"/>
    </xf>
    <xf numFmtId="0" fontId="0" fillId="8" borderId="5" xfId="0" applyNumberFormat="1" applyFont="1" applyFill="1" applyBorder="1" applyAlignment="1">
      <alignment horizontal="center"/>
    </xf>
    <xf numFmtId="168" fontId="0" fillId="0" borderId="0" xfId="0" applyNumberFormat="1" applyFont="1" applyAlignment="1">
      <alignment horizontal="center"/>
    </xf>
    <xf numFmtId="3" fontId="0" fillId="0" borderId="0" xfId="0" applyNumberFormat="1" applyFont="1" applyBorder="1"/>
    <xf numFmtId="0" fontId="0" fillId="8" borderId="0" xfId="0" applyNumberFormat="1" applyFont="1" applyFill="1" applyBorder="1" applyAlignment="1">
      <alignment horizontal="center"/>
    </xf>
    <xf numFmtId="0" fontId="0" fillId="8" borderId="0" xfId="0" quotePrefix="1" applyNumberFormat="1" applyFont="1" applyFill="1" applyBorder="1" applyAlignment="1">
      <alignment horizontal="center"/>
    </xf>
    <xf numFmtId="3" fontId="19" fillId="0" borderId="0" xfId="0" applyNumberFormat="1" applyFont="1" applyAlignment="1">
      <alignment horizontal="left"/>
    </xf>
    <xf numFmtId="3" fontId="0" fillId="8" borderId="0" xfId="0" applyNumberFormat="1" applyFont="1" applyFill="1" applyBorder="1" applyAlignment="1">
      <alignment horizontal="center"/>
    </xf>
    <xf numFmtId="3" fontId="0" fillId="8" borderId="0" xfId="0" applyNumberFormat="1" applyFont="1" applyFill="1" applyBorder="1"/>
    <xf numFmtId="3" fontId="6" fillId="8" borderId="0" xfId="0" applyNumberFormat="1" applyFont="1" applyFill="1" applyBorder="1" applyAlignment="1">
      <alignment horizontal="center"/>
    </xf>
    <xf numFmtId="3" fontId="12" fillId="0" borderId="0" xfId="0" applyNumberFormat="1" applyFont="1" applyAlignment="1">
      <alignment horizontal="center"/>
    </xf>
    <xf numFmtId="164" fontId="0" fillId="0" borderId="0" xfId="2" applyNumberFormat="1" applyFont="1" applyAlignment="1">
      <alignment horizontal="center"/>
    </xf>
    <xf numFmtId="3" fontId="5" fillId="0" borderId="0" xfId="0" quotePrefix="1" applyNumberFormat="1" applyFont="1" applyAlignment="1">
      <alignment horizontal="left"/>
    </xf>
    <xf numFmtId="0" fontId="0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0" fillId="0" borderId="0" xfId="0" quotePrefix="1" applyFont="1" applyBorder="1" applyAlignment="1">
      <alignment horizontal="center"/>
    </xf>
    <xf numFmtId="0" fontId="0" fillId="0" borderId="0" xfId="0" quotePrefix="1" applyFont="1" applyAlignment="1">
      <alignment horizontal="center"/>
    </xf>
    <xf numFmtId="0" fontId="5" fillId="0" borderId="0" xfId="0" quotePrefix="1" applyFont="1" applyAlignment="1">
      <alignment horizontal="left"/>
    </xf>
    <xf numFmtId="0" fontId="0" fillId="0" borderId="6" xfId="0" quotePrefix="1" applyFont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8" xfId="0" quotePrefix="1" applyFont="1" applyBorder="1" applyAlignment="1">
      <alignment horizontal="center"/>
    </xf>
    <xf numFmtId="0" fontId="0" fillId="0" borderId="7" xfId="0" quotePrefix="1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164" fontId="0" fillId="8" borderId="0" xfId="2" applyNumberFormat="1" applyFont="1" applyFill="1" applyBorder="1" applyAlignment="1">
      <alignment horizontal="center"/>
    </xf>
    <xf numFmtId="167" fontId="0" fillId="8" borderId="0" xfId="0" applyNumberFormat="1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5" fillId="0" borderId="10" xfId="0" quotePrefix="1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3" fontId="0" fillId="0" borderId="15" xfId="0" applyNumberFormat="1" applyFont="1" applyBorder="1" applyAlignment="1">
      <alignment horizontal="center"/>
    </xf>
    <xf numFmtId="3" fontId="14" fillId="0" borderId="11" xfId="0" applyNumberFormat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169" fontId="0" fillId="0" borderId="9" xfId="0" applyNumberFormat="1" applyFont="1" applyBorder="1" applyAlignment="1">
      <alignment horizontal="center"/>
    </xf>
    <xf numFmtId="169" fontId="0" fillId="0" borderId="0" xfId="0" applyNumberFormat="1" applyFont="1" applyBorder="1" applyAlignment="1">
      <alignment horizontal="center"/>
    </xf>
    <xf numFmtId="4" fontId="4" fillId="4" borderId="10" xfId="5" applyNumberFormat="1" applyBorder="1" applyAlignment="1">
      <alignment horizontal="right"/>
    </xf>
    <xf numFmtId="0" fontId="0" fillId="0" borderId="0" xfId="0" applyFont="1" applyBorder="1"/>
    <xf numFmtId="167" fontId="0" fillId="8" borderId="0" xfId="0" applyNumberFormat="1" applyFont="1" applyFill="1" applyBorder="1"/>
    <xf numFmtId="3" fontId="0" fillId="8" borderId="1" xfId="0" applyNumberFormat="1" applyFont="1" applyFill="1" applyBorder="1" applyAlignment="1">
      <alignment horizontal="center"/>
    </xf>
    <xf numFmtId="164" fontId="0" fillId="8" borderId="1" xfId="2" applyNumberFormat="1" applyFont="1" applyFill="1" applyBorder="1" applyAlignment="1">
      <alignment horizontal="center"/>
    </xf>
    <xf numFmtId="167" fontId="0" fillId="8" borderId="1" xfId="0" applyNumberFormat="1" applyFont="1" applyFill="1" applyBorder="1" applyAlignment="1">
      <alignment horizontal="center"/>
    </xf>
    <xf numFmtId="169" fontId="0" fillId="0" borderId="11" xfId="0" applyNumberFormat="1" applyFont="1" applyBorder="1" applyAlignment="1">
      <alignment horizontal="center"/>
    </xf>
    <xf numFmtId="169" fontId="0" fillId="0" borderId="1" xfId="0" applyNumberFormat="1" applyFont="1" applyBorder="1" applyAlignment="1">
      <alignment horizontal="center"/>
    </xf>
    <xf numFmtId="4" fontId="4" fillId="4" borderId="12" xfId="5" applyNumberFormat="1" applyBorder="1" applyAlignment="1">
      <alignment horizontal="right"/>
    </xf>
    <xf numFmtId="4" fontId="4" fillId="4" borderId="0" xfId="5" applyNumberFormat="1"/>
    <xf numFmtId="3" fontId="0" fillId="5" borderId="2" xfId="6" applyNumberFormat="1" applyFont="1" applyBorder="1"/>
    <xf numFmtId="0" fontId="1" fillId="5" borderId="4" xfId="6" applyBorder="1"/>
    <xf numFmtId="0" fontId="1" fillId="5" borderId="3" xfId="6" applyBorder="1"/>
    <xf numFmtId="164" fontId="0" fillId="8" borderId="0" xfId="2" applyNumberFormat="1" applyFont="1" applyFill="1" applyBorder="1" applyAlignment="1">
      <alignment horizontal="right"/>
    </xf>
    <xf numFmtId="164" fontId="0" fillId="8" borderId="0" xfId="2" applyNumberFormat="1" applyFont="1" applyFill="1" applyBorder="1"/>
    <xf numFmtId="0" fontId="0" fillId="0" borderId="0" xfId="0" applyAlignment="1">
      <alignment horizontal="center"/>
    </xf>
    <xf numFmtId="3" fontId="0" fillId="8" borderId="0" xfId="0" applyNumberFormat="1" applyFill="1"/>
    <xf numFmtId="165" fontId="0" fillId="8" borderId="0" xfId="0" applyNumberFormat="1" applyFill="1" applyAlignment="1">
      <alignment horizontal="center"/>
    </xf>
    <xf numFmtId="164" fontId="0" fillId="8" borderId="0" xfId="2" applyNumberFormat="1" applyFont="1" applyFill="1" applyAlignment="1">
      <alignment horizontal="center"/>
    </xf>
    <xf numFmtId="0" fontId="1" fillId="5" borderId="2" xfId="6" applyBorder="1" applyAlignment="1">
      <alignment horizontal="center"/>
    </xf>
    <xf numFmtId="0" fontId="5" fillId="0" borderId="0" xfId="0" quotePrefix="1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5" fillId="0" borderId="0" xfId="0" quotePrefix="1" applyFont="1" applyAlignment="1">
      <alignment horizontal="center"/>
    </xf>
    <xf numFmtId="0" fontId="13" fillId="0" borderId="0" xfId="0" quotePrefix="1" applyFont="1" applyAlignment="1">
      <alignment horizontal="center"/>
    </xf>
    <xf numFmtId="3" fontId="2" fillId="2" borderId="2" xfId="3" applyNumberFormat="1" applyBorder="1"/>
    <xf numFmtId="0" fontId="2" fillId="2" borderId="4" xfId="3" applyBorder="1"/>
    <xf numFmtId="0" fontId="2" fillId="2" borderId="3" xfId="3" applyBorder="1"/>
    <xf numFmtId="0" fontId="0" fillId="0" borderId="8" xfId="0" applyFont="1" applyBorder="1"/>
    <xf numFmtId="0" fontId="0" fillId="0" borderId="7" xfId="0" applyFont="1" applyBorder="1"/>
    <xf numFmtId="0" fontId="0" fillId="0" borderId="9" xfId="0" applyBorder="1" applyAlignment="1">
      <alignment horizontal="center"/>
    </xf>
    <xf numFmtId="0" fontId="2" fillId="2" borderId="0" xfId="3" applyAlignment="1">
      <alignment horizontal="center"/>
    </xf>
    <xf numFmtId="164" fontId="0" fillId="8" borderId="0" xfId="2" applyNumberFormat="1" applyFont="1" applyFill="1" applyAlignment="1">
      <alignment horizontal="right"/>
    </xf>
    <xf numFmtId="164" fontId="0" fillId="0" borderId="0" xfId="2" applyNumberFormat="1" applyFont="1"/>
    <xf numFmtId="164" fontId="0" fillId="8" borderId="0" xfId="2" applyNumberFormat="1" applyFont="1" applyFill="1"/>
    <xf numFmtId="0" fontId="0" fillId="0" borderId="11" xfId="0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165" fontId="0" fillId="8" borderId="0" xfId="0" applyNumberFormat="1" applyFill="1"/>
    <xf numFmtId="3" fontId="0" fillId="8" borderId="0" xfId="0" applyNumberFormat="1" applyFill="1" applyBorder="1"/>
    <xf numFmtId="165" fontId="0" fillId="8" borderId="0" xfId="0" applyNumberFormat="1" applyFill="1" applyBorder="1" applyAlignment="1">
      <alignment horizontal="center"/>
    </xf>
    <xf numFmtId="164" fontId="0" fillId="8" borderId="10" xfId="2" applyNumberFormat="1" applyFont="1" applyFill="1" applyBorder="1" applyAlignment="1">
      <alignment horizontal="center"/>
    </xf>
    <xf numFmtId="167" fontId="0" fillId="0" borderId="0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right"/>
    </xf>
    <xf numFmtId="10" fontId="0" fillId="0" borderId="10" xfId="2" applyNumberFormat="1" applyFont="1" applyBorder="1" applyAlignment="1">
      <alignment horizontal="right"/>
    </xf>
    <xf numFmtId="3" fontId="0" fillId="8" borderId="1" xfId="0" applyNumberFormat="1" applyFill="1" applyBorder="1"/>
    <xf numFmtId="165" fontId="0" fillId="8" borderId="1" xfId="0" applyNumberFormat="1" applyFill="1" applyBorder="1" applyAlignment="1">
      <alignment horizontal="center"/>
    </xf>
    <xf numFmtId="167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right"/>
    </xf>
    <xf numFmtId="10" fontId="0" fillId="0" borderId="12" xfId="2" applyNumberFormat="1" applyFont="1" applyBorder="1" applyAlignment="1">
      <alignment horizontal="right"/>
    </xf>
    <xf numFmtId="3" fontId="7" fillId="0" borderId="0" xfId="0" applyNumberFormat="1" applyFont="1"/>
    <xf numFmtId="4" fontId="0" fillId="0" borderId="2" xfId="0" applyNumberFormat="1" applyFont="1" applyBorder="1" applyAlignment="1">
      <alignment horizontal="right"/>
    </xf>
    <xf numFmtId="10" fontId="1" fillId="5" borderId="3" xfId="6" applyNumberFormat="1" applyBorder="1" applyAlignment="1">
      <alignment horizontal="right"/>
    </xf>
    <xf numFmtId="0" fontId="3" fillId="3" borderId="2" xfId="4" applyBorder="1"/>
    <xf numFmtId="0" fontId="3" fillId="3" borderId="4" xfId="4" applyBorder="1"/>
    <xf numFmtId="0" fontId="3" fillId="3" borderId="3" xfId="4" applyBorder="1"/>
    <xf numFmtId="0" fontId="2" fillId="2" borderId="2" xfId="3" applyBorder="1" applyAlignment="1">
      <alignment horizontal="center"/>
    </xf>
    <xf numFmtId="0" fontId="19" fillId="0" borderId="0" xfId="0" quotePrefix="1" applyFont="1" applyAlignment="1">
      <alignment horizontal="center"/>
    </xf>
    <xf numFmtId="0" fontId="19" fillId="0" borderId="0" xfId="0" quotePrefix="1" applyFont="1"/>
    <xf numFmtId="164" fontId="1" fillId="5" borderId="0" xfId="6" applyNumberFormat="1" applyAlignment="1">
      <alignment horizontal="center"/>
    </xf>
    <xf numFmtId="9" fontId="0" fillId="0" borderId="0" xfId="2" applyFont="1" applyAlignment="1">
      <alignment horizontal="center"/>
    </xf>
    <xf numFmtId="10" fontId="2" fillId="2" borderId="0" xfId="3" applyNumberFormat="1"/>
    <xf numFmtId="168" fontId="0" fillId="0" borderId="0" xfId="0" applyNumberFormat="1" applyFont="1" applyAlignment="1">
      <alignment horizontal="left"/>
    </xf>
    <xf numFmtId="0" fontId="0" fillId="11" borderId="0" xfId="0" applyFont="1" applyFill="1"/>
    <xf numFmtId="0" fontId="0" fillId="11" borderId="0" xfId="0" applyFont="1" applyFill="1" applyBorder="1"/>
    <xf numFmtId="0" fontId="6" fillId="11" borderId="1" xfId="0" applyFont="1" applyFill="1" applyBorder="1" applyAlignment="1">
      <alignment horizontal="center"/>
    </xf>
    <xf numFmtId="0" fontId="0" fillId="11" borderId="0" xfId="0" applyFont="1" applyFill="1" applyAlignment="1">
      <alignment horizontal="center"/>
    </xf>
    <xf numFmtId="0" fontId="8" fillId="11" borderId="0" xfId="9" applyFill="1" applyAlignment="1">
      <alignment horizontal="center"/>
    </xf>
    <xf numFmtId="0" fontId="0" fillId="11" borderId="0" xfId="0" applyFont="1" applyFill="1" applyBorder="1" applyAlignment="1">
      <alignment horizontal="left"/>
    </xf>
    <xf numFmtId="0" fontId="6" fillId="11" borderId="1" xfId="0" applyFont="1" applyFill="1" applyBorder="1" applyAlignment="1">
      <alignment horizontal="left"/>
    </xf>
    <xf numFmtId="0" fontId="0" fillId="11" borderId="0" xfId="0" applyFont="1" applyFill="1" applyAlignment="1">
      <alignment horizontal="left"/>
    </xf>
    <xf numFmtId="4" fontId="19" fillId="0" borderId="8" xfId="3" applyNumberFormat="1" applyFont="1" applyFill="1" applyBorder="1" applyAlignment="1">
      <alignment horizontal="center"/>
    </xf>
    <xf numFmtId="3" fontId="24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left"/>
    </xf>
    <xf numFmtId="10" fontId="0" fillId="0" borderId="0" xfId="2" applyNumberFormat="1" applyFont="1" applyBorder="1" applyAlignment="1">
      <alignment horizontal="center"/>
    </xf>
    <xf numFmtId="10" fontId="0" fillId="0" borderId="1" xfId="2" applyNumberFormat="1" applyFont="1" applyBorder="1" applyAlignment="1">
      <alignment horizontal="center"/>
    </xf>
    <xf numFmtId="3" fontId="25" fillId="0" borderId="0" xfId="0" applyNumberFormat="1" applyFont="1" applyAlignment="1">
      <alignment horizontal="center"/>
    </xf>
    <xf numFmtId="168" fontId="13" fillId="0" borderId="0" xfId="0" applyNumberFormat="1" applyFont="1" applyAlignment="1">
      <alignment horizontal="center"/>
    </xf>
    <xf numFmtId="168" fontId="0" fillId="0" borderId="0" xfId="0" applyNumberFormat="1" applyFont="1" applyBorder="1" applyAlignment="1">
      <alignment horizontal="center"/>
    </xf>
    <xf numFmtId="168" fontId="0" fillId="0" borderId="1" xfId="0" applyNumberFormat="1" applyFont="1" applyBorder="1" applyAlignment="1">
      <alignment horizontal="center"/>
    </xf>
    <xf numFmtId="167" fontId="0" fillId="0" borderId="0" xfId="0" applyNumberFormat="1" applyFont="1"/>
    <xf numFmtId="0" fontId="23" fillId="11" borderId="0" xfId="0" applyFont="1" applyFill="1" applyAlignment="1">
      <alignment horizontal="center"/>
    </xf>
    <xf numFmtId="0" fontId="8" fillId="0" borderId="0" xfId="9" applyAlignment="1">
      <alignment horizontal="right"/>
    </xf>
  </cellXfs>
  <cellStyles count="10">
    <cellStyle name="40% - Accent1" xfId="6" builtinId="31"/>
    <cellStyle name="40% - Accent2" xfId="7" builtinId="35"/>
    <cellStyle name="40% - Accent3" xfId="8" builtinId="39"/>
    <cellStyle name="Bad" xfId="4" builtinId="27"/>
    <cellStyle name="Currency" xfId="1" builtinId="4"/>
    <cellStyle name="Good" xfId="3" builtinId="26"/>
    <cellStyle name="Hyperlink" xfId="9" builtinId="8"/>
    <cellStyle name="Neutral" xfId="5" builtinId="2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1210522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26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9.140625" style="247"/>
    <col min="2" max="2" width="22.7109375" style="254" customWidth="1"/>
    <col min="3" max="3" width="58.28515625" style="248" bestFit="1" customWidth="1"/>
    <col min="4" max="16384" width="9.140625" style="247"/>
  </cols>
  <sheetData>
    <row r="5" spans="1:3" x14ac:dyDescent="0.25">
      <c r="A5" s="265" t="s">
        <v>220</v>
      </c>
      <c r="B5" s="265"/>
      <c r="C5" s="265"/>
    </row>
    <row r="6" spans="1:3" ht="21" customHeight="1" x14ac:dyDescent="0.25">
      <c r="A6" s="265"/>
      <c r="B6" s="265"/>
      <c r="C6" s="265"/>
    </row>
    <row r="8" spans="1:3" x14ac:dyDescent="0.25">
      <c r="A8" s="248"/>
      <c r="B8" s="252"/>
    </row>
    <row r="9" spans="1:3" x14ac:dyDescent="0.25">
      <c r="A9" s="249" t="s">
        <v>215</v>
      </c>
      <c r="B9" s="253" t="s">
        <v>216</v>
      </c>
      <c r="C9" s="249" t="s">
        <v>217</v>
      </c>
    </row>
    <row r="10" spans="1:3" x14ac:dyDescent="0.25">
      <c r="A10" s="251">
        <v>1</v>
      </c>
      <c r="B10" s="252" t="s">
        <v>218</v>
      </c>
      <c r="C10" s="248" t="s">
        <v>9</v>
      </c>
    </row>
    <row r="11" spans="1:3" x14ac:dyDescent="0.25">
      <c r="A11" s="251">
        <v>2</v>
      </c>
      <c r="B11" s="252" t="s">
        <v>219</v>
      </c>
      <c r="C11" s="248" t="s">
        <v>98</v>
      </c>
    </row>
    <row r="12" spans="1:3" x14ac:dyDescent="0.25">
      <c r="A12" s="250"/>
      <c r="B12" s="252"/>
    </row>
    <row r="13" spans="1:3" x14ac:dyDescent="0.25">
      <c r="A13" s="250"/>
      <c r="B13" s="252"/>
    </row>
    <row r="14" spans="1:3" x14ac:dyDescent="0.25">
      <c r="A14" s="250"/>
      <c r="B14" s="252"/>
    </row>
    <row r="15" spans="1:3" x14ac:dyDescent="0.25">
      <c r="A15" s="250"/>
      <c r="B15" s="252"/>
    </row>
    <row r="16" spans="1:3" x14ac:dyDescent="0.25">
      <c r="A16" s="250"/>
      <c r="B16" s="252"/>
    </row>
    <row r="17" spans="1:2" x14ac:dyDescent="0.25">
      <c r="A17" s="250"/>
      <c r="B17" s="252"/>
    </row>
    <row r="18" spans="1:2" x14ac:dyDescent="0.25">
      <c r="A18" s="250"/>
      <c r="B18" s="252"/>
    </row>
    <row r="19" spans="1:2" x14ac:dyDescent="0.25">
      <c r="A19" s="250"/>
      <c r="B19" s="252"/>
    </row>
    <row r="20" spans="1:2" x14ac:dyDescent="0.25">
      <c r="A20" s="250"/>
      <c r="B20" s="252"/>
    </row>
    <row r="21" spans="1:2" x14ac:dyDescent="0.25">
      <c r="A21" s="250"/>
      <c r="B21" s="252"/>
    </row>
    <row r="22" spans="1:2" x14ac:dyDescent="0.25">
      <c r="A22" s="250"/>
      <c r="B22" s="252"/>
    </row>
    <row r="23" spans="1:2" x14ac:dyDescent="0.25">
      <c r="A23" s="250"/>
      <c r="B23" s="252"/>
    </row>
    <row r="24" spans="1:2" x14ac:dyDescent="0.25">
      <c r="A24" s="250"/>
      <c r="B24" s="252"/>
    </row>
    <row r="25" spans="1:2" x14ac:dyDescent="0.25">
      <c r="A25" s="250"/>
      <c r="B25" s="252"/>
    </row>
    <row r="26" spans="1:2" x14ac:dyDescent="0.25">
      <c r="A26" s="250"/>
      <c r="B26" s="252"/>
    </row>
    <row r="27" spans="1:2" x14ac:dyDescent="0.25">
      <c r="A27" s="250"/>
      <c r="B27" s="252"/>
    </row>
    <row r="28" spans="1:2" x14ac:dyDescent="0.25">
      <c r="A28" s="250"/>
      <c r="B28" s="252"/>
    </row>
    <row r="29" spans="1:2" x14ac:dyDescent="0.25">
      <c r="A29" s="250"/>
      <c r="B29" s="252"/>
    </row>
    <row r="30" spans="1:2" x14ac:dyDescent="0.25">
      <c r="A30" s="250"/>
      <c r="B30" s="252"/>
    </row>
    <row r="31" spans="1:2" x14ac:dyDescent="0.25">
      <c r="A31" s="250"/>
      <c r="B31" s="252"/>
    </row>
    <row r="32" spans="1:2" x14ac:dyDescent="0.25">
      <c r="A32" s="250"/>
      <c r="B32" s="252"/>
    </row>
    <row r="33" spans="1:2" x14ac:dyDescent="0.25">
      <c r="A33" s="250"/>
      <c r="B33" s="252"/>
    </row>
    <row r="34" spans="1:2" x14ac:dyDescent="0.25">
      <c r="A34" s="250"/>
      <c r="B34" s="252"/>
    </row>
    <row r="35" spans="1:2" x14ac:dyDescent="0.25">
      <c r="A35" s="250"/>
      <c r="B35" s="252"/>
    </row>
    <row r="36" spans="1:2" x14ac:dyDescent="0.25">
      <c r="A36" s="250"/>
      <c r="B36" s="252"/>
    </row>
    <row r="37" spans="1:2" x14ac:dyDescent="0.25">
      <c r="A37" s="250"/>
      <c r="B37" s="252"/>
    </row>
    <row r="38" spans="1:2" x14ac:dyDescent="0.25">
      <c r="A38" s="250"/>
      <c r="B38" s="252"/>
    </row>
    <row r="39" spans="1:2" x14ac:dyDescent="0.25">
      <c r="A39" s="250"/>
      <c r="B39" s="252"/>
    </row>
    <row r="40" spans="1:2" x14ac:dyDescent="0.25">
      <c r="A40" s="250"/>
      <c r="B40" s="252"/>
    </row>
    <row r="41" spans="1:2" x14ac:dyDescent="0.25">
      <c r="A41" s="250"/>
      <c r="B41" s="252"/>
    </row>
    <row r="42" spans="1:2" x14ac:dyDescent="0.25">
      <c r="A42" s="250"/>
      <c r="B42" s="252"/>
    </row>
    <row r="43" spans="1:2" x14ac:dyDescent="0.25">
      <c r="A43" s="250"/>
      <c r="B43" s="252"/>
    </row>
    <row r="44" spans="1:2" x14ac:dyDescent="0.25">
      <c r="A44" s="250"/>
      <c r="B44" s="252"/>
    </row>
    <row r="45" spans="1:2" x14ac:dyDescent="0.25">
      <c r="A45" s="250"/>
      <c r="B45" s="252"/>
    </row>
    <row r="46" spans="1:2" x14ac:dyDescent="0.25">
      <c r="A46" s="250"/>
      <c r="B46" s="252"/>
    </row>
    <row r="47" spans="1:2" x14ac:dyDescent="0.25">
      <c r="A47" s="250"/>
      <c r="B47" s="252"/>
    </row>
    <row r="48" spans="1:2" x14ac:dyDescent="0.25">
      <c r="A48" s="250"/>
      <c r="B48" s="252"/>
    </row>
    <row r="49" spans="1:2" x14ac:dyDescent="0.25">
      <c r="A49" s="250"/>
      <c r="B49" s="252"/>
    </row>
    <row r="50" spans="1:2" x14ac:dyDescent="0.25">
      <c r="A50" s="250"/>
      <c r="B50" s="252"/>
    </row>
    <row r="51" spans="1:2" x14ac:dyDescent="0.25">
      <c r="A51" s="250"/>
      <c r="B51" s="252"/>
    </row>
    <row r="52" spans="1:2" x14ac:dyDescent="0.25">
      <c r="A52" s="250"/>
      <c r="B52" s="252"/>
    </row>
    <row r="53" spans="1:2" x14ac:dyDescent="0.25">
      <c r="A53" s="250"/>
      <c r="B53" s="252"/>
    </row>
    <row r="54" spans="1:2" x14ac:dyDescent="0.25">
      <c r="A54" s="250"/>
      <c r="B54" s="252"/>
    </row>
    <row r="55" spans="1:2" x14ac:dyDescent="0.25">
      <c r="A55" s="250"/>
      <c r="B55" s="252"/>
    </row>
    <row r="56" spans="1:2" x14ac:dyDescent="0.25">
      <c r="A56" s="250"/>
      <c r="B56" s="252"/>
    </row>
    <row r="57" spans="1:2" x14ac:dyDescent="0.25">
      <c r="A57" s="250"/>
      <c r="B57" s="252"/>
    </row>
    <row r="58" spans="1:2" x14ac:dyDescent="0.25">
      <c r="A58" s="250"/>
      <c r="B58" s="252"/>
    </row>
    <row r="59" spans="1:2" x14ac:dyDescent="0.25">
      <c r="A59" s="250"/>
      <c r="B59" s="252"/>
    </row>
    <row r="60" spans="1:2" x14ac:dyDescent="0.25">
      <c r="A60" s="250"/>
      <c r="B60" s="252"/>
    </row>
    <row r="61" spans="1:2" x14ac:dyDescent="0.25">
      <c r="A61" s="250"/>
      <c r="B61" s="252"/>
    </row>
    <row r="62" spans="1:2" x14ac:dyDescent="0.25">
      <c r="A62" s="250"/>
      <c r="B62" s="252"/>
    </row>
    <row r="63" spans="1:2" x14ac:dyDescent="0.25">
      <c r="A63" s="250"/>
      <c r="B63" s="252"/>
    </row>
    <row r="64" spans="1:2" x14ac:dyDescent="0.25">
      <c r="A64" s="250"/>
      <c r="B64" s="252"/>
    </row>
    <row r="65" spans="1:2" x14ac:dyDescent="0.25">
      <c r="A65" s="250"/>
      <c r="B65" s="252"/>
    </row>
    <row r="66" spans="1:2" x14ac:dyDescent="0.25">
      <c r="A66" s="250"/>
      <c r="B66" s="252"/>
    </row>
    <row r="67" spans="1:2" x14ac:dyDescent="0.25">
      <c r="A67" s="250"/>
      <c r="B67" s="252"/>
    </row>
    <row r="68" spans="1:2" x14ac:dyDescent="0.25">
      <c r="A68" s="250"/>
      <c r="B68" s="252"/>
    </row>
    <row r="69" spans="1:2" x14ac:dyDescent="0.25">
      <c r="A69" s="250"/>
      <c r="B69" s="252"/>
    </row>
    <row r="70" spans="1:2" x14ac:dyDescent="0.25">
      <c r="A70" s="250"/>
      <c r="B70" s="252"/>
    </row>
    <row r="71" spans="1:2" x14ac:dyDescent="0.25">
      <c r="A71" s="250"/>
      <c r="B71" s="252"/>
    </row>
    <row r="72" spans="1:2" x14ac:dyDescent="0.25">
      <c r="A72" s="250"/>
      <c r="B72" s="252"/>
    </row>
    <row r="73" spans="1:2" x14ac:dyDescent="0.25">
      <c r="A73" s="250"/>
      <c r="B73" s="252"/>
    </row>
    <row r="74" spans="1:2" x14ac:dyDescent="0.25">
      <c r="A74" s="250"/>
      <c r="B74" s="252"/>
    </row>
    <row r="75" spans="1:2" x14ac:dyDescent="0.25">
      <c r="A75" s="250"/>
      <c r="B75" s="252"/>
    </row>
    <row r="76" spans="1:2" x14ac:dyDescent="0.25">
      <c r="A76" s="250"/>
      <c r="B76" s="252"/>
    </row>
    <row r="77" spans="1:2" x14ac:dyDescent="0.25">
      <c r="A77" s="250"/>
      <c r="B77" s="252"/>
    </row>
    <row r="78" spans="1:2" x14ac:dyDescent="0.25">
      <c r="A78" s="250"/>
      <c r="B78" s="252"/>
    </row>
    <row r="79" spans="1:2" x14ac:dyDescent="0.25">
      <c r="A79" s="250"/>
      <c r="B79" s="252"/>
    </row>
    <row r="80" spans="1:2" x14ac:dyDescent="0.25">
      <c r="A80" s="250"/>
      <c r="B80" s="252"/>
    </row>
    <row r="81" spans="1:2" x14ac:dyDescent="0.25">
      <c r="A81" s="250"/>
      <c r="B81" s="252"/>
    </row>
    <row r="82" spans="1:2" x14ac:dyDescent="0.25">
      <c r="A82" s="250"/>
      <c r="B82" s="252"/>
    </row>
    <row r="84" spans="1:2" x14ac:dyDescent="0.25">
      <c r="A84" s="250"/>
    </row>
    <row r="85" spans="1:2" x14ac:dyDescent="0.25">
      <c r="A85" s="250"/>
    </row>
    <row r="86" spans="1:2" x14ac:dyDescent="0.25">
      <c r="A86" s="250"/>
    </row>
    <row r="87" spans="1:2" x14ac:dyDescent="0.25">
      <c r="A87" s="250"/>
    </row>
    <row r="88" spans="1:2" x14ac:dyDescent="0.25">
      <c r="A88" s="250"/>
    </row>
    <row r="89" spans="1:2" x14ac:dyDescent="0.25">
      <c r="A89" s="250"/>
    </row>
    <row r="90" spans="1:2" x14ac:dyDescent="0.25">
      <c r="A90" s="250"/>
    </row>
    <row r="91" spans="1:2" x14ac:dyDescent="0.25">
      <c r="A91" s="250"/>
    </row>
    <row r="92" spans="1:2" x14ac:dyDescent="0.25">
      <c r="A92" s="250"/>
    </row>
    <row r="93" spans="1:2" x14ac:dyDescent="0.25">
      <c r="A93" s="250"/>
    </row>
    <row r="94" spans="1:2" x14ac:dyDescent="0.25">
      <c r="A94" s="250"/>
    </row>
    <row r="95" spans="1:2" x14ac:dyDescent="0.25">
      <c r="A95" s="250"/>
    </row>
    <row r="96" spans="1:2" x14ac:dyDescent="0.25">
      <c r="A96" s="250"/>
    </row>
    <row r="97" spans="1:1" x14ac:dyDescent="0.25">
      <c r="A97" s="250"/>
    </row>
    <row r="98" spans="1:1" x14ac:dyDescent="0.25">
      <c r="A98" s="250"/>
    </row>
    <row r="99" spans="1:1" x14ac:dyDescent="0.25">
      <c r="A99" s="250"/>
    </row>
    <row r="100" spans="1:1" x14ac:dyDescent="0.25">
      <c r="A100" s="250"/>
    </row>
    <row r="101" spans="1:1" x14ac:dyDescent="0.25">
      <c r="A101" s="250"/>
    </row>
    <row r="102" spans="1:1" x14ac:dyDescent="0.25">
      <c r="A102" s="250"/>
    </row>
    <row r="103" spans="1:1" x14ac:dyDescent="0.25">
      <c r="A103" s="250"/>
    </row>
    <row r="104" spans="1:1" x14ac:dyDescent="0.25">
      <c r="A104" s="250"/>
    </row>
    <row r="105" spans="1:1" x14ac:dyDescent="0.25">
      <c r="A105" s="250"/>
    </row>
    <row r="106" spans="1:1" x14ac:dyDescent="0.25">
      <c r="A106" s="250"/>
    </row>
    <row r="107" spans="1:1" x14ac:dyDescent="0.25">
      <c r="A107" s="250"/>
    </row>
    <row r="108" spans="1:1" x14ac:dyDescent="0.25">
      <c r="A108" s="250"/>
    </row>
    <row r="109" spans="1:1" x14ac:dyDescent="0.25">
      <c r="A109" s="250"/>
    </row>
    <row r="110" spans="1:1" x14ac:dyDescent="0.25">
      <c r="A110" s="250"/>
    </row>
    <row r="111" spans="1:1" x14ac:dyDescent="0.25">
      <c r="A111" s="250"/>
    </row>
    <row r="112" spans="1:1" x14ac:dyDescent="0.25">
      <c r="A112" s="250"/>
    </row>
    <row r="113" spans="1:1" x14ac:dyDescent="0.25">
      <c r="A113" s="250"/>
    </row>
    <row r="114" spans="1:1" x14ac:dyDescent="0.25">
      <c r="A114" s="250"/>
    </row>
    <row r="115" spans="1:1" x14ac:dyDescent="0.25">
      <c r="A115" s="250"/>
    </row>
    <row r="116" spans="1:1" x14ac:dyDescent="0.25">
      <c r="A116" s="250"/>
    </row>
    <row r="117" spans="1:1" x14ac:dyDescent="0.25">
      <c r="A117" s="250"/>
    </row>
    <row r="118" spans="1:1" x14ac:dyDescent="0.25">
      <c r="A118" s="250"/>
    </row>
    <row r="119" spans="1:1" x14ac:dyDescent="0.25">
      <c r="A119" s="250"/>
    </row>
    <row r="120" spans="1:1" x14ac:dyDescent="0.25">
      <c r="A120" s="250"/>
    </row>
    <row r="121" spans="1:1" x14ac:dyDescent="0.25">
      <c r="A121" s="250"/>
    </row>
    <row r="122" spans="1:1" x14ac:dyDescent="0.25">
      <c r="A122" s="250"/>
    </row>
    <row r="123" spans="1:1" x14ac:dyDescent="0.25">
      <c r="A123" s="250"/>
    </row>
    <row r="124" spans="1:1" x14ac:dyDescent="0.25">
      <c r="A124" s="250"/>
    </row>
    <row r="125" spans="1:1" x14ac:dyDescent="0.25">
      <c r="A125" s="250"/>
    </row>
    <row r="126" spans="1:1" x14ac:dyDescent="0.25">
      <c r="A126" s="250"/>
    </row>
  </sheetData>
  <mergeCells count="1">
    <mergeCell ref="A5:C6"/>
  </mergeCells>
  <hyperlinks>
    <hyperlink ref="A10" location="'B-Home'!A1" display="'B-Home'!A1"/>
    <hyperlink ref="A11" location="'D-WC'!A1" display="'D-WC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2" bestFit="1" customWidth="1"/>
    <col min="2" max="2" width="4.7109375" style="2" customWidth="1"/>
    <col min="3" max="8" width="9.140625" style="2" customWidth="1"/>
    <col min="9" max="9" width="9.140625" style="2"/>
    <col min="10" max="23" width="9.140625" style="2" customWidth="1"/>
    <col min="24" max="24" width="9.140625" style="2"/>
    <col min="25" max="25" width="9.140625" style="2" customWidth="1"/>
    <col min="26" max="16384" width="9.140625" style="2"/>
  </cols>
  <sheetData>
    <row r="1" spans="1:27" x14ac:dyDescent="0.25">
      <c r="A1" s="1" t="s">
        <v>0</v>
      </c>
      <c r="C1" t="s">
        <v>7</v>
      </c>
      <c r="D1" s="3"/>
      <c r="E1" s="3"/>
      <c r="L1" s="266" t="s">
        <v>1</v>
      </c>
      <c r="M1" s="266"/>
      <c r="N1" s="4" t="s">
        <v>2</v>
      </c>
    </row>
    <row r="2" spans="1:27" x14ac:dyDescent="0.25">
      <c r="A2" s="1" t="s">
        <v>3</v>
      </c>
      <c r="C2" s="2" t="s">
        <v>8</v>
      </c>
      <c r="N2" s="4" t="s">
        <v>2</v>
      </c>
    </row>
    <row r="3" spans="1:27" x14ac:dyDescent="0.25">
      <c r="A3" s="1" t="s">
        <v>4</v>
      </c>
      <c r="C3" s="2" t="s">
        <v>9</v>
      </c>
      <c r="N3" s="4" t="s">
        <v>2</v>
      </c>
      <c r="O3" s="9" t="s">
        <v>10</v>
      </c>
      <c r="P3" s="10" t="s">
        <v>11</v>
      </c>
      <c r="Q3" s="11"/>
      <c r="R3" s="12" t="s">
        <v>12</v>
      </c>
      <c r="S3" s="10"/>
      <c r="T3" s="10" t="s">
        <v>13</v>
      </c>
      <c r="U3" s="10"/>
      <c r="V3" s="10" t="s">
        <v>14</v>
      </c>
      <c r="W3" s="10"/>
      <c r="X3" s="13" t="s">
        <v>15</v>
      </c>
      <c r="Y3" s="14">
        <f>S21</f>
        <v>479.33919576829311</v>
      </c>
    </row>
    <row r="4" spans="1:27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2</v>
      </c>
      <c r="O4" s="15" t="s">
        <v>16</v>
      </c>
      <c r="P4" s="2" t="s">
        <v>11</v>
      </c>
      <c r="Q4" s="16"/>
      <c r="R4" s="17" t="s">
        <v>17</v>
      </c>
      <c r="T4" s="2" t="s">
        <v>18</v>
      </c>
      <c r="V4" s="2" t="s">
        <v>14</v>
      </c>
      <c r="X4" s="4" t="s">
        <v>15</v>
      </c>
      <c r="Y4" s="18">
        <f>Q27</f>
        <v>118.872</v>
      </c>
    </row>
    <row r="5" spans="1:27" x14ac:dyDescent="0.25">
      <c r="A5" s="8" t="s">
        <v>5</v>
      </c>
      <c r="C5" s="5" t="s">
        <v>19</v>
      </c>
      <c r="D5" s="5"/>
      <c r="E5" s="5"/>
      <c r="F5" s="5"/>
      <c r="G5" s="5"/>
      <c r="H5" s="5"/>
      <c r="I5" s="5"/>
      <c r="J5" s="5"/>
      <c r="K5" s="5"/>
      <c r="L5" s="5"/>
      <c r="M5" s="7"/>
      <c r="N5" s="6" t="s">
        <v>2</v>
      </c>
      <c r="O5" s="19" t="s">
        <v>20</v>
      </c>
      <c r="P5" s="10" t="s">
        <v>11</v>
      </c>
      <c r="Q5" s="20"/>
      <c r="R5" s="21" t="s">
        <v>21</v>
      </c>
      <c r="S5" s="22"/>
      <c r="T5" s="10" t="s">
        <v>18</v>
      </c>
      <c r="U5" s="22"/>
      <c r="V5" s="10" t="s">
        <v>14</v>
      </c>
      <c r="W5" s="22"/>
      <c r="X5" s="13" t="s">
        <v>15</v>
      </c>
      <c r="Y5" s="23">
        <f>L16</f>
        <v>36.65</v>
      </c>
      <c r="Z5" s="24" t="s">
        <v>22</v>
      </c>
      <c r="AA5" s="5"/>
    </row>
    <row r="6" spans="1:27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7"/>
      <c r="N6" s="6" t="s">
        <v>2</v>
      </c>
      <c r="O6" s="25" t="s">
        <v>23</v>
      </c>
      <c r="P6" s="2" t="s">
        <v>11</v>
      </c>
      <c r="Q6" s="26"/>
      <c r="R6" s="27" t="s">
        <v>24</v>
      </c>
      <c r="S6" s="5"/>
      <c r="T6" s="5" t="s">
        <v>25</v>
      </c>
      <c r="U6" s="5"/>
      <c r="V6" s="2" t="s">
        <v>14</v>
      </c>
      <c r="W6" s="5"/>
      <c r="X6" s="4" t="s">
        <v>15</v>
      </c>
      <c r="Y6" s="28">
        <f>R41</f>
        <v>22.857142857142858</v>
      </c>
      <c r="Z6" s="5"/>
      <c r="AA6" s="5"/>
    </row>
    <row r="7" spans="1:27" x14ac:dyDescent="0.25">
      <c r="A7" s="8" t="s">
        <v>6</v>
      </c>
      <c r="C7" s="29" t="s">
        <v>26</v>
      </c>
      <c r="D7" s="30"/>
      <c r="E7" s="31">
        <v>2028</v>
      </c>
      <c r="F7" s="31">
        <v>7</v>
      </c>
      <c r="G7" s="32">
        <v>1</v>
      </c>
      <c r="I7" s="33" t="s">
        <v>27</v>
      </c>
      <c r="J7" s="32">
        <v>12</v>
      </c>
      <c r="L7" s="34">
        <v>1</v>
      </c>
      <c r="M7" s="7"/>
      <c r="N7" s="6" t="s">
        <v>2</v>
      </c>
      <c r="O7" s="35" t="s">
        <v>28</v>
      </c>
      <c r="P7" s="10" t="s">
        <v>11</v>
      </c>
      <c r="Q7" s="20"/>
      <c r="R7" s="21" t="s">
        <v>29</v>
      </c>
      <c r="S7" s="22"/>
      <c r="T7" s="22" t="s">
        <v>30</v>
      </c>
      <c r="U7" s="22"/>
      <c r="V7" s="10" t="s">
        <v>14</v>
      </c>
      <c r="W7" s="22"/>
      <c r="X7" s="13" t="s">
        <v>15</v>
      </c>
      <c r="Y7" s="36">
        <f>R53</f>
        <v>59.460893102411433</v>
      </c>
      <c r="Z7" s="5"/>
      <c r="AA7" s="5"/>
    </row>
    <row r="8" spans="1:27" x14ac:dyDescent="0.25">
      <c r="A8" s="8"/>
      <c r="B8" s="7"/>
      <c r="C8"/>
      <c r="D8"/>
      <c r="E8" s="37" t="s">
        <v>31</v>
      </c>
      <c r="F8" s="37" t="s">
        <v>32</v>
      </c>
      <c r="G8" s="37" t="s">
        <v>33</v>
      </c>
      <c r="J8" s="37" t="s">
        <v>34</v>
      </c>
      <c r="L8" s="37" t="s">
        <v>35</v>
      </c>
      <c r="M8" s="7"/>
      <c r="N8" s="6" t="s">
        <v>2</v>
      </c>
      <c r="O8" s="5"/>
      <c r="P8" s="5"/>
      <c r="Q8" s="5"/>
      <c r="R8" s="5"/>
      <c r="S8" s="5"/>
      <c r="T8" s="5"/>
      <c r="U8" s="5"/>
      <c r="V8" s="5"/>
      <c r="W8" s="5"/>
      <c r="X8" s="38" t="s">
        <v>36</v>
      </c>
      <c r="Y8" s="255">
        <f>SUM(Y3:Y7)</f>
        <v>717.17923172784742</v>
      </c>
      <c r="Z8" s="256" t="s">
        <v>221</v>
      </c>
      <c r="AA8" s="257">
        <f>1-E10-E11</f>
        <v>0.71000000000000008</v>
      </c>
    </row>
    <row r="9" spans="1:27" x14ac:dyDescent="0.25">
      <c r="A9" s="7"/>
      <c r="B9" s="7"/>
      <c r="C9"/>
      <c r="D9"/>
      <c r="E9"/>
      <c r="F9"/>
      <c r="G9" s="37"/>
      <c r="H9"/>
      <c r="I9"/>
      <c r="J9"/>
      <c r="K9" s="7"/>
      <c r="L9" s="7"/>
      <c r="M9" s="7"/>
      <c r="N9" s="6" t="s">
        <v>2</v>
      </c>
      <c r="O9" s="5"/>
      <c r="P9" s="5"/>
      <c r="Q9" s="5"/>
      <c r="R9" s="5"/>
      <c r="S9" s="5"/>
      <c r="T9" s="5"/>
      <c r="U9" s="5"/>
      <c r="V9" s="5"/>
      <c r="W9" s="5"/>
      <c r="X9" s="38" t="s">
        <v>222</v>
      </c>
      <c r="Y9" s="39">
        <f>Y8/(1-E10-E11)</f>
        <v>1010.1115939828836</v>
      </c>
      <c r="Z9" s="40" t="s">
        <v>37</v>
      </c>
    </row>
    <row r="10" spans="1:27" x14ac:dyDescent="0.25">
      <c r="A10" s="7"/>
      <c r="B10" s="7"/>
      <c r="C10" s="41" t="s">
        <v>38</v>
      </c>
      <c r="D10" s="42"/>
      <c r="E10" s="43">
        <v>0.2</v>
      </c>
      <c r="H10"/>
      <c r="I10" s="41" t="s">
        <v>39</v>
      </c>
      <c r="J10" s="44"/>
      <c r="K10" s="42"/>
      <c r="L10" s="45">
        <v>0.3</v>
      </c>
      <c r="M10" s="7"/>
      <c r="N10" s="6" t="s">
        <v>2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x14ac:dyDescent="0.25">
      <c r="A11" s="7"/>
      <c r="B11" s="7"/>
      <c r="C11" s="46" t="s">
        <v>40</v>
      </c>
      <c r="D11" s="47"/>
      <c r="E11" s="48">
        <v>0.09</v>
      </c>
      <c r="F11"/>
      <c r="G11"/>
      <c r="H11"/>
      <c r="I11" s="46" t="s">
        <v>93</v>
      </c>
      <c r="J11" s="49"/>
      <c r="K11" s="50"/>
      <c r="L11" s="51">
        <v>67000</v>
      </c>
      <c r="M11" s="7"/>
      <c r="N11" s="6" t="s">
        <v>2</v>
      </c>
      <c r="O11" s="52" t="s">
        <v>10</v>
      </c>
      <c r="P11" s="5" t="s">
        <v>41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x14ac:dyDescent="0.25">
      <c r="A12" s="8"/>
      <c r="B12" s="7"/>
      <c r="C12" s="53" t="s">
        <v>42</v>
      </c>
      <c r="D12" s="54"/>
      <c r="E12" s="55">
        <v>58</v>
      </c>
      <c r="F12" s="56" t="s">
        <v>94</v>
      </c>
      <c r="G12"/>
      <c r="H12"/>
      <c r="I12" s="53" t="s">
        <v>95</v>
      </c>
      <c r="J12" s="57"/>
      <c r="K12" s="58"/>
      <c r="L12" s="59">
        <v>43000</v>
      </c>
      <c r="M12" s="7"/>
      <c r="N12" s="6" t="s">
        <v>2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x14ac:dyDescent="0.25">
      <c r="A13" s="7"/>
      <c r="B13" s="7"/>
      <c r="I13" s="56" t="s">
        <v>43</v>
      </c>
      <c r="L13" s="7"/>
      <c r="M13" s="7"/>
      <c r="N13" s="6" t="s">
        <v>2</v>
      </c>
      <c r="O13" s="60"/>
      <c r="P13" s="61" t="s">
        <v>44</v>
      </c>
      <c r="Q13" s="62"/>
      <c r="R13" s="63" t="s">
        <v>45</v>
      </c>
      <c r="S13" s="64" t="s">
        <v>45</v>
      </c>
      <c r="T13" s="5"/>
      <c r="U13" s="5"/>
      <c r="V13" s="5"/>
      <c r="W13" s="5"/>
      <c r="X13" s="5"/>
      <c r="Y13" s="5"/>
      <c r="Z13" s="5"/>
      <c r="AA13" s="5"/>
    </row>
    <row r="14" spans="1:27" x14ac:dyDescent="0.25">
      <c r="A14" s="7"/>
      <c r="B14" s="7"/>
      <c r="C14" s="65" t="s">
        <v>46</v>
      </c>
      <c r="D14" s="42"/>
      <c r="E14" s="66">
        <v>0.05</v>
      </c>
      <c r="I14" s="56" t="s">
        <v>96</v>
      </c>
      <c r="L14" s="5"/>
      <c r="M14" s="7"/>
      <c r="N14" s="6" t="s">
        <v>2</v>
      </c>
      <c r="O14" s="67"/>
      <c r="P14" s="68" t="s">
        <v>47</v>
      </c>
      <c r="Q14" s="69" t="str">
        <f>"from "&amp;O20</f>
        <v>from 2026</v>
      </c>
      <c r="R14" s="70" t="s">
        <v>48</v>
      </c>
      <c r="S14" s="71" t="s">
        <v>48</v>
      </c>
      <c r="T14" s="5"/>
      <c r="U14" s="72" t="s">
        <v>49</v>
      </c>
      <c r="V14" s="73"/>
      <c r="W14" s="5"/>
      <c r="X14" s="5"/>
      <c r="Y14" s="5"/>
      <c r="Z14" s="5"/>
      <c r="AA14" s="5"/>
    </row>
    <row r="15" spans="1:27" x14ac:dyDescent="0.25">
      <c r="C15" s="74" t="s">
        <v>50</v>
      </c>
      <c r="D15" s="54"/>
      <c r="E15" s="75">
        <v>0.03</v>
      </c>
      <c r="H15" s="56"/>
      <c r="L15" s="5"/>
      <c r="M15" s="7"/>
      <c r="N15" s="6" t="s">
        <v>2</v>
      </c>
      <c r="O15" s="76"/>
      <c r="P15" s="77" t="str">
        <f>"to "&amp;O20</f>
        <v>to 2026</v>
      </c>
      <c r="Q15" s="78" t="s">
        <v>51</v>
      </c>
      <c r="R15" s="79" t="s">
        <v>52</v>
      </c>
      <c r="S15" s="80" t="s">
        <v>53</v>
      </c>
      <c r="T15" s="5"/>
      <c r="U15" s="81" t="s">
        <v>54</v>
      </c>
      <c r="V15" s="22"/>
      <c r="W15" s="22"/>
      <c r="X15" s="22"/>
      <c r="Y15" s="22"/>
      <c r="Z15" s="5"/>
      <c r="AA15" s="5"/>
    </row>
    <row r="16" spans="1:27" x14ac:dyDescent="0.25">
      <c r="C16" s="82" t="s">
        <v>55</v>
      </c>
      <c r="D16" s="83"/>
      <c r="E16" s="84">
        <v>0.01</v>
      </c>
      <c r="H16" s="56"/>
      <c r="I16" s="85" t="s">
        <v>56</v>
      </c>
      <c r="J16" s="86"/>
      <c r="K16" s="87"/>
      <c r="L16" s="88">
        <v>36.65</v>
      </c>
      <c r="M16" s="7"/>
      <c r="N16" s="6" t="s">
        <v>2</v>
      </c>
      <c r="O16" s="89">
        <f>C22</f>
        <v>2022</v>
      </c>
      <c r="P16" s="90">
        <f>O20-O16</f>
        <v>4</v>
      </c>
      <c r="Q16" s="91">
        <f>E7+1-(O20+0.5)+(F7-1)/12</f>
        <v>3</v>
      </c>
      <c r="R16" s="90">
        <f>PRODUCT(E22:G22)*(1+E14)^P16*(1+E15)^Q16</f>
        <v>329727.08920636482</v>
      </c>
      <c r="S16" s="92">
        <f>R16/D22</f>
        <v>471.03869886623545</v>
      </c>
      <c r="T16" s="5"/>
      <c r="U16" s="5" t="str">
        <f>"= " &amp; E22 &amp; " x " &amp; F22 &amp;" x "&amp; G22 &amp; " x (" &amp; 1+E14 &amp; ")^" &amp; P16 &amp; " x (" &amp; 1+E15 &amp; ")^" &amp; Q16</f>
        <v>= 238700 x 1 x 1.04 x (1.05)^4 x (1.03)^3</v>
      </c>
      <c r="V16" s="5"/>
      <c r="W16" s="5"/>
      <c r="X16" s="5"/>
      <c r="Y16" s="5"/>
      <c r="Z16" s="5"/>
      <c r="AA16" s="5"/>
    </row>
    <row r="17" spans="3:27" x14ac:dyDescent="0.25">
      <c r="C17" s="93" t="s">
        <v>57</v>
      </c>
      <c r="D17" s="58"/>
      <c r="E17" s="94">
        <v>0</v>
      </c>
      <c r="K17" s="5"/>
      <c r="L17" s="38" t="s">
        <v>58</v>
      </c>
      <c r="M17" s="7"/>
      <c r="N17" s="6" t="s">
        <v>2</v>
      </c>
      <c r="O17" s="89">
        <f t="shared" ref="O17:O20" si="0">C23</f>
        <v>2023</v>
      </c>
      <c r="P17" s="90">
        <f>O20-O17</f>
        <v>3</v>
      </c>
      <c r="Q17" s="91">
        <f>Q16</f>
        <v>3</v>
      </c>
      <c r="R17" s="90">
        <f>PRODUCT(E23:G23)*(1+E14)^P17*(1+E15)^Q17</f>
        <v>350999.80463903362</v>
      </c>
      <c r="S17" s="92">
        <f t="shared" ref="S17:S20" si="1">R17/D23</f>
        <v>408.13930771980654</v>
      </c>
      <c r="T17" s="5"/>
      <c r="U17" s="5" t="str">
        <f>"= " &amp; E23 &amp; " x " &amp; F23 &amp;" x "&amp; G23 &amp; " x (" &amp; 1+E14 &amp; ")^" &amp; P17 &amp; " x (" &amp; 1+E15 &amp; ")^" &amp; Q17</f>
        <v>= 254100 x 1.05 x 1.04 x (1.05)^3 x (1.03)^3</v>
      </c>
      <c r="V17" s="5"/>
      <c r="W17" s="5"/>
      <c r="X17" s="5"/>
      <c r="Y17" s="5"/>
      <c r="Z17" s="5"/>
      <c r="AA17" s="5"/>
    </row>
    <row r="18" spans="3:27" x14ac:dyDescent="0.25">
      <c r="L18" s="7"/>
      <c r="M18" s="7"/>
      <c r="N18" s="6" t="s">
        <v>2</v>
      </c>
      <c r="O18" s="89">
        <f t="shared" si="0"/>
        <v>2024</v>
      </c>
      <c r="P18" s="90">
        <f>O20-O18</f>
        <v>2</v>
      </c>
      <c r="Q18" s="91">
        <f>Q16</f>
        <v>3</v>
      </c>
      <c r="R18" s="90">
        <f>PRODUCT(E24:G24)*(1+E14)^P18*(1+E15)^Q18</f>
        <v>465971.26077880565</v>
      </c>
      <c r="S18" s="92">
        <f t="shared" si="1"/>
        <v>490.49606397769014</v>
      </c>
      <c r="T18" s="5"/>
      <c r="U18" s="5" t="str">
        <f>"= " &amp; E24 &amp; " x " &amp; F24 &amp;" x "&amp; G24 &amp; " x (" &amp; 1+E14 &amp; ")^" &amp; P18 &amp; " x (" &amp; 1+E15 &amp; ")^" &amp; Q18</f>
        <v>= 341200 x 1.09 x 1.04 x (1.05)^2 x (1.03)^3</v>
      </c>
      <c r="V18" s="5"/>
      <c r="W18" s="5"/>
      <c r="X18" s="5"/>
      <c r="Y18" s="5"/>
      <c r="Z18" s="5"/>
      <c r="AA18" s="5"/>
    </row>
    <row r="19" spans="3:27" x14ac:dyDescent="0.25">
      <c r="C19" s="95"/>
      <c r="D19" s="96"/>
      <c r="E19" s="96" t="s">
        <v>45</v>
      </c>
      <c r="F19" s="97"/>
      <c r="G19" s="98"/>
      <c r="H19" s="98"/>
      <c r="I19"/>
      <c r="L19" s="5"/>
      <c r="M19" s="7"/>
      <c r="N19" s="6" t="s">
        <v>2</v>
      </c>
      <c r="O19" s="89">
        <f t="shared" si="0"/>
        <v>2025</v>
      </c>
      <c r="P19" s="90">
        <f>O20-O19</f>
        <v>1</v>
      </c>
      <c r="Q19" s="91">
        <f>Q16</f>
        <v>3</v>
      </c>
      <c r="R19" s="90">
        <f>PRODUCT(E25:G25)*(1+E14)^P19*(1+E15)^Q19</f>
        <v>483319.55985112797</v>
      </c>
      <c r="S19" s="92">
        <f t="shared" si="1"/>
        <v>473.84270573639998</v>
      </c>
      <c r="T19" s="5"/>
      <c r="U19" s="5" t="str">
        <f>"= " &amp; E25 &amp; " x " &amp; F25 &amp;" x "&amp; G25 &amp; " x (" &amp; 1+E14 &amp; ")^" &amp; P19 &amp; " x (" &amp; 1+E15 &amp; ")^" &amp; Q19</f>
        <v>= 355300 x 1.14 x 1.04 x (1.05)^1 x (1.03)^3</v>
      </c>
      <c r="V19" s="5"/>
      <c r="W19" s="5"/>
      <c r="X19" s="5"/>
      <c r="Y19" s="5"/>
      <c r="Z19" s="5"/>
      <c r="AA19" s="5"/>
    </row>
    <row r="20" spans="3:27" x14ac:dyDescent="0.25">
      <c r="C20" s="99"/>
      <c r="D20" s="100"/>
      <c r="E20" s="100" t="s">
        <v>59</v>
      </c>
      <c r="F20" s="101"/>
      <c r="G20" s="102" t="s">
        <v>60</v>
      </c>
      <c r="H20" s="102" t="s">
        <v>61</v>
      </c>
      <c r="I20"/>
      <c r="K20" s="7"/>
      <c r="L20" s="5"/>
      <c r="M20" s="7"/>
      <c r="N20" s="6" t="s">
        <v>2</v>
      </c>
      <c r="O20" s="103">
        <f t="shared" si="0"/>
        <v>2026</v>
      </c>
      <c r="P20" s="104">
        <f>O20-O20</f>
        <v>0</v>
      </c>
      <c r="Q20" s="105">
        <f>Q16</f>
        <v>3</v>
      </c>
      <c r="R20" s="104">
        <f>PRODUCT(E26:G26)*(1+E14)^P20*(1+E15)^Q20</f>
        <v>580838.16266840009</v>
      </c>
      <c r="S20" s="106">
        <f t="shared" si="1"/>
        <v>553.17920254133344</v>
      </c>
      <c r="T20" s="5"/>
      <c r="U20" s="5" t="str">
        <f>"= " &amp; E26 &amp; " x " &amp; F26 &amp;" x "&amp; G26 &amp; " x (" &amp; 1+E14 &amp; ")^" &amp; P20 &amp; " x (" &amp; 1+E15 &amp; ")^" &amp; Q20</f>
        <v>= 429500 x 1.19 x 1.04 x (1.05)^0 x (1.03)^3</v>
      </c>
      <c r="V20" s="5"/>
      <c r="W20" s="5"/>
      <c r="X20" s="5"/>
      <c r="Y20" s="5"/>
      <c r="Z20" s="5"/>
      <c r="AA20" s="5"/>
    </row>
    <row r="21" spans="3:27" x14ac:dyDescent="0.25">
      <c r="C21" s="107" t="s">
        <v>62</v>
      </c>
      <c r="D21" s="108" t="s">
        <v>63</v>
      </c>
      <c r="E21" s="108" t="s">
        <v>64</v>
      </c>
      <c r="F21" s="109" t="s">
        <v>65</v>
      </c>
      <c r="G21" s="110" t="s">
        <v>66</v>
      </c>
      <c r="H21" s="110" t="s">
        <v>67</v>
      </c>
      <c r="I21"/>
      <c r="K21" s="7"/>
      <c r="L21" s="5"/>
      <c r="M21" s="7"/>
      <c r="N21" s="6" t="s">
        <v>2</v>
      </c>
      <c r="O21" s="5"/>
      <c r="P21" s="5"/>
      <c r="Q21" s="5"/>
      <c r="R21" s="111" t="s">
        <v>68</v>
      </c>
      <c r="S21" s="112">
        <f>AVERAGE(S16:S20)</f>
        <v>479.33919576829311</v>
      </c>
      <c r="T21" s="5"/>
      <c r="U21" s="5"/>
      <c r="V21" s="5"/>
      <c r="W21" s="5"/>
      <c r="X21" s="5"/>
      <c r="Y21" s="5"/>
      <c r="Z21" s="5"/>
      <c r="AA21" s="5"/>
    </row>
    <row r="22" spans="3:27" x14ac:dyDescent="0.25">
      <c r="C22" s="99">
        <v>2022</v>
      </c>
      <c r="D22" s="113">
        <v>700</v>
      </c>
      <c r="E22" s="113">
        <v>238700</v>
      </c>
      <c r="F22" s="114">
        <v>1</v>
      </c>
      <c r="G22" s="115">
        <v>1.04</v>
      </c>
      <c r="H22" s="116">
        <v>255</v>
      </c>
      <c r="I22"/>
      <c r="K22" s="5"/>
      <c r="L22" s="5"/>
      <c r="M22" s="7"/>
      <c r="N22" s="6" t="s">
        <v>2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3:27" x14ac:dyDescent="0.25">
      <c r="C23" s="99">
        <v>2023</v>
      </c>
      <c r="D23" s="113">
        <v>860</v>
      </c>
      <c r="E23" s="113">
        <v>254100</v>
      </c>
      <c r="F23" s="114">
        <v>1.05</v>
      </c>
      <c r="G23" s="115">
        <v>1.04</v>
      </c>
      <c r="H23" s="116">
        <v>270</v>
      </c>
      <c r="I23"/>
      <c r="J23"/>
      <c r="K23" s="5"/>
      <c r="L23" s="5"/>
      <c r="M23" s="7"/>
      <c r="N23" s="6" t="s">
        <v>2</v>
      </c>
      <c r="O23" s="117" t="s">
        <v>16</v>
      </c>
      <c r="P23" s="5" t="s">
        <v>69</v>
      </c>
      <c r="Q23" s="5"/>
      <c r="R23" s="5"/>
      <c r="S23" s="5"/>
      <c r="T23" s="5"/>
      <c r="U23" s="5"/>
    </row>
    <row r="24" spans="3:27" x14ac:dyDescent="0.25">
      <c r="C24" s="99">
        <v>2024</v>
      </c>
      <c r="D24" s="113">
        <v>950</v>
      </c>
      <c r="E24" s="113">
        <v>341200</v>
      </c>
      <c r="F24" s="114">
        <v>1.0900000000000001</v>
      </c>
      <c r="G24" s="115">
        <v>1.04</v>
      </c>
      <c r="H24" s="116">
        <v>286</v>
      </c>
      <c r="I24"/>
      <c r="M24" s="7"/>
      <c r="N24" s="6" t="s">
        <v>2</v>
      </c>
      <c r="O24" s="5"/>
      <c r="P24" s="5"/>
      <c r="Q24" s="5"/>
      <c r="R24" s="5"/>
      <c r="S24" s="5"/>
      <c r="T24" s="5"/>
      <c r="U24" s="5"/>
    </row>
    <row r="25" spans="3:27" x14ac:dyDescent="0.25">
      <c r="C25" s="99">
        <v>2025</v>
      </c>
      <c r="D25" s="113">
        <v>1020</v>
      </c>
      <c r="E25" s="113">
        <v>355300</v>
      </c>
      <c r="F25" s="114">
        <v>1.1399999999999999</v>
      </c>
      <c r="G25" s="115">
        <v>1.04</v>
      </c>
      <c r="H25" s="116">
        <v>303</v>
      </c>
      <c r="I25"/>
      <c r="M25" s="7"/>
      <c r="N25" s="6" t="s">
        <v>2</v>
      </c>
      <c r="O25" s="5"/>
      <c r="P25" s="6" t="s">
        <v>15</v>
      </c>
      <c r="Q25" s="5" t="s">
        <v>70</v>
      </c>
      <c r="R25" s="5"/>
      <c r="S25" s="6" t="s">
        <v>71</v>
      </c>
      <c r="T25" s="5" t="s">
        <v>72</v>
      </c>
      <c r="U25" s="6" t="s">
        <v>71</v>
      </c>
      <c r="V25" s="5" t="s">
        <v>73</v>
      </c>
    </row>
    <row r="26" spans="3:27" x14ac:dyDescent="0.25">
      <c r="C26" s="99">
        <v>2026</v>
      </c>
      <c r="D26" s="113">
        <v>1050</v>
      </c>
      <c r="E26" s="113">
        <v>429500</v>
      </c>
      <c r="F26" s="114">
        <v>1.19</v>
      </c>
      <c r="G26" s="115">
        <v>1.04</v>
      </c>
      <c r="H26" s="116">
        <v>321</v>
      </c>
      <c r="I26"/>
      <c r="M26" s="7"/>
      <c r="N26" s="6" t="s">
        <v>2</v>
      </c>
      <c r="O26" s="5"/>
      <c r="P26" s="6" t="s">
        <v>15</v>
      </c>
      <c r="Q26" s="118">
        <f>L10</f>
        <v>0.3</v>
      </c>
      <c r="R26" s="5"/>
      <c r="S26" s="6" t="s">
        <v>71</v>
      </c>
      <c r="T26" s="119">
        <f>Z35</f>
        <v>381</v>
      </c>
      <c r="U26" s="6" t="s">
        <v>71</v>
      </c>
      <c r="V26" s="120">
        <f>G22</f>
        <v>1.04</v>
      </c>
    </row>
    <row r="27" spans="3:27" x14ac:dyDescent="0.25">
      <c r="C27" s="99">
        <v>2027</v>
      </c>
      <c r="D27" s="121"/>
      <c r="E27" s="100"/>
      <c r="F27" s="49"/>
      <c r="G27" s="47"/>
      <c r="H27" s="116">
        <v>340</v>
      </c>
      <c r="I27"/>
      <c r="J27"/>
      <c r="K27" s="5"/>
      <c r="L27" s="5"/>
      <c r="M27" s="7"/>
      <c r="N27" s="6" t="s">
        <v>2</v>
      </c>
      <c r="O27" s="5"/>
      <c r="P27" s="6" t="s">
        <v>15</v>
      </c>
      <c r="Q27" s="122">
        <f>Q26*T26*V26</f>
        <v>118.872</v>
      </c>
      <c r="R27" s="40" t="s">
        <v>74</v>
      </c>
      <c r="S27" s="5"/>
      <c r="T27" s="5"/>
      <c r="U27" s="5"/>
    </row>
    <row r="28" spans="3:27" x14ac:dyDescent="0.25">
      <c r="C28" s="99">
        <v>2028</v>
      </c>
      <c r="D28" s="121"/>
      <c r="E28" s="100"/>
      <c r="F28" s="49"/>
      <c r="G28" s="47"/>
      <c r="H28" s="123">
        <v>360</v>
      </c>
      <c r="I28"/>
      <c r="J28"/>
      <c r="K28" s="5"/>
      <c r="L28" s="5"/>
      <c r="M28" s="7"/>
      <c r="N28" s="6" t="s">
        <v>2</v>
      </c>
      <c r="O28" s="5"/>
      <c r="P28" s="5"/>
      <c r="Q28" s="5"/>
      <c r="R28" s="124"/>
      <c r="S28" s="5"/>
      <c r="T28" s="5"/>
      <c r="U28" s="5"/>
    </row>
    <row r="29" spans="3:27" x14ac:dyDescent="0.25">
      <c r="C29" s="107">
        <v>2029</v>
      </c>
      <c r="D29" s="125"/>
      <c r="E29" s="108"/>
      <c r="F29" s="57"/>
      <c r="G29" s="54"/>
      <c r="H29" s="126">
        <v>381</v>
      </c>
      <c r="I29"/>
      <c r="J29"/>
      <c r="K29" s="5"/>
      <c r="L29" s="5"/>
      <c r="M29" s="7"/>
      <c r="N29" s="6" t="s">
        <v>2</v>
      </c>
      <c r="O29" s="5"/>
      <c r="P29" s="8" t="s">
        <v>75</v>
      </c>
      <c r="Q29" s="5"/>
      <c r="R29" s="5"/>
      <c r="S29" s="5"/>
      <c r="T29" s="5"/>
      <c r="U29" s="5"/>
      <c r="V29" s="10"/>
      <c r="W29" s="127" t="s">
        <v>76</v>
      </c>
      <c r="X29" s="104" t="s">
        <v>15</v>
      </c>
      <c r="Y29" s="22" t="str">
        <f>E7+1&amp;" - " &amp; RIGHT("0"&amp;F7,2) &amp; " - " &amp; RIGHT("0"&amp;G7,2)</f>
        <v>2029 - 07 - 01</v>
      </c>
      <c r="Z29" s="22"/>
      <c r="AA29" s="5"/>
    </row>
    <row r="30" spans="3:27" x14ac:dyDescent="0.25">
      <c r="N30" s="6" t="s">
        <v>2</v>
      </c>
      <c r="O30" s="5"/>
      <c r="P30" s="56" t="s">
        <v>77</v>
      </c>
      <c r="Q30" s="5"/>
      <c r="R30" s="5"/>
      <c r="S30" s="5"/>
      <c r="T30" s="5"/>
      <c r="U30" s="5"/>
      <c r="W30" s="128" t="str">
        <f>"AAD("&amp;C28&amp;")"</f>
        <v>AAD(2028)</v>
      </c>
      <c r="X30" s="6" t="s">
        <v>15</v>
      </c>
      <c r="Y30" s="5" t="str">
        <f>C28&amp;" - 07 - 01"</f>
        <v>2028 - 07 - 01</v>
      </c>
      <c r="Z30" s="5"/>
      <c r="AA30" s="5"/>
    </row>
    <row r="31" spans="3:27" x14ac:dyDescent="0.25">
      <c r="N31" s="6" t="s">
        <v>2</v>
      </c>
      <c r="O31" s="5"/>
      <c r="P31" s="56" t="s">
        <v>78</v>
      </c>
      <c r="U31" s="5"/>
      <c r="W31" s="128" t="str">
        <f>"AAD("&amp;C29&amp;")"</f>
        <v>AAD(2029)</v>
      </c>
      <c r="X31" s="6" t="s">
        <v>15</v>
      </c>
      <c r="Y31" s="5" t="str">
        <f>C29&amp;" - 07 - 01"</f>
        <v>2029 - 07 - 01</v>
      </c>
      <c r="Z31" s="5"/>
      <c r="AA31" s="5"/>
    </row>
    <row r="32" spans="3:27" x14ac:dyDescent="0.25">
      <c r="N32" s="6" t="s">
        <v>2</v>
      </c>
      <c r="O32" s="5"/>
      <c r="P32" s="24" t="s">
        <v>79</v>
      </c>
      <c r="U32" s="5"/>
      <c r="AA32" s="5"/>
    </row>
    <row r="33" spans="1:27" x14ac:dyDescent="0.25">
      <c r="N33" s="6" t="s">
        <v>2</v>
      </c>
      <c r="O33" s="5"/>
      <c r="P33" s="24" t="str">
        <f>"CY "&amp;C28&amp;" and CY "&amp;C29&amp;" where the weight given to "&amp;"CY "&amp;C28&amp;" is:"</f>
        <v>CY 2028 and CY 2029 where the weight given to CY 2028 is:</v>
      </c>
      <c r="U33" s="5"/>
      <c r="V33" s="129">
        <f>IF(F7=7,0,IF(F7=4,0.25,0.5))</f>
        <v>0</v>
      </c>
      <c r="AA33" s="5"/>
    </row>
    <row r="34" spans="1:27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7"/>
      <c r="N34" s="6" t="s">
        <v>2</v>
      </c>
      <c r="O34" s="5"/>
      <c r="Q34" s="5"/>
      <c r="R34" s="5"/>
      <c r="S34" s="5"/>
      <c r="T34" s="5"/>
      <c r="U34" s="5"/>
      <c r="W34" s="5"/>
      <c r="X34" s="5"/>
      <c r="Y34" s="5"/>
      <c r="Z34" s="5"/>
      <c r="AA34" s="5"/>
    </row>
    <row r="35" spans="1:27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7"/>
      <c r="N35" s="6" t="s">
        <v>2</v>
      </c>
      <c r="O35" s="5"/>
      <c r="P35" s="2" t="s">
        <v>72</v>
      </c>
      <c r="Q35" s="4" t="s">
        <v>15</v>
      </c>
      <c r="R35" s="130">
        <f>V33</f>
        <v>0</v>
      </c>
      <c r="S35" s="4" t="s">
        <v>71</v>
      </c>
      <c r="T35" s="131">
        <f>H28</f>
        <v>360</v>
      </c>
      <c r="U35" s="4" t="s">
        <v>80</v>
      </c>
      <c r="V35" s="132">
        <f>1-V33</f>
        <v>1</v>
      </c>
      <c r="W35" s="6" t="s">
        <v>71</v>
      </c>
      <c r="X35" s="133">
        <f>H29</f>
        <v>381</v>
      </c>
      <c r="Y35" s="6" t="s">
        <v>15</v>
      </c>
      <c r="Z35" s="134">
        <f>R35*T35+V35*X35</f>
        <v>381</v>
      </c>
      <c r="AA35" s="5"/>
    </row>
    <row r="36" spans="1:27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7"/>
      <c r="N36" s="6" t="s">
        <v>2</v>
      </c>
      <c r="O36" s="5"/>
      <c r="W36" s="5"/>
      <c r="X36" s="5"/>
      <c r="Y36" s="5"/>
      <c r="Z36" s="5"/>
      <c r="AA36" s="5"/>
    </row>
    <row r="37" spans="1:27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7"/>
      <c r="N37" s="6" t="s">
        <v>2</v>
      </c>
      <c r="O37" s="135" t="s">
        <v>23</v>
      </c>
      <c r="P37" s="2" t="str">
        <f>" calculate the net reinsurance cost per exposure (assume no exposure trend so use exposures from "&amp;C26&amp;")"</f>
        <v xml:space="preserve"> calculate the net reinsurance cost per exposure (assume no exposure trend so use exposures from 2026)</v>
      </c>
      <c r="V37" s="5"/>
      <c r="W37" s="5"/>
      <c r="X37" s="5"/>
      <c r="Y37" s="5"/>
      <c r="Z37" s="5"/>
      <c r="AA37" s="5"/>
    </row>
    <row r="38" spans="1:27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7"/>
      <c r="N38" s="6" t="s">
        <v>2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6" t="s">
        <v>2</v>
      </c>
      <c r="O39" s="5"/>
      <c r="P39" s="5" t="s">
        <v>81</v>
      </c>
      <c r="Q39" s="6" t="s">
        <v>15</v>
      </c>
      <c r="R39" s="5" t="str">
        <f>"(" &amp;I11</f>
        <v>(2026 reinsurance cost</v>
      </c>
      <c r="S39" s="5"/>
      <c r="T39" s="5"/>
      <c r="U39" s="6" t="s">
        <v>82</v>
      </c>
      <c r="V39" s="5" t="str">
        <f>I12&amp;")"</f>
        <v>2026 reinsurance recoveries)</v>
      </c>
      <c r="W39" s="5"/>
      <c r="X39" s="5"/>
      <c r="Y39" s="136" t="s">
        <v>83</v>
      </c>
      <c r="Z39" s="5" t="str">
        <f>"EE for CY " &amp;C26</f>
        <v>EE for CY 2026</v>
      </c>
      <c r="AA39" s="5"/>
    </row>
    <row r="40" spans="1:27" x14ac:dyDescent="0.25">
      <c r="N40" s="6" t="s">
        <v>2</v>
      </c>
      <c r="O40" s="5"/>
      <c r="P40" s="5"/>
      <c r="Q40" s="6" t="s">
        <v>15</v>
      </c>
      <c r="R40" s="27" t="s">
        <v>84</v>
      </c>
      <c r="S40" s="5">
        <f>L11</f>
        <v>67000</v>
      </c>
      <c r="T40" s="5"/>
      <c r="U40" s="6" t="s">
        <v>82</v>
      </c>
      <c r="V40" s="27">
        <f>L12</f>
        <v>43000</v>
      </c>
      <c r="W40" s="6"/>
      <c r="X40" s="6" t="s">
        <v>85</v>
      </c>
      <c r="Y40" s="136" t="s">
        <v>83</v>
      </c>
      <c r="Z40" s="5">
        <f>D26</f>
        <v>1050</v>
      </c>
      <c r="AA40" s="5"/>
    </row>
    <row r="41" spans="1:27" x14ac:dyDescent="0.25">
      <c r="N41" s="6" t="s">
        <v>2</v>
      </c>
      <c r="O41" s="5"/>
      <c r="P41" s="5"/>
      <c r="Q41" s="6" t="s">
        <v>15</v>
      </c>
      <c r="R41" s="137">
        <f>(S40-V40)/Z40</f>
        <v>22.857142857142858</v>
      </c>
      <c r="S41" s="40" t="s">
        <v>86</v>
      </c>
      <c r="T41" s="5"/>
      <c r="U41" s="5"/>
      <c r="V41" s="5"/>
      <c r="W41" s="5"/>
      <c r="X41" s="5"/>
      <c r="Y41" s="5"/>
      <c r="Z41" s="5"/>
      <c r="AA41" s="5"/>
    </row>
    <row r="42" spans="1:27" x14ac:dyDescent="0.25">
      <c r="N42" s="6" t="s">
        <v>2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x14ac:dyDescent="0.25">
      <c r="N43" s="6" t="s">
        <v>2</v>
      </c>
      <c r="O43" s="138" t="s">
        <v>28</v>
      </c>
      <c r="P43" s="5" t="s">
        <v>87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x14ac:dyDescent="0.25">
      <c r="N44" s="6" t="s">
        <v>2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x14ac:dyDescent="0.25">
      <c r="N45" s="6" t="s">
        <v>2</v>
      </c>
      <c r="O45" s="5"/>
      <c r="P45" s="128" t="str">
        <f>"AWD("&amp;C26&amp;")"</f>
        <v>AWD(2026)</v>
      </c>
      <c r="Q45" s="6" t="s">
        <v>15</v>
      </c>
      <c r="R45" s="5" t="str">
        <f>C26&amp;" - 07 - 01"</f>
        <v>2026 - 07 - 01</v>
      </c>
      <c r="S45" s="5"/>
      <c r="T45" s="5"/>
      <c r="U45" s="5"/>
      <c r="V45" s="5"/>
      <c r="W45" s="5"/>
      <c r="X45" s="5"/>
      <c r="Y45" s="5"/>
      <c r="Z45" s="5"/>
      <c r="AA45" s="5"/>
    </row>
    <row r="46" spans="1:27" x14ac:dyDescent="0.25">
      <c r="N46" s="6" t="s">
        <v>2</v>
      </c>
      <c r="O46" s="5"/>
      <c r="P46" s="128" t="s">
        <v>88</v>
      </c>
      <c r="Q46" s="6" t="s">
        <v>15</v>
      </c>
      <c r="R46" s="5" t="str">
        <f>IF(OR(F7=1,F7=4),E7,E7+1) &amp; " - " &amp; RIGHT("0"&amp;IF(OR(F7=1,F7=4),F7+6,F7-6),2) &amp; " - 01"</f>
        <v>2029 - 01 - 01</v>
      </c>
      <c r="S46" s="5"/>
      <c r="T46" s="5"/>
      <c r="U46" s="5"/>
      <c r="V46" s="5"/>
      <c r="W46" s="5"/>
      <c r="X46" s="5"/>
      <c r="Y46" s="5"/>
      <c r="Z46" s="5"/>
      <c r="AA46" s="5"/>
    </row>
    <row r="47" spans="1:27" x14ac:dyDescent="0.25">
      <c r="N47" s="6" t="s">
        <v>2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x14ac:dyDescent="0.25">
      <c r="N48" s="6" t="s">
        <v>2</v>
      </c>
      <c r="O48" s="5"/>
      <c r="P48" s="128" t="s">
        <v>89</v>
      </c>
      <c r="Q48" s="6" t="s">
        <v>15</v>
      </c>
      <c r="R48" s="132">
        <v>2.5</v>
      </c>
      <c r="S48" s="5"/>
      <c r="T48" s="5"/>
      <c r="U48" s="5"/>
      <c r="V48" s="5"/>
      <c r="W48" s="5"/>
      <c r="X48" s="5"/>
      <c r="Y48" s="5"/>
      <c r="Z48" s="5"/>
      <c r="AA48" s="5"/>
    </row>
    <row r="49" spans="14:27" x14ac:dyDescent="0.25">
      <c r="N49" s="6" t="s">
        <v>2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4:27" x14ac:dyDescent="0.25">
      <c r="N50" s="6" t="s">
        <v>2</v>
      </c>
      <c r="O50" s="5"/>
      <c r="P50" s="5" t="s">
        <v>90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4:27" x14ac:dyDescent="0.25">
      <c r="N51" s="6" t="s">
        <v>2</v>
      </c>
      <c r="O51" s="5"/>
      <c r="P51" s="5"/>
      <c r="Q51" s="6" t="s">
        <v>15</v>
      </c>
      <c r="R51" s="5" t="str">
        <f>"E(F) through " &amp;C26</f>
        <v>E(F) through 2026</v>
      </c>
      <c r="S51" s="5"/>
      <c r="T51" s="6" t="s">
        <v>71</v>
      </c>
      <c r="U51" s="73" t="s">
        <v>91</v>
      </c>
      <c r="V51" s="5"/>
      <c r="W51" s="5"/>
      <c r="X51" s="5"/>
      <c r="Y51" s="5"/>
      <c r="Z51" s="5"/>
      <c r="AA51" s="5"/>
    </row>
    <row r="52" spans="14:27" x14ac:dyDescent="0.25">
      <c r="N52" s="6" t="s">
        <v>2</v>
      </c>
      <c r="O52" s="5"/>
      <c r="P52" s="5"/>
      <c r="Q52" s="6" t="s">
        <v>15</v>
      </c>
      <c r="R52" s="139">
        <f>E12</f>
        <v>58</v>
      </c>
      <c r="S52" s="5"/>
      <c r="T52" s="6" t="s">
        <v>71</v>
      </c>
      <c r="U52" s="5" t="str">
        <f>"("&amp;1+E16&amp;") ^ "&amp;ROUND(R48,2)</f>
        <v>(1.01) ^ 2.5</v>
      </c>
      <c r="V52" s="5"/>
      <c r="W52" s="5"/>
      <c r="X52" s="5"/>
      <c r="Y52" s="5"/>
      <c r="Z52" s="5"/>
      <c r="AA52" s="5"/>
    </row>
    <row r="53" spans="14:27" x14ac:dyDescent="0.25">
      <c r="N53" s="6" t="s">
        <v>2</v>
      </c>
      <c r="O53" s="5"/>
      <c r="P53" s="5"/>
      <c r="Q53" s="6" t="s">
        <v>15</v>
      </c>
      <c r="R53" s="140">
        <f>R52*(1+E16)^R48</f>
        <v>59.460893102411433</v>
      </c>
      <c r="S53" s="40" t="s">
        <v>92</v>
      </c>
      <c r="T53" s="5"/>
      <c r="U53" s="5"/>
      <c r="V53" s="5"/>
      <c r="W53" s="5"/>
      <c r="X53" s="5"/>
      <c r="Y53" s="5"/>
      <c r="Z53" s="5"/>
      <c r="AA53" s="5"/>
    </row>
    <row r="54" spans="14:27" x14ac:dyDescent="0.25">
      <c r="N54" s="6" t="s">
        <v>2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4:27" x14ac:dyDescent="0.25">
      <c r="N55" s="6" t="s">
        <v>2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4:27" x14ac:dyDescent="0.25">
      <c r="N56" s="6" t="s">
        <v>2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4:27" x14ac:dyDescent="0.25">
      <c r="N57" s="6" t="s">
        <v>2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4:27" x14ac:dyDescent="0.25">
      <c r="N58" s="6" t="s">
        <v>2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4:27" x14ac:dyDescent="0.25">
      <c r="N59" s="6" t="s">
        <v>2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2" bestFit="1" customWidth="1"/>
    <col min="2" max="2" width="4.7109375" style="2" customWidth="1"/>
    <col min="3" max="5" width="9.140625" style="2" customWidth="1"/>
    <col min="6" max="6" width="10.85546875" style="2" customWidth="1"/>
    <col min="7" max="8" width="9.140625" style="2" customWidth="1"/>
    <col min="9" max="9" width="9.140625" style="2"/>
    <col min="10" max="12" width="9.140625" style="2" customWidth="1"/>
    <col min="13" max="13" width="8.28515625" style="2" customWidth="1"/>
    <col min="14" max="18" width="9.140625" style="2" customWidth="1"/>
    <col min="19" max="19" width="9.7109375" style="2" customWidth="1"/>
    <col min="20" max="20" width="10.42578125" style="2" customWidth="1"/>
    <col min="21" max="21" width="9.140625" style="2" customWidth="1"/>
    <col min="22" max="23" width="9.7109375" style="2" customWidth="1"/>
    <col min="24" max="24" width="9.140625" style="2"/>
    <col min="25" max="25" width="9.140625" style="2" customWidth="1"/>
    <col min="26" max="26" width="9.140625" style="2"/>
    <col min="27" max="27" width="5.7109375" style="2" customWidth="1"/>
    <col min="28" max="16384" width="9.140625" style="2"/>
  </cols>
  <sheetData>
    <row r="1" spans="1:27" x14ac:dyDescent="0.25">
      <c r="A1" s="1" t="s">
        <v>0</v>
      </c>
      <c r="C1" t="s">
        <v>97</v>
      </c>
      <c r="D1" s="3"/>
      <c r="E1" s="3"/>
      <c r="L1" s="266" t="s">
        <v>1</v>
      </c>
      <c r="M1" s="266"/>
      <c r="N1" s="4" t="s">
        <v>2</v>
      </c>
    </row>
    <row r="2" spans="1:27" x14ac:dyDescent="0.25">
      <c r="A2" s="1" t="s">
        <v>3</v>
      </c>
      <c r="C2" s="2" t="s">
        <v>8</v>
      </c>
      <c r="N2" s="4" t="s">
        <v>2</v>
      </c>
    </row>
    <row r="3" spans="1:27" x14ac:dyDescent="0.25">
      <c r="A3" s="1" t="s">
        <v>4</v>
      </c>
      <c r="C3" s="2" t="s">
        <v>98</v>
      </c>
      <c r="N3" s="4" t="s">
        <v>2</v>
      </c>
      <c r="O3" s="141" t="s">
        <v>10</v>
      </c>
      <c r="P3" s="86" t="s">
        <v>99</v>
      </c>
      <c r="Q3" s="86"/>
      <c r="R3" s="86"/>
      <c r="S3" s="86"/>
      <c r="T3" s="86"/>
      <c r="U3" s="86"/>
      <c r="V3" s="86"/>
      <c r="W3" s="86"/>
      <c r="X3" s="86"/>
      <c r="Y3" s="86"/>
      <c r="Z3" s="86"/>
      <c r="AA3" s="142"/>
    </row>
    <row r="4" spans="1:27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2</v>
      </c>
    </row>
    <row r="5" spans="1:27" x14ac:dyDescent="0.25">
      <c r="A5" s="8" t="s">
        <v>5</v>
      </c>
      <c r="C5" s="5" t="s">
        <v>100</v>
      </c>
      <c r="D5" s="5"/>
      <c r="E5" s="5"/>
      <c r="F5" s="5"/>
      <c r="G5" s="5"/>
      <c r="H5" s="5"/>
      <c r="I5" s="5"/>
      <c r="J5" s="5"/>
      <c r="K5" s="5"/>
      <c r="L5" s="5"/>
      <c r="M5" s="7"/>
      <c r="N5" s="6" t="s">
        <v>2</v>
      </c>
      <c r="O5" s="52" t="s">
        <v>101</v>
      </c>
      <c r="P5" s="5" t="s">
        <v>102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7"/>
      <c r="N6" s="6" t="s">
        <v>2</v>
      </c>
      <c r="O6" s="5"/>
      <c r="P6" s="6" t="s">
        <v>15</v>
      </c>
      <c r="Q6" s="5" t="s">
        <v>103</v>
      </c>
      <c r="R6" s="5"/>
      <c r="S6" s="5"/>
      <c r="T6" s="5"/>
      <c r="U6" s="5" t="s">
        <v>104</v>
      </c>
      <c r="V6" s="5" t="s">
        <v>105</v>
      </c>
      <c r="Y6" s="5"/>
      <c r="Z6" s="5"/>
      <c r="AA6" s="5"/>
    </row>
    <row r="7" spans="1:27" x14ac:dyDescent="0.25">
      <c r="A7" s="8" t="s">
        <v>6</v>
      </c>
      <c r="B7" s="7"/>
      <c r="C7" s="143" t="s">
        <v>207</v>
      </c>
      <c r="D7" s="144"/>
      <c r="E7" s="144"/>
      <c r="F7" s="144"/>
      <c r="G7" s="144"/>
      <c r="H7" s="144"/>
      <c r="I7" s="144"/>
      <c r="J7" s="144"/>
      <c r="K7" s="144"/>
      <c r="L7" s="144"/>
      <c r="M7" s="145"/>
      <c r="N7" s="6" t="s">
        <v>2</v>
      </c>
      <c r="O7" s="5"/>
      <c r="P7" s="6" t="s">
        <v>15</v>
      </c>
      <c r="Q7" s="146">
        <f>C18</f>
        <v>2023</v>
      </c>
      <c r="R7" s="147">
        <v>7</v>
      </c>
      <c r="S7" s="146">
        <v>1</v>
      </c>
      <c r="T7" s="5"/>
      <c r="U7" s="5" t="s">
        <v>104</v>
      </c>
      <c r="V7" s="146">
        <f>E9+1</f>
        <v>2025</v>
      </c>
      <c r="W7" s="147">
        <f>F9</f>
        <v>1</v>
      </c>
      <c r="X7" s="147">
        <v>1</v>
      </c>
      <c r="Y7" s="5"/>
      <c r="Z7" s="5"/>
      <c r="AA7" s="5"/>
    </row>
    <row r="8" spans="1:27" x14ac:dyDescent="0.25">
      <c r="A8" s="7"/>
      <c r="B8" s="7"/>
      <c r="N8" s="6" t="s">
        <v>2</v>
      </c>
      <c r="O8" s="5"/>
      <c r="P8" s="6" t="s">
        <v>15</v>
      </c>
      <c r="Q8" s="148">
        <f>ROUND(((V7*12)+W7-(Q7*12+R7)+IF(VALUE(S7)&gt;VALUE(X7),-0.5,IF(VALUE(S7)&lt;VALUE(X7),0.5,0)))/12,4)</f>
        <v>1.5</v>
      </c>
      <c r="R8" s="6" t="s">
        <v>106</v>
      </c>
      <c r="S8" s="5"/>
      <c r="T8" s="5"/>
      <c r="U8" s="5"/>
      <c r="V8" s="5"/>
      <c r="W8" s="5"/>
      <c r="X8" s="5"/>
      <c r="Y8" s="5"/>
      <c r="Z8" s="5"/>
      <c r="AA8" s="5"/>
    </row>
    <row r="9" spans="1:27" x14ac:dyDescent="0.25">
      <c r="A9" s="7"/>
      <c r="B9" s="7"/>
      <c r="C9" s="149" t="s">
        <v>107</v>
      </c>
      <c r="D9" s="149"/>
      <c r="E9" s="150">
        <v>2024</v>
      </c>
      <c r="F9" s="151">
        <v>1</v>
      </c>
      <c r="G9" s="151">
        <v>1</v>
      </c>
      <c r="H9" s="152" t="s">
        <v>108</v>
      </c>
      <c r="I9" s="5"/>
      <c r="J9" s="5"/>
      <c r="K9" s="7"/>
      <c r="L9" s="7"/>
      <c r="M9" s="7"/>
      <c r="N9" s="6" t="s">
        <v>2</v>
      </c>
      <c r="O9" s="5"/>
      <c r="P9" s="6"/>
      <c r="Q9" s="4"/>
      <c r="R9" s="6"/>
      <c r="S9" s="5"/>
      <c r="T9" s="260" t="s">
        <v>223</v>
      </c>
      <c r="U9" s="5"/>
      <c r="V9"/>
      <c r="W9"/>
      <c r="X9"/>
      <c r="Y9" s="5"/>
      <c r="Z9" s="5"/>
      <c r="AA9" s="5"/>
    </row>
    <row r="10" spans="1:27" x14ac:dyDescent="0.25">
      <c r="A10" s="7"/>
      <c r="B10" s="7"/>
      <c r="C10" s="149" t="s">
        <v>109</v>
      </c>
      <c r="D10" s="149"/>
      <c r="E10" s="153">
        <v>12</v>
      </c>
      <c r="F10" s="154" t="s">
        <v>34</v>
      </c>
      <c r="G10" s="155"/>
      <c r="H10" s="156"/>
      <c r="I10" s="5"/>
      <c r="J10" s="5"/>
      <c r="K10" s="7"/>
      <c r="L10" s="7"/>
      <c r="M10" s="7"/>
      <c r="N10" s="6" t="s">
        <v>2</v>
      </c>
      <c r="O10" s="5"/>
      <c r="P10" s="5" t="s">
        <v>110</v>
      </c>
      <c r="Q10" s="5"/>
      <c r="R10" s="6" t="s">
        <v>15</v>
      </c>
      <c r="S10" s="136" t="s">
        <v>111</v>
      </c>
      <c r="T10" s="157">
        <f>G20</f>
        <v>0.02</v>
      </c>
      <c r="U10" s="73" t="str">
        <f>") ^ " &amp;Q8</f>
        <v>) ^ 1.5</v>
      </c>
      <c r="V10" s="6" t="s">
        <v>15</v>
      </c>
      <c r="W10" s="261">
        <f>ROUND((1+G20)^Q8,8)</f>
        <v>1.0301495000000001</v>
      </c>
      <c r="X10" s="5"/>
      <c r="Y10" s="5"/>
      <c r="Z10" s="5"/>
      <c r="AA10" s="5"/>
    </row>
    <row r="11" spans="1:27" x14ac:dyDescent="0.25">
      <c r="A11" s="8"/>
      <c r="B11" s="7"/>
      <c r="C11" s="149" t="s">
        <v>112</v>
      </c>
      <c r="D11" s="149"/>
      <c r="E11" s="153">
        <v>12</v>
      </c>
      <c r="F11" s="154" t="s">
        <v>34</v>
      </c>
      <c r="G11" s="155"/>
      <c r="H11" s="156"/>
      <c r="I11" s="5"/>
      <c r="J11" s="5"/>
      <c r="K11" s="7"/>
      <c r="L11" s="7"/>
      <c r="M11" s="7"/>
      <c r="N11" s="6" t="s">
        <v>2</v>
      </c>
      <c r="O11" s="5"/>
      <c r="X11" s="5"/>
      <c r="Y11" s="5"/>
      <c r="Z11" s="5"/>
      <c r="AA11" s="5"/>
    </row>
    <row r="12" spans="1:27" x14ac:dyDescent="0.25">
      <c r="A12" s="7"/>
      <c r="B12" s="7"/>
      <c r="M12" s="158"/>
      <c r="N12" s="6" t="s">
        <v>2</v>
      </c>
      <c r="O12" s="52" t="s">
        <v>113</v>
      </c>
      <c r="P12" s="5" t="s">
        <v>114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x14ac:dyDescent="0.25">
      <c r="A13" s="7"/>
      <c r="B13" s="7"/>
      <c r="C13" s="159"/>
      <c r="D13" s="159" t="s">
        <v>115</v>
      </c>
      <c r="E13" s="159" t="s">
        <v>116</v>
      </c>
      <c r="F13" s="90" t="s">
        <v>117</v>
      </c>
      <c r="G13" s="5"/>
      <c r="H13" s="160" t="s">
        <v>118</v>
      </c>
      <c r="M13" s="158"/>
      <c r="N13" s="6" t="s">
        <v>2</v>
      </c>
      <c r="Y13" s="5"/>
      <c r="Z13" s="5"/>
      <c r="AA13" s="5"/>
    </row>
    <row r="14" spans="1:27" x14ac:dyDescent="0.25">
      <c r="C14" s="159"/>
      <c r="D14" s="161" t="s">
        <v>119</v>
      </c>
      <c r="E14" s="161" t="s">
        <v>120</v>
      </c>
      <c r="F14" s="90" t="s">
        <v>121</v>
      </c>
      <c r="G14" s="5"/>
      <c r="M14" s="7"/>
      <c r="N14" s="6" t="s">
        <v>2</v>
      </c>
      <c r="Q14" s="162" t="s">
        <v>122</v>
      </c>
      <c r="R14" s="162" t="s">
        <v>123</v>
      </c>
      <c r="S14" s="162" t="s">
        <v>124</v>
      </c>
      <c r="T14" s="162" t="s">
        <v>125</v>
      </c>
      <c r="U14" s="162" t="s">
        <v>126</v>
      </c>
      <c r="V14" s="162" t="s">
        <v>127</v>
      </c>
      <c r="W14" s="162" t="s">
        <v>128</v>
      </c>
      <c r="Y14" s="5"/>
      <c r="Z14" s="5"/>
      <c r="AA14" s="5"/>
    </row>
    <row r="15" spans="1:27" x14ac:dyDescent="0.25">
      <c r="C15" s="90" t="s">
        <v>129</v>
      </c>
      <c r="D15" s="90" t="s">
        <v>130</v>
      </c>
      <c r="E15" s="90" t="s">
        <v>131</v>
      </c>
      <c r="F15" s="90" t="s">
        <v>208</v>
      </c>
      <c r="G15" s="5"/>
      <c r="H15" s="5"/>
      <c r="I15" s="5"/>
      <c r="J15" s="5"/>
      <c r="K15" s="5"/>
      <c r="L15" s="5"/>
      <c r="M15" s="7"/>
      <c r="N15" s="6" t="s">
        <v>2</v>
      </c>
      <c r="Q15" s="163" t="s">
        <v>132</v>
      </c>
      <c r="R15" s="162"/>
      <c r="S15" s="162"/>
      <c r="T15" s="164" t="s">
        <v>66</v>
      </c>
      <c r="U15" s="165" t="s">
        <v>133</v>
      </c>
      <c r="V15" s="166"/>
      <c r="W15" s="167"/>
      <c r="Y15" s="5"/>
      <c r="Z15" s="5"/>
      <c r="AA15" s="5"/>
    </row>
    <row r="16" spans="1:27" x14ac:dyDescent="0.25">
      <c r="C16" s="168">
        <v>2021</v>
      </c>
      <c r="D16" s="153">
        <v>3910</v>
      </c>
      <c r="E16" s="169">
        <v>3.5000000000000003E-2</v>
      </c>
      <c r="F16" s="170">
        <v>0.95</v>
      </c>
      <c r="G16"/>
      <c r="M16" s="7"/>
      <c r="N16" s="6" t="s">
        <v>2</v>
      </c>
      <c r="P16" s="171"/>
      <c r="Q16" s="172" t="s">
        <v>115</v>
      </c>
      <c r="R16" s="172" t="s">
        <v>116</v>
      </c>
      <c r="S16" s="173" t="s">
        <v>134</v>
      </c>
      <c r="T16" s="174" t="s">
        <v>104</v>
      </c>
      <c r="U16" s="159" t="s">
        <v>135</v>
      </c>
      <c r="V16" s="175" t="s">
        <v>136</v>
      </c>
      <c r="W16" s="176" t="s">
        <v>137</v>
      </c>
      <c r="Y16" s="5"/>
      <c r="Z16" s="5"/>
      <c r="AA16" s="5"/>
    </row>
    <row r="17" spans="3:27" x14ac:dyDescent="0.25">
      <c r="C17" s="168">
        <v>2022</v>
      </c>
      <c r="D17" s="153">
        <v>3960</v>
      </c>
      <c r="E17" s="169">
        <v>0</v>
      </c>
      <c r="F17" s="170">
        <v>0.97</v>
      </c>
      <c r="G17"/>
      <c r="M17" s="7"/>
      <c r="N17" s="6" t="s">
        <v>2</v>
      </c>
      <c r="P17" s="177"/>
      <c r="Q17" s="161" t="s">
        <v>119</v>
      </c>
      <c r="R17" s="161" t="s">
        <v>120</v>
      </c>
      <c r="S17" s="90" t="s">
        <v>138</v>
      </c>
      <c r="T17" s="178" t="s">
        <v>139</v>
      </c>
      <c r="U17" s="159" t="s">
        <v>140</v>
      </c>
      <c r="V17" s="159" t="s">
        <v>141</v>
      </c>
      <c r="W17" s="179" t="s">
        <v>119</v>
      </c>
      <c r="Y17" s="5"/>
      <c r="Z17" s="5"/>
      <c r="AA17" s="5"/>
    </row>
    <row r="18" spans="3:27" x14ac:dyDescent="0.25">
      <c r="C18" s="168">
        <v>2023</v>
      </c>
      <c r="D18" s="153">
        <v>1100</v>
      </c>
      <c r="E18" s="169">
        <v>3.5000000000000003E-2</v>
      </c>
      <c r="F18" s="170">
        <v>0.98</v>
      </c>
      <c r="G18"/>
      <c r="H18"/>
      <c r="I18"/>
      <c r="J18"/>
      <c r="K18" s="5"/>
      <c r="L18" s="5"/>
      <c r="M18" s="7"/>
      <c r="N18" s="6" t="s">
        <v>2</v>
      </c>
      <c r="P18" s="180" t="s">
        <v>62</v>
      </c>
      <c r="Q18" s="104" t="s">
        <v>130</v>
      </c>
      <c r="R18" s="104" t="s">
        <v>131</v>
      </c>
      <c r="S18" s="77" t="s">
        <v>142</v>
      </c>
      <c r="T18" s="181" t="s">
        <v>140</v>
      </c>
      <c r="U18" s="182" t="s">
        <v>131</v>
      </c>
      <c r="V18" s="182" t="s">
        <v>66</v>
      </c>
      <c r="W18" s="183" t="s">
        <v>130</v>
      </c>
      <c r="Y18" s="5"/>
      <c r="Z18" s="5"/>
      <c r="AA18" s="5"/>
    </row>
    <row r="19" spans="3:27" x14ac:dyDescent="0.25">
      <c r="J19" s="5"/>
      <c r="K19" s="5"/>
      <c r="L19" s="5"/>
      <c r="M19" s="7"/>
      <c r="N19" s="6" t="s">
        <v>2</v>
      </c>
      <c r="P19" s="89">
        <f t="shared" ref="P19:S21" si="0">C16</f>
        <v>2021</v>
      </c>
      <c r="Q19" s="153">
        <f t="shared" si="0"/>
        <v>3910</v>
      </c>
      <c r="R19" s="169">
        <f t="shared" si="0"/>
        <v>3.5000000000000003E-2</v>
      </c>
      <c r="S19" s="170">
        <f t="shared" si="0"/>
        <v>0.95</v>
      </c>
      <c r="T19" s="184">
        <f>(1+R20)*T20</f>
        <v>1.0349999999999999</v>
      </c>
      <c r="U19" s="262">
        <f>W10</f>
        <v>1.0301495000000001</v>
      </c>
      <c r="V19" s="185">
        <f>G21/S19</f>
        <v>0.95789473684210535</v>
      </c>
      <c r="W19" s="186">
        <f>Q19*T19*U19*V19</f>
        <v>3993.3295354823686</v>
      </c>
      <c r="X19" s="3" t="s">
        <v>143</v>
      </c>
      <c r="Y19" s="5"/>
      <c r="Z19" s="5"/>
      <c r="AA19" s="5"/>
    </row>
    <row r="20" spans="3:27" x14ac:dyDescent="0.25">
      <c r="C20" s="149" t="s">
        <v>209</v>
      </c>
      <c r="D20" s="149"/>
      <c r="E20" s="149"/>
      <c r="F20" s="187"/>
      <c r="G20" s="169">
        <v>0.02</v>
      </c>
      <c r="M20" s="7"/>
      <c r="N20" s="6" t="s">
        <v>2</v>
      </c>
      <c r="P20" s="89">
        <f t="shared" si="0"/>
        <v>2022</v>
      </c>
      <c r="Q20" s="153">
        <f t="shared" si="0"/>
        <v>3960</v>
      </c>
      <c r="R20" s="169">
        <f t="shared" si="0"/>
        <v>0</v>
      </c>
      <c r="S20" s="170">
        <f t="shared" si="0"/>
        <v>0.97</v>
      </c>
      <c r="T20" s="184">
        <f>(1+R21)*T21</f>
        <v>1.0349999999999999</v>
      </c>
      <c r="U20" s="262">
        <f>U19</f>
        <v>1.0301495000000001</v>
      </c>
      <c r="V20" s="185">
        <f>G21/S20</f>
        <v>0.93814432989690733</v>
      </c>
      <c r="W20" s="186">
        <f>Q20*T20*U20*V20</f>
        <v>3961.0055402443299</v>
      </c>
      <c r="X20" s="3" t="s">
        <v>143</v>
      </c>
      <c r="Y20" s="5"/>
      <c r="Z20" s="5"/>
      <c r="AA20" s="5"/>
    </row>
    <row r="21" spans="3:27" x14ac:dyDescent="0.25">
      <c r="C21" s="149" t="s">
        <v>210</v>
      </c>
      <c r="D21" s="149"/>
      <c r="E21" s="149"/>
      <c r="F21" s="187"/>
      <c r="G21" s="188">
        <v>0.91</v>
      </c>
      <c r="M21" s="7"/>
      <c r="N21" s="6" t="s">
        <v>2</v>
      </c>
      <c r="P21" s="103">
        <f t="shared" si="0"/>
        <v>2023</v>
      </c>
      <c r="Q21" s="189">
        <f t="shared" si="0"/>
        <v>1100</v>
      </c>
      <c r="R21" s="190">
        <f t="shared" si="0"/>
        <v>3.5000000000000003E-2</v>
      </c>
      <c r="S21" s="191">
        <f t="shared" si="0"/>
        <v>0.98</v>
      </c>
      <c r="T21" s="192">
        <v>1</v>
      </c>
      <c r="U21" s="263">
        <f>U20</f>
        <v>1.0301495000000001</v>
      </c>
      <c r="V21" s="193">
        <f>G21/S21</f>
        <v>0.9285714285714286</v>
      </c>
      <c r="W21" s="194">
        <f>Q21*T21*U21*V21</f>
        <v>1052.2241321428571</v>
      </c>
      <c r="X21" s="3" t="s">
        <v>143</v>
      </c>
      <c r="Z21" s="5"/>
      <c r="AA21" s="5"/>
    </row>
    <row r="22" spans="3:27" x14ac:dyDescent="0.25">
      <c r="M22" s="7"/>
      <c r="N22" s="6" t="s">
        <v>2</v>
      </c>
      <c r="O22" s="5"/>
      <c r="P22" s="5"/>
      <c r="Q22" s="5"/>
      <c r="R22" s="5"/>
      <c r="S22" s="5"/>
      <c r="T22" s="264"/>
      <c r="U22" s="5"/>
      <c r="V22" s="5"/>
      <c r="W22" s="195">
        <f>SUM(W19:W21)</f>
        <v>9006.5592078695554</v>
      </c>
      <c r="X22" s="3" t="s">
        <v>143</v>
      </c>
      <c r="Y22" s="5"/>
      <c r="Z22" s="5"/>
      <c r="AA22" s="5"/>
    </row>
    <row r="23" spans="3:27" x14ac:dyDescent="0.25">
      <c r="C23" s="196" t="s">
        <v>211</v>
      </c>
      <c r="D23" s="197"/>
      <c r="E23" s="197"/>
      <c r="F23" s="197"/>
      <c r="G23" s="197"/>
      <c r="H23" s="197"/>
      <c r="I23" s="197"/>
      <c r="J23" s="197"/>
      <c r="K23" s="197"/>
      <c r="L23" s="197"/>
      <c r="M23" s="198"/>
      <c r="N23" s="6" t="s">
        <v>2</v>
      </c>
      <c r="O23" s="5"/>
      <c r="Y23" s="5"/>
      <c r="Z23" s="5"/>
      <c r="AA23" s="5"/>
    </row>
    <row r="24" spans="3:27" x14ac:dyDescent="0.25">
      <c r="M24" s="7"/>
      <c r="N24" s="6" t="s">
        <v>2</v>
      </c>
      <c r="O24" s="5"/>
      <c r="P24" s="6" t="s">
        <v>125</v>
      </c>
      <c r="Q24" s="5" t="s">
        <v>224</v>
      </c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3:27" x14ac:dyDescent="0.25">
      <c r="C25" s="49" t="s">
        <v>212</v>
      </c>
      <c r="D25" s="49"/>
      <c r="E25" s="49"/>
      <c r="F25" s="49"/>
      <c r="G25" s="199">
        <v>-0.02</v>
      </c>
      <c r="H25" t="s">
        <v>144</v>
      </c>
      <c r="I25"/>
      <c r="J25"/>
      <c r="K25" s="5"/>
      <c r="L25" s="5"/>
      <c r="M25" s="7"/>
      <c r="N25" s="6" t="s">
        <v>2</v>
      </c>
      <c r="O25" s="5"/>
      <c r="P25" s="136" t="s">
        <v>126</v>
      </c>
      <c r="Q25" s="5" t="s">
        <v>225</v>
      </c>
      <c r="R25" s="5"/>
      <c r="S25" s="5"/>
      <c r="T25" s="5" t="s">
        <v>226</v>
      </c>
      <c r="U25" s="5"/>
      <c r="V25" s="5"/>
      <c r="W25" s="5"/>
      <c r="X25" s="5"/>
      <c r="Y25" s="5"/>
      <c r="Z25" s="5"/>
      <c r="AA25" s="5"/>
    </row>
    <row r="26" spans="3:27" x14ac:dyDescent="0.25">
      <c r="C26" s="49" t="s">
        <v>213</v>
      </c>
      <c r="D26" s="49"/>
      <c r="E26" s="49"/>
      <c r="F26" s="49"/>
      <c r="G26" s="199">
        <v>0.03</v>
      </c>
      <c r="H26" t="s">
        <v>145</v>
      </c>
      <c r="I26"/>
      <c r="J26"/>
      <c r="K26" s="5"/>
      <c r="L26" s="5"/>
      <c r="M26" s="7"/>
      <c r="N26" s="6" t="s">
        <v>2</v>
      </c>
      <c r="O26" s="5"/>
      <c r="P26" s="6" t="s">
        <v>127</v>
      </c>
      <c r="Q26" s="5" t="s">
        <v>146</v>
      </c>
      <c r="R26" s="5"/>
      <c r="S26" s="5"/>
      <c r="T26" s="5" t="s">
        <v>147</v>
      </c>
      <c r="U26" s="5"/>
      <c r="V26" s="5"/>
      <c r="W26" s="5"/>
      <c r="X26" s="5"/>
      <c r="Y26" s="5"/>
      <c r="Z26" s="5"/>
      <c r="AA26" s="5"/>
    </row>
    <row r="27" spans="3:27" x14ac:dyDescent="0.25">
      <c r="C27"/>
      <c r="D27"/>
      <c r="E27"/>
      <c r="F27"/>
      <c r="G27"/>
      <c r="H27"/>
      <c r="I27"/>
      <c r="J27"/>
      <c r="K27" s="5"/>
      <c r="L27" s="5"/>
      <c r="M27" s="7"/>
      <c r="N27" s="6" t="s">
        <v>2</v>
      </c>
      <c r="O27" s="5"/>
      <c r="P27" s="136" t="s">
        <v>128</v>
      </c>
      <c r="Q27" s="5" t="s">
        <v>148</v>
      </c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3:27" x14ac:dyDescent="0.25">
      <c r="C28" s="49" t="s">
        <v>214</v>
      </c>
      <c r="D28" s="49"/>
      <c r="E28" s="49"/>
      <c r="F28" s="49"/>
      <c r="G28" s="187"/>
      <c r="H28" s="200">
        <v>0.7</v>
      </c>
      <c r="I28" t="s">
        <v>149</v>
      </c>
      <c r="J28" s="5"/>
      <c r="K28" s="5"/>
      <c r="L28" s="5"/>
      <c r="M28" s="7"/>
      <c r="N28" s="6" t="s">
        <v>2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3:27" x14ac:dyDescent="0.25">
      <c r="C29"/>
      <c r="D29"/>
      <c r="E29"/>
      <c r="F29"/>
      <c r="G29"/>
      <c r="H29"/>
      <c r="I29"/>
      <c r="J29"/>
      <c r="K29" s="5"/>
      <c r="L29" s="5"/>
      <c r="M29" s="7"/>
      <c r="N29" s="6" t="s">
        <v>2</v>
      </c>
      <c r="O29" s="5"/>
      <c r="P29" s="5" t="s">
        <v>150</v>
      </c>
      <c r="Q29" s="5" t="s">
        <v>151</v>
      </c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3:27" x14ac:dyDescent="0.25">
      <c r="C30" s="201"/>
      <c r="D30" s="201"/>
      <c r="E30" s="201"/>
      <c r="F30" s="201" t="s">
        <v>152</v>
      </c>
      <c r="G30" s="201" t="s">
        <v>153</v>
      </c>
      <c r="H30"/>
      <c r="I30"/>
      <c r="J30"/>
      <c r="K30" s="5"/>
      <c r="L30" s="5"/>
      <c r="M30" s="7"/>
      <c r="N30" s="6" t="s">
        <v>2</v>
      </c>
      <c r="O30" s="5"/>
      <c r="P30" s="5"/>
      <c r="Q30" s="5" t="s">
        <v>154</v>
      </c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3:27" x14ac:dyDescent="0.25">
      <c r="C31" s="201"/>
      <c r="D31" s="201" t="s">
        <v>155</v>
      </c>
      <c r="E31" s="201" t="s">
        <v>156</v>
      </c>
      <c r="F31" s="201" t="s">
        <v>157</v>
      </c>
      <c r="G31" s="201" t="s">
        <v>158</v>
      </c>
      <c r="H31" s="5"/>
      <c r="I31" s="5"/>
      <c r="J31" s="5"/>
      <c r="K31" s="5"/>
      <c r="L31" s="5"/>
      <c r="M31" s="7"/>
      <c r="N31" s="6" t="s">
        <v>2</v>
      </c>
      <c r="O31" s="5"/>
      <c r="P31" s="5"/>
      <c r="Q31" s="5" t="s">
        <v>159</v>
      </c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3:27" x14ac:dyDescent="0.25">
      <c r="C32" s="109" t="s">
        <v>129</v>
      </c>
      <c r="D32" s="109" t="s">
        <v>156</v>
      </c>
      <c r="E32" s="109" t="s">
        <v>160</v>
      </c>
      <c r="F32" s="109" t="s">
        <v>161</v>
      </c>
      <c r="G32" s="109" t="s">
        <v>161</v>
      </c>
      <c r="H32" s="5"/>
      <c r="I32" s="5"/>
      <c r="J32" s="5"/>
      <c r="K32" s="5"/>
      <c r="L32" s="5"/>
      <c r="M32" s="7"/>
      <c r="N32" s="6" t="s">
        <v>2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x14ac:dyDescent="0.25">
      <c r="C33" s="201">
        <v>2021</v>
      </c>
      <c r="D33" s="202">
        <v>1780</v>
      </c>
      <c r="E33" s="203">
        <v>1</v>
      </c>
      <c r="F33" s="204">
        <v>0.12</v>
      </c>
      <c r="G33" s="204">
        <v>0.04</v>
      </c>
      <c r="H33" s="5"/>
      <c r="I33" s="5"/>
      <c r="J33" s="5"/>
      <c r="K33" s="5"/>
      <c r="L33" s="5"/>
      <c r="M33" s="7"/>
      <c r="N33" s="6" t="s">
        <v>2</v>
      </c>
      <c r="O33" s="205" t="s">
        <v>162</v>
      </c>
      <c r="P33" s="86" t="s">
        <v>163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142"/>
    </row>
    <row r="34" spans="1:27" x14ac:dyDescent="0.25">
      <c r="C34" s="201">
        <v>2022</v>
      </c>
      <c r="D34" s="202">
        <v>1570</v>
      </c>
      <c r="E34" s="203">
        <v>1.2</v>
      </c>
      <c r="F34" s="204">
        <v>0</v>
      </c>
      <c r="G34" s="204">
        <v>0.01</v>
      </c>
      <c r="H34" s="5"/>
      <c r="I34" s="5"/>
      <c r="J34" s="5"/>
      <c r="K34" s="5"/>
      <c r="L34" s="5"/>
      <c r="M34" s="7"/>
      <c r="N34" s="6" t="s">
        <v>2</v>
      </c>
    </row>
    <row r="35" spans="1:27" x14ac:dyDescent="0.25">
      <c r="C35" s="201">
        <v>2023</v>
      </c>
      <c r="D35" s="202">
        <v>448</v>
      </c>
      <c r="E35" s="203">
        <v>2.2999999999999998</v>
      </c>
      <c r="F35" s="204">
        <v>0.08</v>
      </c>
      <c r="G35" s="204">
        <v>0.02</v>
      </c>
      <c r="H35" s="5"/>
      <c r="I35" s="5"/>
      <c r="J35" s="5"/>
      <c r="K35" s="5"/>
      <c r="L35" s="5"/>
      <c r="M35" s="7"/>
      <c r="N35" s="6" t="s">
        <v>2</v>
      </c>
      <c r="Q35" s="206" t="s">
        <v>132</v>
      </c>
      <c r="R35" s="16"/>
      <c r="S35" s="16"/>
      <c r="T35" s="16"/>
      <c r="U35" s="207" t="s">
        <v>164</v>
      </c>
      <c r="V35" s="207"/>
      <c r="W35" s="207"/>
      <c r="X35" s="207"/>
      <c r="Y35" s="207"/>
    </row>
    <row r="36" spans="1:27" x14ac:dyDescent="0.25">
      <c r="H36" s="5"/>
      <c r="I36" s="5"/>
      <c r="J36" s="5"/>
      <c r="K36" s="5"/>
      <c r="L36" s="5"/>
      <c r="M36" s="7"/>
      <c r="N36" s="6" t="s">
        <v>2</v>
      </c>
      <c r="P36"/>
      <c r="Q36" s="208" t="s">
        <v>122</v>
      </c>
      <c r="R36" s="208" t="s">
        <v>123</v>
      </c>
      <c r="S36" s="208" t="s">
        <v>124</v>
      </c>
      <c r="T36" s="208" t="s">
        <v>125</v>
      </c>
      <c r="U36" s="209" t="s">
        <v>126</v>
      </c>
      <c r="V36" s="209" t="s">
        <v>127</v>
      </c>
      <c r="W36" s="209" t="s">
        <v>128</v>
      </c>
      <c r="X36" s="209" t="s">
        <v>165</v>
      </c>
      <c r="Y36" s="209" t="s">
        <v>166</v>
      </c>
    </row>
    <row r="37" spans="1:27" x14ac:dyDescent="0.25">
      <c r="C37" s="210" t="s">
        <v>167</v>
      </c>
      <c r="D37" s="211"/>
      <c r="E37" s="211"/>
      <c r="F37" s="211"/>
      <c r="G37" s="211"/>
      <c r="H37" s="211"/>
      <c r="I37" s="211"/>
      <c r="J37" s="211"/>
      <c r="K37" s="211"/>
      <c r="L37" s="211"/>
      <c r="M37" s="212"/>
      <c r="N37" s="6" t="s">
        <v>2</v>
      </c>
      <c r="O37" s="5"/>
      <c r="P37" s="65"/>
      <c r="Q37" s="213"/>
      <c r="R37" s="213"/>
      <c r="S37" s="213"/>
      <c r="T37" s="214"/>
      <c r="U37" s="173" t="s">
        <v>168</v>
      </c>
      <c r="V37" s="173" t="s">
        <v>169</v>
      </c>
      <c r="W37" s="173" t="s">
        <v>168</v>
      </c>
      <c r="X37" s="173" t="s">
        <v>137</v>
      </c>
      <c r="Y37" s="64" t="s">
        <v>137</v>
      </c>
      <c r="Z37" s="5"/>
      <c r="AA37" s="5"/>
    </row>
    <row r="38" spans="1:27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7"/>
      <c r="N38" s="6" t="s">
        <v>2</v>
      </c>
      <c r="O38" s="5"/>
      <c r="P38" s="215"/>
      <c r="Q38" s="101"/>
      <c r="R38" s="101"/>
      <c r="S38" s="101" t="s">
        <v>152</v>
      </c>
      <c r="T38" s="102" t="s">
        <v>153</v>
      </c>
      <c r="U38" s="90" t="s">
        <v>170</v>
      </c>
      <c r="V38" s="90" t="s">
        <v>139</v>
      </c>
      <c r="W38" s="90" t="s">
        <v>170</v>
      </c>
      <c r="X38" s="90" t="s">
        <v>48</v>
      </c>
      <c r="Y38" s="71" t="s">
        <v>48</v>
      </c>
      <c r="Z38" s="5"/>
      <c r="AA38" s="5"/>
    </row>
    <row r="39" spans="1:27" x14ac:dyDescent="0.25">
      <c r="A39" s="7"/>
      <c r="B39" s="7"/>
      <c r="C39" s="216" t="s">
        <v>171</v>
      </c>
      <c r="D39" t="s">
        <v>172</v>
      </c>
      <c r="E39"/>
      <c r="F39"/>
      <c r="G39" s="217">
        <v>0.2</v>
      </c>
      <c r="I39" s="216" t="s">
        <v>173</v>
      </c>
      <c r="J39" t="s">
        <v>174</v>
      </c>
      <c r="K39" s="218"/>
      <c r="L39"/>
      <c r="M39" s="219">
        <v>0.32</v>
      </c>
      <c r="N39" s="6" t="s">
        <v>2</v>
      </c>
      <c r="O39" s="5"/>
      <c r="P39" s="215"/>
      <c r="Q39" s="101" t="s">
        <v>155</v>
      </c>
      <c r="R39" s="101" t="s">
        <v>156</v>
      </c>
      <c r="S39" s="101" t="s">
        <v>157</v>
      </c>
      <c r="T39" s="102" t="s">
        <v>158</v>
      </c>
      <c r="U39" s="90" t="s">
        <v>175</v>
      </c>
      <c r="V39" s="90" t="s">
        <v>176</v>
      </c>
      <c r="W39" s="90" t="s">
        <v>137</v>
      </c>
      <c r="X39" s="90" t="s">
        <v>175</v>
      </c>
      <c r="Y39" s="71" t="s">
        <v>175</v>
      </c>
      <c r="Z39" s="5"/>
      <c r="AA39" s="5"/>
    </row>
    <row r="40" spans="1:27" x14ac:dyDescent="0.25">
      <c r="D40" t="s">
        <v>177</v>
      </c>
      <c r="E40"/>
      <c r="F40"/>
      <c r="G40" s="217">
        <v>0.25</v>
      </c>
      <c r="J40" t="s">
        <v>178</v>
      </c>
      <c r="K40" s="218"/>
      <c r="L40"/>
      <c r="M40" s="219">
        <v>0.05</v>
      </c>
      <c r="N40" s="6" t="s">
        <v>2</v>
      </c>
      <c r="O40" s="5"/>
      <c r="P40" s="220" t="s">
        <v>129</v>
      </c>
      <c r="Q40" s="109" t="s">
        <v>156</v>
      </c>
      <c r="R40" s="109" t="s">
        <v>160</v>
      </c>
      <c r="S40" s="109" t="s">
        <v>161</v>
      </c>
      <c r="T40" s="110" t="s">
        <v>161</v>
      </c>
      <c r="U40" s="104" t="s">
        <v>179</v>
      </c>
      <c r="V40" s="104" t="s">
        <v>180</v>
      </c>
      <c r="W40" s="104" t="s">
        <v>181</v>
      </c>
      <c r="X40" s="104" t="s">
        <v>182</v>
      </c>
      <c r="Y40" s="221" t="s">
        <v>183</v>
      </c>
      <c r="Z40" s="5"/>
      <c r="AA40" s="5"/>
    </row>
    <row r="41" spans="1:27" x14ac:dyDescent="0.25">
      <c r="J41" t="s">
        <v>184</v>
      </c>
      <c r="K41" s="218"/>
      <c r="L41"/>
      <c r="M41" s="222">
        <v>1.36</v>
      </c>
      <c r="N41" s="6" t="s">
        <v>2</v>
      </c>
      <c r="O41" s="5"/>
      <c r="P41" s="215">
        <f t="shared" ref="P41:T43" si="1">C33</f>
        <v>2021</v>
      </c>
      <c r="Q41" s="223">
        <f t="shared" si="1"/>
        <v>1780</v>
      </c>
      <c r="R41" s="224">
        <f t="shared" si="1"/>
        <v>1</v>
      </c>
      <c r="S41" s="169">
        <f t="shared" si="1"/>
        <v>0.12</v>
      </c>
      <c r="T41" s="225">
        <f t="shared" si="1"/>
        <v>0.04</v>
      </c>
      <c r="U41" s="258">
        <f>S41*H28+T41*(1-H28)</f>
        <v>9.5999999999999988E-2</v>
      </c>
      <c r="V41" s="226">
        <f>(1+U42)*(1+U43)</f>
        <v>1.065186</v>
      </c>
      <c r="W41" s="226">
        <f>H28*(1+G25)^Q8+(1-H28)*(1+G26)^Q8</f>
        <v>0.99270610201290987</v>
      </c>
      <c r="X41" s="227">
        <f>Q41*R41*V41*W41</f>
        <v>1882.2016227221277</v>
      </c>
      <c r="Y41" s="228">
        <f>X41/W19</f>
        <v>0.47133641388670666</v>
      </c>
      <c r="Z41" s="5"/>
      <c r="AA41" s="5"/>
    </row>
    <row r="42" spans="1:27" x14ac:dyDescent="0.25">
      <c r="N42" s="6" t="s">
        <v>2</v>
      </c>
      <c r="O42" s="5"/>
      <c r="P42" s="215">
        <f t="shared" si="1"/>
        <v>2022</v>
      </c>
      <c r="Q42" s="223">
        <f t="shared" si="1"/>
        <v>1570</v>
      </c>
      <c r="R42" s="224">
        <f t="shared" si="1"/>
        <v>1.2</v>
      </c>
      <c r="S42" s="169">
        <f t="shared" si="1"/>
        <v>0</v>
      </c>
      <c r="T42" s="225">
        <f t="shared" si="1"/>
        <v>0.01</v>
      </c>
      <c r="U42" s="258">
        <f>S42*H28+T42*(1-H28)</f>
        <v>3.0000000000000005E-3</v>
      </c>
      <c r="V42" s="226">
        <f>1+U43</f>
        <v>1.0620000000000001</v>
      </c>
      <c r="W42" s="226">
        <f>W41</f>
        <v>0.99270610201290987</v>
      </c>
      <c r="X42" s="227">
        <f>Q42*R42*V42*W42</f>
        <v>1986.2143105562461</v>
      </c>
      <c r="Y42" s="228">
        <f>X42/W20</f>
        <v>0.50144194204629389</v>
      </c>
      <c r="Z42" s="5"/>
      <c r="AA42" s="5"/>
    </row>
    <row r="43" spans="1:27" x14ac:dyDescent="0.25">
      <c r="N43" s="6" t="s">
        <v>2</v>
      </c>
      <c r="O43" s="5"/>
      <c r="P43" s="220">
        <f t="shared" si="1"/>
        <v>2023</v>
      </c>
      <c r="Q43" s="229">
        <f t="shared" si="1"/>
        <v>448</v>
      </c>
      <c r="R43" s="230">
        <f t="shared" si="1"/>
        <v>2.2999999999999998</v>
      </c>
      <c r="S43" s="190">
        <f t="shared" si="1"/>
        <v>0.08</v>
      </c>
      <c r="T43" s="75">
        <f t="shared" si="1"/>
        <v>0.02</v>
      </c>
      <c r="U43" s="259">
        <f>S43*H28+T43*(1-H28)</f>
        <v>6.1999999999999993E-2</v>
      </c>
      <c r="V43" s="231">
        <v>1</v>
      </c>
      <c r="W43" s="231">
        <f>W42</f>
        <v>0.99270610201290987</v>
      </c>
      <c r="X43" s="232">
        <f>Q43*R43*V43*W43</f>
        <v>1022.8843675141022</v>
      </c>
      <c r="Y43" s="233">
        <f>X43/W21</f>
        <v>0.9721164305849892</v>
      </c>
      <c r="Z43" s="5"/>
      <c r="AA43" s="5"/>
    </row>
    <row r="44" spans="1:27" x14ac:dyDescent="0.25">
      <c r="N44" s="6" t="s">
        <v>2</v>
      </c>
      <c r="O44" s="5"/>
      <c r="P44" s="5"/>
      <c r="Q44" s="5"/>
      <c r="R44" s="5"/>
      <c r="S44" s="5"/>
      <c r="T44" s="5"/>
      <c r="U44" s="5"/>
      <c r="V44" s="5"/>
      <c r="W44" s="234" t="s">
        <v>185</v>
      </c>
      <c r="X44" s="235">
        <f>SUM(X41:X43)</f>
        <v>4891.3003007924763</v>
      </c>
      <c r="Y44" s="236">
        <f>X44/W22</f>
        <v>0.54308201255354682</v>
      </c>
      <c r="Z44" s="234" t="s">
        <v>186</v>
      </c>
      <c r="AA44" s="40"/>
    </row>
    <row r="45" spans="1:27" x14ac:dyDescent="0.25">
      <c r="N45" s="6" t="s">
        <v>2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234" t="s">
        <v>187</v>
      </c>
      <c r="AA45" s="40"/>
    </row>
    <row r="46" spans="1:27" x14ac:dyDescent="0.25">
      <c r="N46" s="6" t="s">
        <v>2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x14ac:dyDescent="0.25">
      <c r="C47" s="237" t="s">
        <v>188</v>
      </c>
      <c r="D47" s="238"/>
      <c r="E47" s="238"/>
      <c r="F47" s="238"/>
      <c r="G47" s="238"/>
      <c r="H47" s="238"/>
      <c r="I47" s="238"/>
      <c r="J47" s="238"/>
      <c r="K47" s="238"/>
      <c r="L47" s="238"/>
      <c r="M47" s="239"/>
      <c r="N47" s="6" t="s">
        <v>2</v>
      </c>
      <c r="O47" s="240" t="s">
        <v>23</v>
      </c>
      <c r="P47" s="86" t="s">
        <v>189</v>
      </c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142"/>
    </row>
    <row r="48" spans="1:27" x14ac:dyDescent="0.25">
      <c r="N48" s="6" t="s">
        <v>2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3:27" x14ac:dyDescent="0.25">
      <c r="C49" s="241" t="s">
        <v>126</v>
      </c>
      <c r="D49" s="242" t="s">
        <v>190</v>
      </c>
      <c r="N49" s="6" t="s">
        <v>2</v>
      </c>
      <c r="O49" s="5"/>
      <c r="P49" s="5" t="s">
        <v>191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3:27" x14ac:dyDescent="0.25">
      <c r="C50" s="241" t="s">
        <v>127</v>
      </c>
      <c r="D50" s="242" t="s">
        <v>227</v>
      </c>
      <c r="N50" s="6" t="s">
        <v>2</v>
      </c>
      <c r="O50" s="5"/>
      <c r="P50" s="136" t="s">
        <v>15</v>
      </c>
      <c r="Q50" s="136" t="s">
        <v>84</v>
      </c>
      <c r="R50" s="5" t="s">
        <v>192</v>
      </c>
      <c r="S50" s="6" t="s">
        <v>80</v>
      </c>
      <c r="T50" s="5" t="s">
        <v>193</v>
      </c>
      <c r="U50" s="6" t="s">
        <v>194</v>
      </c>
      <c r="V50" s="6" t="s">
        <v>195</v>
      </c>
      <c r="W50" s="5" t="s">
        <v>196</v>
      </c>
      <c r="X50" s="136" t="s">
        <v>197</v>
      </c>
      <c r="Y50" s="5"/>
      <c r="Z50" s="5"/>
      <c r="AA50" s="5"/>
    </row>
    <row r="51" spans="3:27" x14ac:dyDescent="0.25">
      <c r="C51" s="162" t="s">
        <v>128</v>
      </c>
      <c r="D51" s="2" t="s">
        <v>228</v>
      </c>
      <c r="N51" s="6" t="s">
        <v>2</v>
      </c>
      <c r="O51" s="5"/>
      <c r="P51" s="136" t="s">
        <v>15</v>
      </c>
      <c r="Q51" s="136" t="s">
        <v>84</v>
      </c>
      <c r="R51" s="243">
        <f>Y44</f>
        <v>0.54308201255354682</v>
      </c>
      <c r="S51" s="6" t="s">
        <v>80</v>
      </c>
      <c r="T51" s="157">
        <f>G39</f>
        <v>0.2</v>
      </c>
      <c r="U51" s="6" t="s">
        <v>194</v>
      </c>
      <c r="V51" s="6" t="s">
        <v>195</v>
      </c>
      <c r="W51" s="244">
        <f>G40</f>
        <v>0.25</v>
      </c>
      <c r="X51" s="136" t="s">
        <v>197</v>
      </c>
      <c r="Y51" s="136"/>
      <c r="Z51" s="5"/>
      <c r="AA51" s="5"/>
    </row>
    <row r="52" spans="3:27" x14ac:dyDescent="0.25">
      <c r="D52" s="2" t="str">
        <f>" = " &amp; H28 &amp; " x (" &amp; 1+G25 &amp; " )^ " &amp; Q8 &amp; "  +  " &amp; 1-H28 &amp; " x ( " &amp; 1+G26 &amp; " )^ " &amp; Q8</f>
        <v xml:space="preserve"> = 0.7 x (0.98 )^ 1.5  +  0.3 x ( 1.03 )^ 1.5</v>
      </c>
      <c r="N52" s="6" t="s">
        <v>2</v>
      </c>
      <c r="O52" s="5"/>
      <c r="P52" s="136" t="s">
        <v>15</v>
      </c>
      <c r="Q52" s="245">
        <f>(R51+T51)*(1+W51)-1</f>
        <v>-7.1147484308066389E-2</v>
      </c>
      <c r="R52" s="234" t="s">
        <v>198</v>
      </c>
      <c r="S52" s="5"/>
      <c r="T52" s="5"/>
      <c r="U52" s="5"/>
      <c r="V52" s="5"/>
      <c r="W52" s="5"/>
      <c r="X52" s="5"/>
      <c r="Y52" s="5"/>
      <c r="Z52" s="5"/>
      <c r="AA52" s="5"/>
    </row>
    <row r="53" spans="3:27" x14ac:dyDescent="0.25">
      <c r="C53" s="162" t="s">
        <v>165</v>
      </c>
      <c r="D53" s="2" t="s">
        <v>199</v>
      </c>
      <c r="N53" s="6" t="s">
        <v>2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3:27" x14ac:dyDescent="0.25">
      <c r="C54" s="162" t="s">
        <v>166</v>
      </c>
      <c r="D54" s="2" t="s">
        <v>200</v>
      </c>
      <c r="N54" s="6" t="s">
        <v>2</v>
      </c>
      <c r="O54" s="5"/>
      <c r="P54" s="5" t="s">
        <v>201</v>
      </c>
      <c r="Q54" s="5"/>
      <c r="R54" s="5"/>
      <c r="S54" s="5"/>
      <c r="T54" s="6" t="s">
        <v>15</v>
      </c>
      <c r="U54" s="5" t="s">
        <v>202</v>
      </c>
      <c r="V54" s="5"/>
      <c r="W54" s="5"/>
      <c r="X54" s="5"/>
      <c r="Y54" s="5"/>
      <c r="Z54" s="5"/>
      <c r="AA54" s="5"/>
    </row>
    <row r="55" spans="3:27" x14ac:dyDescent="0.25">
      <c r="N55" s="6" t="s">
        <v>2</v>
      </c>
      <c r="P55" s="136"/>
      <c r="T55" s="6" t="s">
        <v>15</v>
      </c>
      <c r="U55" s="5" t="s">
        <v>203</v>
      </c>
    </row>
    <row r="56" spans="3:27" x14ac:dyDescent="0.25">
      <c r="N56" s="6" t="s">
        <v>2</v>
      </c>
      <c r="O56" s="5"/>
      <c r="P56" s="5"/>
      <c r="Q56" s="5"/>
      <c r="R56" s="5"/>
      <c r="S56" s="5"/>
      <c r="T56" s="6" t="s">
        <v>15</v>
      </c>
      <c r="U56" s="246">
        <f>1/(1-M39) * (1+M40)</f>
        <v>1.5441176470588236</v>
      </c>
      <c r="V56" s="5"/>
      <c r="W56" s="5"/>
      <c r="X56" s="5"/>
      <c r="Y56" s="5"/>
      <c r="Z56" s="5"/>
      <c r="AA56" s="5"/>
    </row>
    <row r="57" spans="3:27" x14ac:dyDescent="0.25">
      <c r="N57" s="6" t="s">
        <v>2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3:27" x14ac:dyDescent="0.25">
      <c r="N58" s="6" t="s">
        <v>2</v>
      </c>
      <c r="O58" s="5"/>
      <c r="P58" s="5" t="s">
        <v>204</v>
      </c>
      <c r="Q58" s="5"/>
      <c r="R58" s="5"/>
      <c r="S58" s="5"/>
      <c r="T58" s="6" t="s">
        <v>15</v>
      </c>
      <c r="U58" s="5" t="s">
        <v>205</v>
      </c>
      <c r="V58" s="5"/>
      <c r="W58" s="5"/>
      <c r="X58" s="5"/>
      <c r="Y58" s="5"/>
      <c r="Z58" s="5"/>
      <c r="AA58" s="5"/>
    </row>
    <row r="59" spans="3:27" x14ac:dyDescent="0.25">
      <c r="N59" s="6" t="s">
        <v>2</v>
      </c>
      <c r="O59" s="5"/>
      <c r="P59" s="5"/>
      <c r="Q59" s="5"/>
      <c r="R59" s="5"/>
      <c r="S59" s="5"/>
      <c r="T59" s="6" t="s">
        <v>15</v>
      </c>
      <c r="U59" s="245">
        <f>U56/M41*(1+Q52)-1</f>
        <v>5.4601147790365845E-2</v>
      </c>
      <c r="V59" s="234" t="s">
        <v>206</v>
      </c>
      <c r="W59" s="5"/>
      <c r="X59" s="5"/>
      <c r="Y59" s="5"/>
      <c r="Z59" s="5"/>
      <c r="AA59" s="5"/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TOC</vt:lpstr>
      <vt:lpstr>B-Home</vt:lpstr>
      <vt:lpstr>D-WC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2021-02-04T15:41:02Z</dcterms:created>
  <dcterms:modified xsi:type="dcterms:W3CDTF">2021-04-19T16:18:09Z</dcterms:modified>
</cp:coreProperties>
</file>